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8945" windowHeight="11685" firstSheet="2" activeTab="3"/>
  </bookViews>
  <sheets>
    <sheet name="Hoja5" sheetId="7" r:id="rId1"/>
    <sheet name="Hoja2" sheetId="12" r:id="rId2"/>
    <sheet name="Hoja8" sheetId="13" r:id="rId3"/>
    <sheet name="GASTOS COMEDOR OCT-2023 " sheetId="14" r:id="rId4"/>
    <sheet name="GASTOS POR SEMANA  SEPT-23 " sheetId="1" r:id="rId5"/>
    <sheet name="CONSENTRADO X SEMANAS   " sheetId="5" r:id="rId6"/>
    <sheet name="GASTO X  MES " sheetId="6" r:id="rId7"/>
    <sheet name="Hoja7" sheetId="10" r:id="rId8"/>
    <sheet name="   GASTOS  POR MES        02   " sheetId="11" r:id="rId9"/>
    <sheet name="GASTOS POR MES          01     " sheetId="2" r:id="rId10"/>
    <sheet name="Hoja3" sheetId="3" r:id="rId11"/>
    <sheet name="Hoja1" sheetId="8" r:id="rId12"/>
    <sheet name="Hoja6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4" l="1"/>
  <c r="K5" i="14"/>
  <c r="H13" i="14" l="1"/>
  <c r="H12" i="14"/>
  <c r="J10" i="14"/>
  <c r="D7" i="14"/>
  <c r="F6" i="14"/>
  <c r="F19" i="14" s="1"/>
  <c r="Q7" i="14"/>
  <c r="Q19" i="14"/>
  <c r="V12" i="14"/>
  <c r="V19" i="14" s="1"/>
  <c r="V11" i="14"/>
  <c r="R10" i="14"/>
  <c r="W9" i="14"/>
  <c r="W19" i="14"/>
  <c r="S6" i="14"/>
  <c r="X5" i="14"/>
  <c r="D19" i="14"/>
  <c r="X2" i="14"/>
  <c r="U19" i="14"/>
  <c r="S19" i="14"/>
  <c r="R19" i="14"/>
  <c r="L19" i="14"/>
  <c r="I19" i="14"/>
  <c r="G19" i="14"/>
  <c r="E19" i="14"/>
  <c r="H19" i="14"/>
  <c r="J19" i="14"/>
  <c r="T19" i="14"/>
  <c r="X19" i="14"/>
  <c r="K19" i="14"/>
  <c r="V3" i="14"/>
  <c r="F21" i="14" l="1"/>
  <c r="S21" i="14"/>
  <c r="V42" i="14"/>
  <c r="V49" i="14" s="1"/>
  <c r="Q41" i="14"/>
  <c r="W38" i="14"/>
  <c r="S36" i="14"/>
  <c r="X35" i="14"/>
  <c r="V43" i="14"/>
  <c r="T37" i="14"/>
  <c r="H42" i="14"/>
  <c r="H41" i="14"/>
  <c r="H49" i="14" s="1"/>
  <c r="J39" i="14"/>
  <c r="J49" i="14" s="1"/>
  <c r="D37" i="14"/>
  <c r="D49" i="14" s="1"/>
  <c r="F36" i="14"/>
  <c r="F49" i="14"/>
  <c r="K35" i="14"/>
  <c r="K49" i="14"/>
  <c r="W49" i="14"/>
  <c r="S49" i="14"/>
  <c r="T49" i="14"/>
  <c r="U49" i="14"/>
  <c r="R49" i="14"/>
  <c r="L49" i="14"/>
  <c r="I49" i="14"/>
  <c r="G49" i="14"/>
  <c r="E49" i="14"/>
  <c r="Q49" i="14"/>
  <c r="X49" i="14"/>
  <c r="V33" i="14"/>
  <c r="F51" i="14" l="1"/>
  <c r="S51" i="14"/>
  <c r="H73" i="14"/>
  <c r="H72" i="14"/>
  <c r="H80" i="14" s="1"/>
  <c r="J71" i="14"/>
  <c r="J80" i="14" s="1"/>
  <c r="D68" i="14"/>
  <c r="D80" i="14"/>
  <c r="F67" i="14"/>
  <c r="F80" i="14"/>
  <c r="K66" i="14"/>
  <c r="K80" i="14"/>
  <c r="T74" i="14"/>
  <c r="S67" i="14"/>
  <c r="S80" i="14" s="1"/>
  <c r="V73" i="14"/>
  <c r="V71" i="14"/>
  <c r="R70" i="14"/>
  <c r="W69" i="14"/>
  <c r="W80" i="14"/>
  <c r="Q68" i="14"/>
  <c r="X66" i="14"/>
  <c r="X80" i="14" s="1"/>
  <c r="U80" i="14"/>
  <c r="R80" i="14"/>
  <c r="Q80" i="14"/>
  <c r="L80" i="14"/>
  <c r="I80" i="14"/>
  <c r="G80" i="14"/>
  <c r="E80" i="14"/>
  <c r="T80" i="14"/>
  <c r="V80" i="14"/>
  <c r="V64" i="14"/>
  <c r="F82" i="14" l="1"/>
  <c r="S82" i="14"/>
  <c r="F8" i="6"/>
  <c r="H8" i="6"/>
  <c r="I8" i="6"/>
  <c r="K8" i="6"/>
  <c r="G8" i="6"/>
  <c r="L8" i="6"/>
  <c r="J8" i="6"/>
  <c r="H20" i="6"/>
  <c r="I20" i="6"/>
  <c r="F20" i="6"/>
  <c r="G20" i="6"/>
  <c r="K20" i="6"/>
  <c r="L20" i="6"/>
  <c r="J20" i="6"/>
  <c r="O21" i="6"/>
  <c r="O19" i="6"/>
  <c r="O18" i="6"/>
  <c r="O17" i="6"/>
  <c r="O9" i="6"/>
  <c r="O7" i="6"/>
  <c r="O6" i="6"/>
  <c r="O5" i="6"/>
  <c r="AD18" i="6"/>
  <c r="AD17" i="6"/>
  <c r="AD7" i="6"/>
  <c r="AD6" i="6"/>
  <c r="AD5" i="6"/>
  <c r="O8" i="6" l="1"/>
  <c r="O11" i="6" s="1"/>
  <c r="O20" i="6"/>
  <c r="O23" i="6" s="1"/>
  <c r="AD21" i="6"/>
  <c r="AD9" i="6"/>
  <c r="N23" i="5"/>
  <c r="N22" i="5"/>
  <c r="N21" i="5"/>
  <c r="N20" i="5"/>
  <c r="N19" i="5"/>
  <c r="N9" i="5"/>
  <c r="N8" i="5"/>
  <c r="N7" i="5"/>
  <c r="N6" i="5"/>
  <c r="N5" i="5"/>
  <c r="N11" i="5" l="1"/>
  <c r="N25" i="5"/>
  <c r="V97" i="14"/>
  <c r="S93" i="14"/>
  <c r="T100" i="14"/>
  <c r="T106" i="14" s="1"/>
  <c r="W95" i="14"/>
  <c r="Q94" i="14"/>
  <c r="Q106" i="14"/>
  <c r="S106" i="14"/>
  <c r="K92" i="14"/>
  <c r="E106" i="14"/>
  <c r="F106" i="14"/>
  <c r="G106" i="14"/>
  <c r="H106" i="14"/>
  <c r="I106" i="14"/>
  <c r="J106" i="14"/>
  <c r="K106" i="14"/>
  <c r="F108" i="14" s="1"/>
  <c r="L106" i="14"/>
  <c r="D106" i="14"/>
  <c r="F93" i="14"/>
  <c r="D94" i="14"/>
  <c r="J97" i="14"/>
  <c r="V99" i="14"/>
  <c r="W106" i="14"/>
  <c r="X92" i="14"/>
  <c r="H100" i="14"/>
  <c r="H99" i="14"/>
  <c r="E98" i="14"/>
  <c r="V90" i="14"/>
  <c r="U106" i="14"/>
  <c r="V106" i="14"/>
  <c r="R106" i="14"/>
  <c r="X106" i="14"/>
  <c r="U162" i="14"/>
  <c r="T162" i="14"/>
  <c r="R162" i="14"/>
  <c r="L162" i="14"/>
  <c r="K162" i="14"/>
  <c r="I162" i="14"/>
  <c r="G162" i="14"/>
  <c r="E162" i="14"/>
  <c r="V157" i="14"/>
  <c r="H157" i="14"/>
  <c r="V156" i="14"/>
  <c r="V162" i="14" s="1"/>
  <c r="H156" i="14"/>
  <c r="H162" i="14" s="1"/>
  <c r="W154" i="14"/>
  <c r="W162" i="14" s="1"/>
  <c r="J154" i="14"/>
  <c r="J162" i="14" s="1"/>
  <c r="Q150" i="14"/>
  <c r="Q162" i="14" s="1"/>
  <c r="D150" i="14"/>
  <c r="D162" i="14" s="1"/>
  <c r="S149" i="14"/>
  <c r="S162" i="14" s="1"/>
  <c r="F149" i="14"/>
  <c r="F162" i="14" s="1"/>
  <c r="X148" i="14"/>
  <c r="X162" i="14" s="1"/>
  <c r="K148" i="14"/>
  <c r="U134" i="14"/>
  <c r="R134" i="14"/>
  <c r="L134" i="14"/>
  <c r="J134" i="14"/>
  <c r="I134" i="14"/>
  <c r="F134" i="14"/>
  <c r="E134" i="14"/>
  <c r="D134" i="14"/>
  <c r="V129" i="14"/>
  <c r="H129" i="14"/>
  <c r="H134" i="14" s="1"/>
  <c r="H128" i="14"/>
  <c r="W126" i="14"/>
  <c r="W134" i="14" s="1"/>
  <c r="J126" i="14"/>
  <c r="V125" i="14"/>
  <c r="V134" i="14" s="1"/>
  <c r="R124" i="14"/>
  <c r="T123" i="14"/>
  <c r="T134" i="14" s="1"/>
  <c r="G123" i="14"/>
  <c r="G134" i="14" s="1"/>
  <c r="Q122" i="14"/>
  <c r="Q134" i="14" s="1"/>
  <c r="D122" i="14"/>
  <c r="S121" i="14"/>
  <c r="S134" i="14" s="1"/>
  <c r="F121" i="14"/>
  <c r="X120" i="14"/>
  <c r="X134" i="14" s="1"/>
  <c r="K120" i="14"/>
  <c r="K134" i="14" s="1"/>
  <c r="F136" i="14" s="1"/>
  <c r="S108" i="14" l="1"/>
  <c r="S164" i="14"/>
  <c r="S136" i="14"/>
  <c r="F164" i="14"/>
  <c r="AD22" i="5" l="1"/>
  <c r="AD21" i="5"/>
  <c r="AD20" i="5"/>
  <c r="AD19" i="5"/>
  <c r="AD11" i="5"/>
  <c r="AD6" i="5"/>
  <c r="AD7" i="5"/>
  <c r="AD8" i="5"/>
  <c r="AD5" i="5"/>
  <c r="AD25" i="5" l="1"/>
  <c r="U18" i="11"/>
  <c r="T18" i="11"/>
  <c r="R18" i="11"/>
  <c r="L18" i="11"/>
  <c r="K18" i="11"/>
  <c r="I18" i="11"/>
  <c r="G18" i="11"/>
  <c r="E18" i="11"/>
  <c r="V13" i="11"/>
  <c r="H13" i="11"/>
  <c r="V12" i="11"/>
  <c r="V18" i="11" s="1"/>
  <c r="H12" i="11"/>
  <c r="H18" i="11" s="1"/>
  <c r="W10" i="11"/>
  <c r="W18" i="11" s="1"/>
  <c r="J10" i="11"/>
  <c r="J18" i="11" s="1"/>
  <c r="Q6" i="11"/>
  <c r="Q18" i="11" s="1"/>
  <c r="D6" i="11"/>
  <c r="D18" i="11" s="1"/>
  <c r="S5" i="11"/>
  <c r="S18" i="11" s="1"/>
  <c r="F5" i="11"/>
  <c r="F18" i="11" s="1"/>
  <c r="X4" i="11"/>
  <c r="X18" i="11" s="1"/>
  <c r="K4" i="11"/>
  <c r="S20" i="11" l="1"/>
  <c r="F20" i="11"/>
  <c r="L14" i="2" l="1"/>
  <c r="H13" i="2"/>
  <c r="F12" i="2"/>
  <c r="Y6" i="2"/>
  <c r="W14" i="2"/>
  <c r="W13" i="2"/>
  <c r="S12" i="2"/>
  <c r="T11" i="2"/>
  <c r="U10" i="2"/>
  <c r="Y9" i="2"/>
  <c r="X8" i="2" l="1"/>
  <c r="R7" i="2"/>
  <c r="Z5" i="2"/>
  <c r="J11" i="2"/>
  <c r="I8" i="2"/>
  <c r="E8" i="2"/>
  <c r="H7" i="2"/>
  <c r="K6" i="2"/>
  <c r="D5" i="2"/>
  <c r="G10" i="2"/>
  <c r="V16" i="1" l="1"/>
  <c r="V15" i="1"/>
  <c r="W11" i="1"/>
  <c r="Q10" i="1"/>
  <c r="S8" i="1"/>
  <c r="T9" i="1"/>
  <c r="X7" i="1"/>
  <c r="H15" i="1"/>
  <c r="F8" i="1"/>
  <c r="D9" i="1"/>
  <c r="H16" i="1"/>
  <c r="K7" i="1"/>
  <c r="U21" i="1" l="1"/>
  <c r="T21" i="1"/>
  <c r="R21" i="1"/>
  <c r="Q21" i="1"/>
  <c r="L21" i="1"/>
  <c r="I21" i="1"/>
  <c r="G21" i="1"/>
  <c r="F21" i="1"/>
  <c r="E21" i="1"/>
  <c r="V21" i="1"/>
  <c r="H21" i="1"/>
  <c r="J21" i="1"/>
  <c r="S21" i="1"/>
  <c r="W21" i="1"/>
  <c r="K21" i="1"/>
  <c r="X21" i="1"/>
  <c r="D21" i="1"/>
  <c r="F23" i="1" l="1"/>
  <c r="S23" i="1"/>
  <c r="S44" i="1"/>
  <c r="R52" i="1" l="1"/>
  <c r="S52" i="1"/>
  <c r="T52" i="1"/>
  <c r="U52" i="1"/>
  <c r="W39" i="1"/>
  <c r="W52" i="1" s="1"/>
  <c r="X38" i="1"/>
  <c r="X52" i="1" s="1"/>
  <c r="V46" i="1"/>
  <c r="V47" i="1"/>
  <c r="Q40" i="1"/>
  <c r="Q52" i="1" s="1"/>
  <c r="V52" i="1" l="1"/>
  <c r="S54" i="1" s="1"/>
  <c r="K39" i="1"/>
  <c r="K52" i="1" s="1"/>
  <c r="J44" i="1"/>
  <c r="J52" i="1" s="1"/>
  <c r="H49" i="1"/>
  <c r="H47" i="1"/>
  <c r="H52" i="1" s="1"/>
  <c r="J45" i="1"/>
  <c r="F46" i="1"/>
  <c r="F52" i="1" s="1"/>
  <c r="D38" i="1"/>
  <c r="D52" i="1" s="1"/>
  <c r="S28" i="8"/>
  <c r="R10" i="8"/>
  <c r="R28" i="8" s="1"/>
  <c r="F10" i="8"/>
  <c r="F28" i="8" s="1"/>
  <c r="V9" i="8"/>
  <c r="C9" i="8"/>
  <c r="U8" i="8"/>
  <c r="U28" i="8" s="1"/>
  <c r="D8" i="8"/>
  <c r="D28" i="8" s="1"/>
  <c r="L52" i="1"/>
  <c r="I52" i="1"/>
  <c r="G52" i="1"/>
  <c r="E52" i="1"/>
  <c r="F54" i="1" l="1"/>
  <c r="X71" i="1"/>
  <c r="W5" i="8" s="1"/>
  <c r="W28" i="8" s="1"/>
  <c r="V80" i="1"/>
  <c r="T14" i="8" s="1"/>
  <c r="S77" i="1"/>
  <c r="Q11" i="8" s="1"/>
  <c r="Q28" i="8" s="1"/>
  <c r="R75" i="1"/>
  <c r="P12" i="8" s="1"/>
  <c r="P28" i="8" s="1"/>
  <c r="W72" i="1"/>
  <c r="V6" i="8" s="1"/>
  <c r="V28" i="8" s="1"/>
  <c r="K72" i="1"/>
  <c r="J6" i="8" s="1"/>
  <c r="J28" i="8" s="1"/>
  <c r="J77" i="1"/>
  <c r="F79" i="1"/>
  <c r="E13" i="8" s="1"/>
  <c r="E28" i="8" s="1"/>
  <c r="H73" i="1"/>
  <c r="G7" i="8" s="1"/>
  <c r="L81" i="1"/>
  <c r="K15" i="8" s="1"/>
  <c r="K28" i="8" s="1"/>
  <c r="Q99" i="1" l="1"/>
  <c r="S103" i="1"/>
  <c r="I74" i="1"/>
  <c r="L17" i="2"/>
  <c r="L85" i="1"/>
  <c r="H8" i="8" l="1"/>
  <c r="H28" i="8" s="1"/>
  <c r="V79" i="1"/>
  <c r="Q73" i="1"/>
  <c r="H80" i="1"/>
  <c r="J78" i="1"/>
  <c r="D71" i="1"/>
  <c r="O7" i="8" l="1"/>
  <c r="O28" i="8" s="1"/>
  <c r="C5" i="8"/>
  <c r="C28" i="8" s="1"/>
  <c r="G14" i="8"/>
  <c r="G28" i="8" s="1"/>
  <c r="T13" i="8"/>
  <c r="T28" i="8" s="1"/>
  <c r="I11" i="8"/>
  <c r="I28" i="8" s="1"/>
  <c r="U85" i="1"/>
  <c r="T85" i="1"/>
  <c r="R85" i="1"/>
  <c r="K85" i="1"/>
  <c r="G85" i="1"/>
  <c r="E85" i="1"/>
  <c r="D85" i="1"/>
  <c r="V85" i="1"/>
  <c r="S85" i="1"/>
  <c r="J85" i="1"/>
  <c r="F85" i="1"/>
  <c r="I85" i="1"/>
  <c r="Q85" i="1"/>
  <c r="H85" i="1"/>
  <c r="W85" i="1"/>
  <c r="X85" i="1"/>
  <c r="F105" i="1"/>
  <c r="H106" i="1"/>
  <c r="V105" i="1"/>
  <c r="V106" i="1"/>
  <c r="F101" i="1"/>
  <c r="E30" i="8" l="1"/>
  <c r="Q30" i="8"/>
  <c r="F87" i="1"/>
  <c r="S87" i="1"/>
  <c r="U120" i="1"/>
  <c r="S120" i="1"/>
  <c r="R120" i="1"/>
  <c r="E120" i="1"/>
  <c r="D120" i="1"/>
  <c r="V120" i="1"/>
  <c r="J103" i="1"/>
  <c r="J120" i="1" s="1"/>
  <c r="T102" i="1"/>
  <c r="T120" i="1" s="1"/>
  <c r="G102" i="1"/>
  <c r="G120" i="1" s="1"/>
  <c r="W101" i="1"/>
  <c r="I100" i="1"/>
  <c r="I120" i="1" s="1"/>
  <c r="Q120" i="1"/>
  <c r="H99" i="1"/>
  <c r="W98" i="1"/>
  <c r="W120" i="1" s="1"/>
  <c r="K98" i="1"/>
  <c r="K120" i="1" s="1"/>
  <c r="X97" i="1"/>
  <c r="X120" i="1" s="1"/>
  <c r="S122" i="1" l="1"/>
  <c r="F120" i="1"/>
  <c r="H120" i="1"/>
  <c r="Z17" i="2"/>
  <c r="Y17" i="2"/>
  <c r="X17" i="2"/>
  <c r="W17" i="2"/>
  <c r="V17" i="2"/>
  <c r="U17" i="2"/>
  <c r="T17" i="2"/>
  <c r="S17" i="2"/>
  <c r="K17" i="2"/>
  <c r="J17" i="2"/>
  <c r="I17" i="2"/>
  <c r="G17" i="2"/>
  <c r="F17" i="2"/>
  <c r="E17" i="2"/>
  <c r="D17" i="2"/>
  <c r="R17" i="2"/>
  <c r="H17" i="2"/>
  <c r="T19" i="2" l="1"/>
  <c r="F19" i="2"/>
  <c r="F122" i="1"/>
</calcChain>
</file>

<file path=xl/sharedStrings.xml><?xml version="1.0" encoding="utf-8"?>
<sst xmlns="http://schemas.openxmlformats.org/spreadsheetml/2006/main" count="1062" uniqueCount="242">
  <si>
    <t>FECHA</t>
  </si>
  <si>
    <t>Descripcion</t>
  </si>
  <si>
    <t>FRUTAS</t>
  </si>
  <si>
    <t>HIERVAS</t>
  </si>
  <si>
    <t>HUEVO</t>
  </si>
  <si>
    <t>CARNE</t>
  </si>
  <si>
    <t>Maracuya--fresas</t>
  </si>
  <si>
    <t>SEMILLAS  Y Chiles secos</t>
  </si>
  <si>
    <t>ABARROTES</t>
  </si>
  <si>
    <t>JAIMAICA</t>
  </si>
  <si>
    <t>HUEVO,  Y CHILES SECOS</t>
  </si>
  <si>
    <t xml:space="preserve">PAN DE DULCE </t>
  </si>
  <si>
    <t>Huevo</t>
  </si>
  <si>
    <t>rajas, salsas, vinagre, elote</t>
  </si>
  <si>
    <t>Mango,sandia,guayaba</t>
  </si>
  <si>
    <t>costeño,guajillo,pulla,tamarindo,arbol,morita</t>
  </si>
  <si>
    <t>Semillas y Chiles secos</t>
  </si>
  <si>
    <t xml:space="preserve">RELACION DE GASTOS   COMEDOR   CENTRAL  </t>
  </si>
  <si>
    <t xml:space="preserve">T O T A L E S </t>
  </si>
  <si>
    <t xml:space="preserve">RELACION DE GASTOS   COMEDOR   O B R A D O R </t>
  </si>
  <si>
    <t>19-Ago--25-Ago</t>
  </si>
  <si>
    <t>Tostadas y pan molido-tortillas</t>
  </si>
  <si>
    <t>PAN Y TOSTADAS --molido-tortillas</t>
  </si>
  <si>
    <t>yogurt Yoplait-café-norzuiza-fibras</t>
  </si>
  <si>
    <t>Frutas y VERDURAS</t>
  </si>
  <si>
    <t>PAN--TOSTADAS-Y Pan molido-bimbo-tortillas</t>
  </si>
  <si>
    <t xml:space="preserve"> </t>
  </si>
  <si>
    <t>ELOTES-PAPAYAS</t>
  </si>
  <si>
    <t>Aceite, leche, arroz, sopas, elote lata-margarina-bolsa-escobas-</t>
  </si>
  <si>
    <t>Carne molida mixta-jamon-queso-bisteck pco-retazo-pollo-papas francesa</t>
  </si>
  <si>
    <t>Jitomate, calabaza, poblano, papa, jalapeño, cebolla, tomate, serrano, limon-lechugas</t>
  </si>
  <si>
    <t>Epazote, hiervabuena, manzanilla,cilantro-tomillo-oregano-rabanos</t>
  </si>
  <si>
    <t>PAN DULCE---bimbo</t>
  </si>
  <si>
    <t>cilantro, epazote, hiervabuena, cilantro-maiz pozole</t>
  </si>
  <si>
    <t>tortillas-tostadas</t>
  </si>
  <si>
    <t>Jamon amricano-molida mixta-bistec-queso--retazo-pollo-papa francesa-longaniza-pollo-codillo-hueso</t>
  </si>
  <si>
    <t xml:space="preserve">RELACION DE GASTOS   COMEDOR   CENTRAL    </t>
  </si>
  <si>
    <t>del 19-Agosto al 26-Agosto</t>
  </si>
  <si>
    <t xml:space="preserve"> VERDURAS</t>
  </si>
  <si>
    <t>jitomate,jalapeño,cebolla,papa,zanahoria,tomate,serrano,tampico.--ajo,poblano-limon--lechuga</t>
  </si>
  <si>
    <t>Mango,sandia,guayaba-papaya</t>
  </si>
  <si>
    <t># 01</t>
  </si>
  <si>
    <t># 02</t>
  </si>
  <si>
    <t>26-Ago-23  al  01-Sept-23</t>
  </si>
  <si>
    <t>yogurt</t>
  </si>
  <si>
    <t>HUEVO,  Y CHILES SECOS-Ajonjoli, Cacahuate</t>
  </si>
  <si>
    <t>AGUA BONAFONT</t>
  </si>
  <si>
    <t>epazote,cilantro,telimon,manzanilla,oregano,</t>
  </si>
  <si>
    <t>sandia,manzana-guayaba-naranja</t>
  </si>
  <si>
    <t>PAN DULCE---bimbo-pan molido</t>
  </si>
  <si>
    <t>AGUA BONFONT</t>
  </si>
  <si>
    <t>Jitomate, calabaza, poblano, papa, jalapeño, cebolla, tomate, serrano, limon-lechugas brocoli-poro-nopal-chicharo-chayote-ejote-ajo-poblano-pepino-limon</t>
  </si>
  <si>
    <t>Jamon amricano-molida mixta-bistec-queso--retazo-pollo-papa francesa-longaniza-pollo-codillo-hueso costilla-chuleta ahum-</t>
  </si>
  <si>
    <t>yogurt Yoplait-café-norzuiza-fibras-café legal-tajas-italpasta-atun-hoja mixiote-aceite oliva-hilos mixiote-limpiador horno</t>
  </si>
  <si>
    <t>cilantro, epazote, hiervabuena, cilantro-maiz pozole-telimon-manzanilla-oregano</t>
  </si>
  <si>
    <t>jitomate,jalapeño,cebolla,papa,zanahoria,tomate,serrano,tampico.--ajo,poblano-limon-papaya-lechuga-nopal-brocoli-chicharo-calabaza-tampico</t>
  </si>
  <si>
    <t>Tostadas--tortillas- masa</t>
  </si>
  <si>
    <t>Brocoli,poro,nopal,jitomate,papa,chicharo,chayote,calabaza,ejote,cebolla,ajo,poblano,tomate,pepino,limon-melones-lechuga</t>
  </si>
  <si>
    <t>Elote, leche,arroz,crema-vasos-tapas-cuchara--queso-gouda</t>
  </si>
  <si>
    <t>Carne molida mixta-costilla-chuleta ahu-jamon-pollo-milanesa</t>
  </si>
  <si>
    <t>Aceite, leche, arroz, sopas, elote lata-margarina-bolsa-escobas-queso-gouda</t>
  </si>
  <si>
    <t>Carne molida mixta-jamon-queso-bisteck pco-retazo-pollo-papas francesa-costilla-chuleta ahum-milanesa</t>
  </si>
  <si>
    <t>oregano,tomillo,chiles tampico-güero-cacahuate--</t>
  </si>
  <si>
    <t>molida mixta-costilla-jamon-chuleta ahum-pierna-muslo-milanesa</t>
  </si>
  <si>
    <t>café legal-rajas-italpasta-Norzuisa tarro-ajax-atun-leche-crema-hoja mixiote-aceite oliva--hilo mixiote, limpiador horno-queso -morron</t>
  </si>
  <si>
    <t>Nopal-tomate-brocoli-jitomate-chicharo-papa-poblano-zanahoria-charote-calabaza-cebolla-ajo-morron</t>
  </si>
  <si>
    <t># 03</t>
  </si>
  <si>
    <t>del 26-Agosto al 01-Septiembre</t>
  </si>
  <si>
    <t>del 02--- al  08 Septiembre</t>
  </si>
  <si>
    <t>2-8-Sept-23</t>
  </si>
  <si>
    <t>Maracuya--papaya-melon-piña-sandia</t>
  </si>
  <si>
    <t>jitomate. Cebolla,tomate,serrano,calabaza,ejote,chayote,poblano,-morron-Champiñones</t>
  </si>
  <si>
    <t>brocoli,poro.lechugas.cilantro-----,epazote</t>
  </si>
  <si>
    <t>Nescafe,legal,</t>
  </si>
  <si>
    <t xml:space="preserve">HUEVO,  </t>
  </si>
  <si>
    <t>AJAX-JALADOR VIDRIOS</t>
  </si>
  <si>
    <t>FRIJOL--CHILE COSTEÑO</t>
  </si>
  <si>
    <t>TORTILLAS--tostadas</t>
  </si>
  <si>
    <t>LALA, ELOTE-CREMA-QUESILLO</t>
  </si>
  <si>
    <t>Mole-pollo-salchicha-pechuga-espinazo-chicharron-jamon americnao-tocino-puntas-</t>
  </si>
  <si>
    <t>tomillo-oregano-tamarindo-jamaica</t>
  </si>
  <si>
    <t>pera-papaya-limon-piñas-sandias-melones-pepino</t>
  </si>
  <si>
    <t>cilantro-epazote-manzanilla-</t>
  </si>
  <si>
    <t>poblano-brocoli-poro-lechugas-champiñones-jitomate-ajo-tomate-chicharo-calabaza-cebolla-zanahoria-tampico-morron-mole</t>
  </si>
  <si>
    <t>jamon-pollo-pechuga-salchicha- espinazo-gouda-quesillo-chicharron-tocino-brocheta</t>
  </si>
  <si>
    <t>PAN DULCE---bimbo-</t>
  </si>
  <si>
    <t>Chipotle-rajas-elote-Norzuisa tarro-mantequilla--yogurt-crema-</t>
  </si>
  <si>
    <t>Arroz</t>
  </si>
  <si>
    <t># 04</t>
  </si>
  <si>
    <t>9---15 Sept-2023</t>
  </si>
  <si>
    <t>Pechuga-Bistec pco-pollo-chicharron</t>
  </si>
  <si>
    <t>piña-,melon-samdia-maracuya</t>
  </si>
  <si>
    <t>poro-oregano-col-epazote-pipicha</t>
  </si>
  <si>
    <t>Jitomate-papa-cebolla-calabaza-chayote-zanahoria-jalapeño-ajo-serrano-elote-chicharo-</t>
  </si>
  <si>
    <t>Chipotle-catsup-elote-mostaza-Norzuisa-pastas-arroz-</t>
  </si>
  <si>
    <t>salsa azul-ciruela-almendra</t>
  </si>
  <si>
    <t>TORTILLAS</t>
  </si>
  <si>
    <t>pechuga-bisteck pco-pollo-jamon-gouda</t>
  </si>
  <si>
    <t>hojas aguacate-cilantro-telimon-epazote-manzanilla-hiervabuena-perejil</t>
  </si>
  <si>
    <t>morron-chayote-tampico-zanahoraia-jitomate-calabaza-chicharo-ejote-cebolla-papa-limon-ajo</t>
  </si>
  <si>
    <t>sandias-guayaba-manzana-melon</t>
  </si>
  <si>
    <t>Azucar   1 bulto  50 kg</t>
  </si>
  <si>
    <t>9-Sept-23  AZUCAR</t>
  </si>
  <si>
    <t>Frijol- 25 KG --guajillo-costeño-tamarindo-almendra</t>
  </si>
  <si>
    <t>crema-lala-yogurt-palillos-chipotles-catsup-mayonesa-leche-lechera-fibras scotch--sal-servilletas-toalla</t>
  </si>
  <si>
    <t>PAN Dulce  y  Bimbo</t>
  </si>
  <si>
    <t>tortillas-</t>
  </si>
  <si>
    <t>del       09--- al  15 Septiembre</t>
  </si>
  <si>
    <t>Carne molida mixta-jamon-queso-bisteck pco-retazo-pollo-papas francesa-costilla-chuleta ahum-milanesa-mole-salchicha-pechuga-espinozo-chicharron-jamon-tocino</t>
  </si>
  <si>
    <t>Epazote, hiervabuena, manzanilla,cilantro-tomillo-oregano-rabanos-poro-col-pipicha</t>
  </si>
  <si>
    <t>Maracuya--fresas-melon-piña-sandia-papaya-jamaica</t>
  </si>
  <si>
    <t>Jitomate, calabaza, poblano, papa, jalapeño, cebolla, tomate, serrano, limon-lechugas brocoli-poro-nopal-chicharo-chayote-ejote-ajo-poblano-pepino-limon-elotes-champiñones</t>
  </si>
  <si>
    <t>Aceite, leche, arroz, sopas, elote lata-margarina-bolsa-escobas-queso-gouda-Nescafe-Legal-crema-lala--ajax-jalador-vidrios</t>
  </si>
  <si>
    <t>Jamon amricano-molida mixta-bistec-queso--retazo-pollo-papa francesa-longaniza-pollo-codillo-hueso costilla-chuleta ahum-Costilla-milanesa-pechuga-salchica-espizano-goudachicharron-quesillo-tocino-brocheta</t>
  </si>
  <si>
    <t>Mango,sandia,guayaba-papaya-manzana-naranja-pera-limon-piña-pepino</t>
  </si>
  <si>
    <t>cilantro, epazote, hiervabuena, cilantro-maiz pozole-telimon-manzanilla-oregano-hojas aguacate-perejil</t>
  </si>
  <si>
    <t>jitomate,jalapeño,cebolla,papa,zanahoria,tomate,serrano,tampico.--ajo,poblano-limon-lechuga-nopal-brocoli-chicharo-calabaza-tampico-chicharo-chayote-morron-poro-molechampiñones-</t>
  </si>
  <si>
    <t>costeño,guajillo,pulla,tamarindo,arbol,morita-cacahuate-güero-tomillo-oregano-tamarindo-jaimaica--frijol-almendra</t>
  </si>
  <si>
    <t>yogurt Yoplait-café-norzuiza-fibras-café legal-tajas-italpasta-atun-hoja mixiote-aceite oliva-hilos mixiote-limpiador horno-chipotle-tajas-elote-mantequilla-yogurt-crema-catsup-mayonesa-sal-servilletas-toallas-arroz</t>
  </si>
  <si>
    <t>AZUCAR 1 bulto 50 kg   9-Sept-2023</t>
  </si>
  <si>
    <t>19-Ago--14-Sept-23</t>
  </si>
  <si>
    <t xml:space="preserve">RELACION   MENSUAL     DE GASTOS   COMEDOR   CENTRAL  </t>
  </si>
  <si>
    <t xml:space="preserve">RELACION MENSUAL      DE GASTOS   COMEDOR   O B R A D O R </t>
  </si>
  <si>
    <t>15---22--Sept-23</t>
  </si>
  <si>
    <t xml:space="preserve">papaya-sandia-melon -guayaba-sandia </t>
  </si>
  <si>
    <t>hierbabuena-epazote-hoja aguacate-cilantro-oregano-poro</t>
  </si>
  <si>
    <t>FRIJOL</t>
  </si>
  <si>
    <t>huevo blanco</t>
  </si>
  <si>
    <t>Yogurt-elote-harina-arroz- crema-cubeta para IRANA</t>
  </si>
  <si>
    <t>del       15--- al  22 Septiembre</t>
  </si>
  <si>
    <t>Tocino,jamon-cuete res-gouda-fajitas-res-queso panela--pechuga-salchicha-molida mixta-totopos-crema-pollo-</t>
  </si>
  <si>
    <t>calabaza-cebolla-jalapeño-jitomate-papa-tampico-tomate-zanahoria--limon-poblano-huazontles-brocoli-aguacate-</t>
  </si>
  <si>
    <t>Tortillas--Totopos</t>
  </si>
  <si>
    <t>15--22-Sept-23</t>
  </si>
  <si>
    <t>cuete res-jamon-tocino-chicharron-quesos-fajitas res--salchicha-molida mixta-pechuga-pollo-</t>
  </si>
  <si>
    <t>manzanilla-epazote-hierbabuena-oregano-tomillo-pipicha-cilantro-hoja aguacate</t>
  </si>
  <si>
    <t>elote-huazontles-poro-brocoli-espinaca-calabaza-jitomate-papa-cebolla-serrano-chicharo-tomate-poblano-tampico-jalapeño-ajo</t>
  </si>
  <si>
    <t>sandia-naranja-papayas-</t>
  </si>
  <si>
    <t>jamaica-chile ancho-chile pulla-chile guajillo-costeño-tamarindo</t>
  </si>
  <si>
    <t>chipotle-rajas-elote-harina-Knor zuisa tarro-yogurt</t>
  </si>
  <si>
    <t>PAN DULCE-----BIMBO</t>
  </si>
  <si>
    <t>semana  # 01</t>
  </si>
  <si>
    <t>semana  # 02</t>
  </si>
  <si>
    <t>semana  # 03</t>
  </si>
  <si>
    <t>semana  # 04</t>
  </si>
  <si>
    <t>26-Ago- al  01-SEPT</t>
  </si>
  <si>
    <t xml:space="preserve">AGUA </t>
  </si>
  <si>
    <t>2--al  -8-Sept-23</t>
  </si>
  <si>
    <t>del       23--- al  29 Septiembre</t>
  </si>
  <si>
    <t>23--al 29- Sept-23</t>
  </si>
  <si>
    <t>del       15--- al  22   Septiembre</t>
  </si>
  <si>
    <t>del       23--- al  29    Septiembre</t>
  </si>
  <si>
    <t>Norteño-queso panela-pechuga-totopos-crema-costilla-gouda-mole-alon-maiz abuela</t>
  </si>
  <si>
    <t>poblano-jitomate-tampico-cebolla-calabaza-chayote-zanahoria-papa-tomate-chicharo-ajo-</t>
  </si>
  <si>
    <t>melon-papaya-sandia-tuna-guayaba--manzana-piña</t>
  </si>
  <si>
    <t>epazote-perejil-oregano-rabanos-lechugas-</t>
  </si>
  <si>
    <t xml:space="preserve">HUEVO   </t>
  </si>
  <si>
    <t xml:space="preserve">AZUCAR  BULTO 50 kg </t>
  </si>
  <si>
    <t>ELOTE-CAFÉ LEGAL-HARINA-ITALPASTA-CREMA-SALEROS-MAYONESA</t>
  </si>
  <si>
    <t>CANELA-AJONJOLI- FRIJOL</t>
  </si>
  <si>
    <t>Norteño-queso panela-totopos-gouda-pechuga pollo-costilla-jamon-mole-maiz-tostadas-alon</t>
  </si>
  <si>
    <t>Jitomate-cebolla-ejote-chicharo-chayote-papa-zanahoria-calabaza-tomate-tampico-serramp-poblano-aguacate-limon-jalapeño-morron-</t>
  </si>
  <si>
    <t>Manzana -guayaba-sandia-melon</t>
  </si>
  <si>
    <t>Manzanilla-cilantro-telimon-hoja aguacate-laurel-tomillo-oregano-lechugas</t>
  </si>
  <si>
    <t>TOTILLAS</t>
  </si>
  <si>
    <t>Papel mixiote-microdin-yogurt-cereal-vinagre-elote-Café legal-Italpasta-  AJAX</t>
  </si>
  <si>
    <t>Ajonjoli--chile costeño-pulla-tamatindo-serrano-arroz-chipotle</t>
  </si>
  <si>
    <t>del       30--- al  06    OCTUBRE-2023</t>
  </si>
  <si>
    <t>30---al    06-OCTUBRE 23</t>
  </si>
  <si>
    <t>Bistec Pco-jamon-queso panela-salchicha-retazo--quesillo-papa francesa-milanesa pollo-Maiz-codillo-hueso-pollo</t>
  </si>
  <si>
    <t>Epazote-cilantro-</t>
  </si>
  <si>
    <t>Melon-sandia-piña-limon-guayaba--sandia-melon-papaya</t>
  </si>
  <si>
    <t xml:space="preserve">HUEVO </t>
  </si>
  <si>
    <t>JAMAICA-GUAJILLO-PULLA-PASILLA-ANCHO-PAN MOLIDO</t>
  </si>
  <si>
    <t>Quesillo-jamon-bistec pco-queso panela-salchicha-retazo-milanesa pollo-papa francesa-pollo-hueso-codillo-maiz-tostadas</t>
  </si>
  <si>
    <t>Yogurt-Chipotle-rajas-elote-café legal-Knor Suiza-Italpasta-Vinagre-Sal gruesa-Pan molido-</t>
  </si>
  <si>
    <t>Chile pulla-Guajillo-costeño</t>
  </si>
  <si>
    <t>ELOTE-LECHE-ITALPASTA-ARROZ-YOGURT</t>
  </si>
  <si>
    <t>lechuga-rabanos-jitomate--papa-poblano-jalapeño-cebolla-ajo-calabaza-tomate-serrano-elote-romanas</t>
  </si>
  <si>
    <t>Naranja-Guayaba--Melon-Sandia-Papaya-limon</t>
  </si>
  <si>
    <t>Hoja de aguacate-epazote-cilantro-</t>
  </si>
  <si>
    <t>Lechugas-Elotes-Tomate-Jitomate-Papa-Jalapeño-Zanahoria-Calabaza-Cebolla-Poblano-Limon-Tampico-Serrano-Ajo- Berenjena-Lechuga</t>
  </si>
  <si>
    <t>23--al 29-SEPT-23</t>
  </si>
  <si>
    <t>30- al  06-Oct-23</t>
  </si>
  <si>
    <t>del 19-Agosto al  15-Sept-23</t>
  </si>
  <si>
    <t>del 15 Sept   al   06   Oct-23</t>
  </si>
  <si>
    <t>23- Al  29-Sept-23</t>
  </si>
  <si>
    <t>30  al  06  Oct-23</t>
  </si>
  <si>
    <r>
      <t xml:space="preserve">AZUCAR  1 BULTO  50 Kg        </t>
    </r>
    <r>
      <rPr>
        <b/>
        <sz val="11"/>
        <color rgb="FF990033"/>
        <rFont val="Calibri"/>
        <family val="2"/>
        <scheme val="minor"/>
      </rPr>
      <t xml:space="preserve"> Compra anterior   9--Sept-         1 BULTO   </t>
    </r>
  </si>
  <si>
    <t>Compra 1 bulto AZUCAR</t>
  </si>
  <si>
    <t>23- Al  30-Sept-23</t>
  </si>
  <si>
    <t>23--al 30-SEPT-23</t>
  </si>
  <si>
    <t xml:space="preserve">DEL 19 AGOSTO   AL     31  AGOSTO </t>
  </si>
  <si>
    <t>DEL 1 SEPT   al   30-Sept-2023</t>
  </si>
  <si>
    <t>del       07--- al  13    OCTUBRE-2023</t>
  </si>
  <si>
    <t>Queso-Chuleta Ahum--Espaldilla-Gouda-Tostadas-pollo-Jamon-Milanesa pollo</t>
  </si>
  <si>
    <t>Jitomate-Chicharo-Chayote-Zanahoria-Calabaza-Cebolla-Tampico-Poblano-Ajo-Papa-Serrano-Tomate-Lechuga --Nopales-Pepeinos</t>
  </si>
  <si>
    <t>Melon-Guayaba-Manzana</t>
  </si>
  <si>
    <t>Yogurt-Chipotle-Rajas-Atun-Elote-Café clasico-Galletitas-Leche-Philadelphia</t>
  </si>
  <si>
    <t>Pan molido-Tamarindo-Ajonjoli-Cacahuate-Comino-Canela-Jamaica-Frijol</t>
  </si>
  <si>
    <t>Cilantro-Epazote-Thelimon-Manzanilla-Hoja Aguacate-Laurel</t>
  </si>
  <si>
    <t>07---al    13  -OCTUBRE 23</t>
  </si>
  <si>
    <t>Chuleta Ahu-Tostadas-Queso Panela-Espaldilla-Jamon-Pollo-Milanesa Pollo</t>
  </si>
  <si>
    <t>Jitomate-Calabaza-Chayote-Ejote-Chicharo-Zanahoria-Papa-Cebolla-Poblano-Tomate-Limon-Brocoli-Poro-Epazote-Nopales-Aguacate-Lechuga-Pepino</t>
  </si>
  <si>
    <t>Melon-Piña-Papaya-sandia -Manzana-Maracuya-</t>
  </si>
  <si>
    <t>Cacahuate-Sal</t>
  </si>
  <si>
    <t>Mayonesa-Atun-Elote-Leche-Knorzuisa-Sal- Crema-Galletitas-Philadelphia</t>
  </si>
  <si>
    <t>AGUA</t>
  </si>
  <si>
    <t># 05</t>
  </si>
  <si>
    <t>del       14--- al  20    OCTUBRE-2023</t>
  </si>
  <si>
    <t>14--AL---20--Octubre-23</t>
  </si>
  <si>
    <t>Jamon-pechuga-pollo-queso-mole-gouda-crema lala-tostadas-salchicha-chicharron-tocino-brocheta</t>
  </si>
  <si>
    <t>papa-calabaza-chayote-zanahoria-poblano-chicharo-cebolla-tampico-serrano-ajo-pimiento-champiñones-pepinos-limon-tomate-jitomate</t>
  </si>
  <si>
    <t>brocoli-cilantro-epazote-telimon-poro-romana-laurel-hojas aguacate-perejil</t>
  </si>
  <si>
    <t>Leche-Knorzuisa-yogurt-arroz servilletas-limpiador estufa</t>
  </si>
  <si>
    <t>jamaica -costeño-tamarindo-guajillo</t>
  </si>
  <si>
    <t>sandias--guayaba--piñas-limon--papaya</t>
  </si>
  <si>
    <t>Tortillas</t>
  </si>
  <si>
    <t>Pollo-Mole-quesos-jamon-Salchicha-Pechuga-crema -tostadas-chicharron--tocino-brocheta</t>
  </si>
  <si>
    <t>Tomate-papa-chayote-calabaza-ejote-cebolla-ajo-poblano-pepino-melon-sandia-papaya-pimineto-champiñones--jitomate--aguacate</t>
  </si>
  <si>
    <t>Sandias--Limon--Papaya</t>
  </si>
  <si>
    <t>Perejil-Epazote--Romanas--Brocolis</t>
  </si>
  <si>
    <t>Elote--Leche Lala--Italpasatas--Arroz --Crema Alpura--</t>
  </si>
  <si>
    <t>Chiles  Morita--Costeño--Chile Ancho-Pulla-Jamaica-frijol</t>
  </si>
  <si>
    <t># 06</t>
  </si>
  <si>
    <t>21--AL---27--Octubre-23</t>
  </si>
  <si>
    <t>del       21--- al  27    OCTUBRE-2023</t>
  </si>
  <si>
    <t>Pechuga--Bistec pco --pollo-jamon--chicharron-gouda</t>
  </si>
  <si>
    <t>Papaya --Manzana--maracuya--sandia --guayaba</t>
  </si>
  <si>
    <t>Poblano--zanahoria --calabaza--chayote--chicharo--serrano--tampico--ejote--pápá-cebolla--ajo--tomate--jitomate-Limon-Eloe</t>
  </si>
  <si>
    <t>29-Sept-23  1 BULTO AZUCAR 50 K</t>
  </si>
  <si>
    <r>
      <t>Yogurt-----21-Oct-23  ----Azucar bulto 50K-</t>
    </r>
    <r>
      <rPr>
        <b/>
        <sz val="10"/>
        <color theme="7" tint="-0.499984740745262"/>
        <rFont val="Calibri"/>
        <family val="2"/>
        <scheme val="minor"/>
      </rPr>
      <t>-29-Sept-23 se combo 1 Bulto AZUCAR--Chiopotle-rajas-Elote-Café Legal--Leche--Italpasta-</t>
    </r>
  </si>
  <si>
    <t>Papel Mixiote--Hilo mixiote--guajillo--pulla-ciruela--almendras-canela</t>
  </si>
  <si>
    <t>Bistec pco--pechugas--queso panela--pollo--chicharron</t>
  </si>
  <si>
    <t>Chicharo--calabaza--zanahoria--chayote--jalapeño--serrano--cebolla--Papa--Limon-Elote--Jitomate</t>
  </si>
  <si>
    <t>Melon-Sandia--Guayaba--Manzana--maracuya</t>
  </si>
  <si>
    <t>Tomillo-oregano-pipicha-Hierbabuena-poro-Cilantro</t>
  </si>
  <si>
    <t>HUEV O</t>
  </si>
  <si>
    <t>Yogurt--Chipotle--Elote--ACEITE--CREMA ALPURA</t>
  </si>
  <si>
    <t>Almendras--Ciruela Pasa--</t>
  </si>
  <si>
    <t>PAN DE DULCE</t>
  </si>
  <si>
    <t>21--AL---27--Octubre-24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</si>
</sst>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7" formatCode="&quot;$&quot;#,##0.00;\-&quot;$&quot;#,##0.00"/>
    <numFmt numFmtId="44" formatCode="_-&quot;$&quot;* #,##0.00_-;\-&quot;$&quot;* #,##0.00_-;_-&quot;$&quot;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/>
      <top style="mediumDash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n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Dot">
        <color indexed="64"/>
      </top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DashDot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4">
    <xf numFmtId="0" fontId="0" fillId="0" borderId="0" xfId="0"/>
    <xf numFmtId="0" fontId="2" fillId="0" borderId="0" xfId="0" applyFont="1"/>
    <xf numFmtId="0" fontId="5" fillId="0" borderId="0" xfId="0" applyFont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2" fillId="0" borderId="0" xfId="1" applyFont="1"/>
    <xf numFmtId="15" fontId="5" fillId="0" borderId="2" xfId="0" applyNumberFormat="1" applyFont="1" applyBorder="1" applyAlignment="1">
      <alignment horizontal="center" vertical="center"/>
    </xf>
    <xf numFmtId="15" fontId="2" fillId="0" borderId="0" xfId="0" applyNumberFormat="1" applyFont="1" applyAlignment="1">
      <alignment horizontal="center"/>
    </xf>
    <xf numFmtId="0" fontId="0" fillId="2" borderId="8" xfId="0" applyFill="1" applyBorder="1"/>
    <xf numFmtId="15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44" fontId="2" fillId="0" borderId="1" xfId="1" applyFont="1" applyBorder="1"/>
    <xf numFmtId="0" fontId="0" fillId="2" borderId="0" xfId="0" applyFill="1" applyBorder="1"/>
    <xf numFmtId="44" fontId="2" fillId="0" borderId="9" xfId="1" applyFont="1" applyBorder="1"/>
    <xf numFmtId="0" fontId="5" fillId="0" borderId="14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0" fontId="5" fillId="0" borderId="16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44" fontId="2" fillId="0" borderId="17" xfId="1" applyFont="1" applyBorder="1"/>
    <xf numFmtId="44" fontId="2" fillId="0" borderId="18" xfId="1" applyFont="1" applyBorder="1" applyAlignment="1">
      <alignment vertical="center"/>
    </xf>
    <xf numFmtId="44" fontId="2" fillId="0" borderId="19" xfId="1" applyFont="1" applyBorder="1" applyAlignment="1">
      <alignment vertical="center"/>
    </xf>
    <xf numFmtId="44" fontId="2" fillId="0" borderId="20" xfId="1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vertical="center"/>
    </xf>
    <xf numFmtId="44" fontId="3" fillId="0" borderId="18" xfId="1" applyFont="1" applyBorder="1" applyAlignment="1">
      <alignment vertical="center"/>
    </xf>
    <xf numFmtId="44" fontId="3" fillId="0" borderId="19" xfId="1" applyFont="1" applyBorder="1" applyAlignment="1">
      <alignment vertical="center"/>
    </xf>
    <xf numFmtId="44" fontId="3" fillId="0" borderId="20" xfId="1" applyFont="1" applyBorder="1" applyAlignment="1">
      <alignment vertical="center"/>
    </xf>
    <xf numFmtId="0" fontId="8" fillId="4" borderId="21" xfId="0" applyFont="1" applyFill="1" applyBorder="1" applyAlignment="1">
      <alignment horizontal="right" vertical="center"/>
    </xf>
    <xf numFmtId="0" fontId="2" fillId="0" borderId="17" xfId="0" applyFont="1" applyBorder="1"/>
    <xf numFmtId="0" fontId="8" fillId="3" borderId="2" xfId="0" applyFont="1" applyFill="1" applyBorder="1" applyAlignment="1">
      <alignment horizontal="right" vertical="center"/>
    </xf>
    <xf numFmtId="15" fontId="5" fillId="0" borderId="5" xfId="0" applyNumberFormat="1" applyFont="1" applyBorder="1" applyAlignment="1">
      <alignment horizontal="center" vertical="center"/>
    </xf>
    <xf numFmtId="0" fontId="0" fillId="2" borderId="22" xfId="0" applyFill="1" applyBorder="1"/>
    <xf numFmtId="0" fontId="5" fillId="2" borderId="23" xfId="0" applyFont="1" applyFill="1" applyBorder="1" applyAlignment="1">
      <alignment vertical="center"/>
    </xf>
    <xf numFmtId="0" fontId="4" fillId="2" borderId="24" xfId="0" applyFont="1" applyFill="1" applyBorder="1" applyAlignment="1"/>
    <xf numFmtId="15" fontId="6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5" fontId="9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wrapText="1"/>
    </xf>
    <xf numFmtId="0" fontId="9" fillId="0" borderId="1" xfId="0" applyFont="1" applyBorder="1"/>
    <xf numFmtId="0" fontId="11" fillId="0" borderId="1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2" fillId="0" borderId="1" xfId="0" applyFont="1" applyBorder="1"/>
    <xf numFmtId="15" fontId="11" fillId="0" borderId="9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wrapText="1"/>
    </xf>
    <xf numFmtId="0" fontId="5" fillId="0" borderId="14" xfId="0" applyFont="1" applyBorder="1" applyAlignment="1">
      <alignment vertical="center" wrapText="1"/>
    </xf>
    <xf numFmtId="0" fontId="6" fillId="0" borderId="16" xfId="0" applyFont="1" applyBorder="1" applyAlignment="1">
      <alignment horizontal="center" vertical="center" wrapText="1"/>
    </xf>
    <xf numFmtId="0" fontId="5" fillId="5" borderId="11" xfId="0" applyFont="1" applyFill="1" applyBorder="1" applyAlignment="1">
      <alignment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vertical="center"/>
    </xf>
    <xf numFmtId="0" fontId="0" fillId="2" borderId="27" xfId="0" applyFill="1" applyBorder="1"/>
    <xf numFmtId="0" fontId="5" fillId="5" borderId="28" xfId="0" applyFont="1" applyFill="1" applyBorder="1" applyAlignment="1">
      <alignment vertical="center"/>
    </xf>
    <xf numFmtId="0" fontId="5" fillId="5" borderId="25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5" fillId="0" borderId="14" xfId="0" applyFont="1" applyBorder="1" applyAlignment="1">
      <alignment horizontal="center" vertical="center"/>
    </xf>
    <xf numFmtId="44" fontId="2" fillId="0" borderId="29" xfId="1" applyFont="1" applyFill="1" applyBorder="1"/>
    <xf numFmtId="0" fontId="14" fillId="0" borderId="1" xfId="0" applyFont="1" applyBorder="1" applyAlignment="1">
      <alignment wrapText="1"/>
    </xf>
    <xf numFmtId="44" fontId="2" fillId="0" borderId="1" xfId="1" applyFont="1" applyFill="1" applyBorder="1"/>
    <xf numFmtId="0" fontId="13" fillId="0" borderId="0" xfId="0" applyFont="1" applyBorder="1" applyAlignment="1">
      <alignment horizontal="center"/>
    </xf>
    <xf numFmtId="0" fontId="5" fillId="5" borderId="31" xfId="0" applyFont="1" applyFill="1" applyBorder="1" applyAlignment="1">
      <alignment vertical="center"/>
    </xf>
    <xf numFmtId="44" fontId="2" fillId="0" borderId="0" xfId="1" applyFont="1" applyBorder="1"/>
    <xf numFmtId="44" fontId="2" fillId="0" borderId="0" xfId="1" applyFont="1" applyFill="1" applyBorder="1"/>
    <xf numFmtId="44" fontId="2" fillId="0" borderId="9" xfId="1" applyFont="1" applyFill="1" applyBorder="1"/>
    <xf numFmtId="44" fontId="2" fillId="0" borderId="17" xfId="1" applyFont="1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6" xfId="0" applyFill="1" applyBorder="1"/>
    <xf numFmtId="44" fontId="3" fillId="0" borderId="8" xfId="1" applyFont="1" applyFill="1" applyBorder="1" applyAlignment="1">
      <alignment vertical="center"/>
    </xf>
    <xf numFmtId="44" fontId="2" fillId="0" borderId="0" xfId="1" applyFont="1" applyFill="1"/>
    <xf numFmtId="0" fontId="0" fillId="0" borderId="7" xfId="0" applyFill="1" applyBorder="1"/>
    <xf numFmtId="0" fontId="0" fillId="0" borderId="0" xfId="0" applyFill="1"/>
    <xf numFmtId="0" fontId="4" fillId="0" borderId="30" xfId="0" applyFont="1" applyFill="1" applyBorder="1" applyAlignment="1"/>
    <xf numFmtId="0" fontId="5" fillId="0" borderId="32" xfId="0" applyFont="1" applyFill="1" applyBorder="1" applyAlignment="1">
      <alignment vertical="center"/>
    </xf>
    <xf numFmtId="0" fontId="4" fillId="2" borderId="33" xfId="0" applyFont="1" applyFill="1" applyBorder="1" applyAlignment="1"/>
    <xf numFmtId="0" fontId="4" fillId="3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1" fillId="0" borderId="35" xfId="0" applyFont="1" applyBorder="1" applyAlignment="1">
      <alignment wrapText="1"/>
    </xf>
    <xf numFmtId="0" fontId="9" fillId="0" borderId="36" xfId="0" applyFont="1" applyBorder="1" applyAlignment="1">
      <alignment wrapText="1"/>
    </xf>
    <xf numFmtId="0" fontId="9" fillId="0" borderId="36" xfId="0" applyFont="1" applyBorder="1"/>
    <xf numFmtId="0" fontId="11" fillId="0" borderId="36" xfId="0" applyFont="1" applyBorder="1" applyAlignment="1">
      <alignment wrapText="1"/>
    </xf>
    <xf numFmtId="0" fontId="14" fillId="0" borderId="36" xfId="0" applyFont="1" applyBorder="1" applyAlignment="1">
      <alignment wrapText="1"/>
    </xf>
    <xf numFmtId="0" fontId="12" fillId="0" borderId="36" xfId="0" applyFont="1" applyBorder="1"/>
    <xf numFmtId="15" fontId="9" fillId="0" borderId="37" xfId="0" applyNumberFormat="1" applyFont="1" applyBorder="1" applyAlignment="1">
      <alignment horizontal="center"/>
    </xf>
    <xf numFmtId="15" fontId="6" fillId="0" borderId="9" xfId="0" applyNumberFormat="1" applyFont="1" applyBorder="1" applyAlignment="1">
      <alignment horizontal="center" vertical="center" wrapText="1"/>
    </xf>
    <xf numFmtId="44" fontId="15" fillId="0" borderId="1" xfId="1" applyFont="1" applyFill="1" applyBorder="1"/>
    <xf numFmtId="0" fontId="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15" fontId="11" fillId="0" borderId="34" xfId="0" applyNumberFormat="1" applyFont="1" applyBorder="1" applyAlignment="1">
      <alignment horizontal="center" vertical="center" wrapText="1"/>
    </xf>
    <xf numFmtId="0" fontId="9" fillId="0" borderId="36" xfId="0" applyFont="1" applyBorder="1" applyAlignment="1">
      <alignment vertical="center" wrapText="1"/>
    </xf>
    <xf numFmtId="0" fontId="3" fillId="5" borderId="31" xfId="0" applyFont="1" applyFill="1" applyBorder="1" applyAlignment="1">
      <alignment vertical="center" wrapText="1"/>
    </xf>
    <xf numFmtId="44" fontId="3" fillId="0" borderId="2" xfId="1" applyFont="1" applyBorder="1" applyAlignment="1">
      <alignment vertical="center"/>
    </xf>
    <xf numFmtId="0" fontId="4" fillId="3" borderId="30" xfId="0" applyFont="1" applyFill="1" applyBorder="1" applyAlignment="1">
      <alignment horizontal="center"/>
    </xf>
    <xf numFmtId="0" fontId="5" fillId="2" borderId="38" xfId="0" applyFont="1" applyFill="1" applyBorder="1" applyAlignment="1">
      <alignment vertical="center"/>
    </xf>
    <xf numFmtId="0" fontId="3" fillId="5" borderId="2" xfId="0" applyFont="1" applyFill="1" applyBorder="1" applyAlignment="1">
      <alignment horizontal="center" vertical="center" wrapText="1"/>
    </xf>
    <xf numFmtId="44" fontId="2" fillId="6" borderId="9" xfId="1" applyFont="1" applyFill="1" applyBorder="1"/>
    <xf numFmtId="44" fontId="2" fillId="6" borderId="1" xfId="1" applyFont="1" applyFill="1" applyBorder="1"/>
    <xf numFmtId="0" fontId="16" fillId="0" borderId="1" xfId="0" applyFont="1" applyBorder="1" applyAlignment="1">
      <alignment wrapText="1"/>
    </xf>
    <xf numFmtId="0" fontId="2" fillId="0" borderId="9" xfId="0" applyFont="1" applyBorder="1" applyAlignment="1">
      <alignment vertical="center" wrapText="1"/>
    </xf>
    <xf numFmtId="15" fontId="15" fillId="0" borderId="1" xfId="0" applyNumberFormat="1" applyFont="1" applyBorder="1" applyAlignment="1">
      <alignment horizontal="center"/>
    </xf>
    <xf numFmtId="0" fontId="2" fillId="6" borderId="0" xfId="0" applyFont="1" applyFill="1"/>
    <xf numFmtId="0" fontId="0" fillId="6" borderId="0" xfId="0" applyFill="1"/>
    <xf numFmtId="0" fontId="16" fillId="0" borderId="39" xfId="0" applyFont="1" applyBorder="1" applyAlignment="1">
      <alignment wrapText="1"/>
    </xf>
    <xf numFmtId="0" fontId="9" fillId="0" borderId="39" xfId="0" applyFont="1" applyBorder="1"/>
    <xf numFmtId="0" fontId="11" fillId="0" borderId="39" xfId="0" applyFont="1" applyBorder="1" applyAlignment="1">
      <alignment wrapText="1"/>
    </xf>
    <xf numFmtId="0" fontId="9" fillId="0" borderId="39" xfId="0" applyFont="1" applyBorder="1" applyAlignment="1">
      <alignment vertical="center"/>
    </xf>
    <xf numFmtId="44" fontId="2" fillId="0" borderId="35" xfId="1" applyFont="1" applyFill="1" applyBorder="1"/>
    <xf numFmtId="44" fontId="2" fillId="0" borderId="40" xfId="1" applyFont="1" applyFill="1" applyBorder="1"/>
    <xf numFmtId="44" fontId="2" fillId="0" borderId="37" xfId="1" applyFont="1" applyFill="1" applyBorder="1"/>
    <xf numFmtId="15" fontId="9" fillId="0" borderId="9" xfId="0" applyNumberFormat="1" applyFont="1" applyBorder="1" applyAlignment="1">
      <alignment horizontal="center"/>
    </xf>
    <xf numFmtId="15" fontId="11" fillId="0" borderId="41" xfId="0" applyNumberFormat="1" applyFont="1" applyBorder="1" applyAlignment="1">
      <alignment horizontal="center" vertical="center" wrapText="1"/>
    </xf>
    <xf numFmtId="15" fontId="11" fillId="0" borderId="42" xfId="0" applyNumberFormat="1" applyFont="1" applyBorder="1" applyAlignment="1">
      <alignment horizontal="center" vertical="center" wrapText="1"/>
    </xf>
    <xf numFmtId="15" fontId="11" fillId="0" borderId="43" xfId="0" applyNumberFormat="1" applyFont="1" applyBorder="1" applyAlignment="1">
      <alignment horizontal="center" vertical="center" wrapText="1"/>
    </xf>
    <xf numFmtId="15" fontId="2" fillId="0" borderId="0" xfId="0" applyNumberFormat="1" applyFont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vertical="center"/>
    </xf>
    <xf numFmtId="0" fontId="4" fillId="0" borderId="3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7" borderId="2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0" fillId="8" borderId="0" xfId="0" applyFill="1" applyBorder="1"/>
    <xf numFmtId="0" fontId="0" fillId="8" borderId="8" xfId="0" applyFill="1" applyBorder="1"/>
    <xf numFmtId="0" fontId="4" fillId="8" borderId="33" xfId="0" applyFont="1" applyFill="1" applyBorder="1" applyAlignment="1"/>
    <xf numFmtId="0" fontId="0" fillId="8" borderId="27" xfId="0" applyFill="1" applyBorder="1"/>
    <xf numFmtId="0" fontId="5" fillId="8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vertical="center" wrapText="1"/>
    </xf>
    <xf numFmtId="0" fontId="5" fillId="5" borderId="14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vertical="center" wrapText="1"/>
    </xf>
    <xf numFmtId="0" fontId="2" fillId="5" borderId="28" xfId="0" applyFont="1" applyFill="1" applyBorder="1" applyAlignment="1">
      <alignment vertical="center"/>
    </xf>
    <xf numFmtId="0" fontId="2" fillId="5" borderId="25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vertical="center"/>
    </xf>
    <xf numFmtId="0" fontId="4" fillId="0" borderId="33" xfId="0" applyFont="1" applyFill="1" applyBorder="1" applyAlignment="1"/>
    <xf numFmtId="0" fontId="0" fillId="0" borderId="27" xfId="0" applyFill="1" applyBorder="1"/>
    <xf numFmtId="0" fontId="2" fillId="0" borderId="0" xfId="0" applyFont="1" applyBorder="1" applyAlignment="1">
      <alignment vertical="center"/>
    </xf>
    <xf numFmtId="0" fontId="17" fillId="0" borderId="0" xfId="0" applyFont="1" applyFill="1" applyAlignment="1">
      <alignment wrapText="1"/>
    </xf>
    <xf numFmtId="7" fontId="4" fillId="0" borderId="0" xfId="1" applyNumberFormat="1" applyFont="1" applyFill="1" applyBorder="1" applyAlignment="1"/>
    <xf numFmtId="44" fontId="0" fillId="0" borderId="8" xfId="1" applyFont="1" applyFill="1" applyBorder="1"/>
    <xf numFmtId="44" fontId="3" fillId="0" borderId="45" xfId="1" applyFont="1" applyBorder="1" applyAlignment="1">
      <alignment vertical="center"/>
    </xf>
    <xf numFmtId="15" fontId="2" fillId="3" borderId="46" xfId="0" applyNumberFormat="1" applyFont="1" applyFill="1" applyBorder="1" applyAlignment="1">
      <alignment horizontal="center"/>
    </xf>
    <xf numFmtId="0" fontId="8" fillId="3" borderId="47" xfId="0" applyFont="1" applyFill="1" applyBorder="1" applyAlignment="1">
      <alignment horizontal="right" vertical="center"/>
    </xf>
    <xf numFmtId="44" fontId="5" fillId="3" borderId="48" xfId="0" applyNumberFormat="1" applyFont="1" applyFill="1" applyBorder="1"/>
    <xf numFmtId="0" fontId="3" fillId="3" borderId="2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15" fontId="5" fillId="0" borderId="44" xfId="0" applyNumberFormat="1" applyFont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44" fontId="2" fillId="0" borderId="2" xfId="1" applyFont="1" applyBorder="1"/>
    <xf numFmtId="44" fontId="3" fillId="0" borderId="2" xfId="0" applyNumberFormat="1" applyFont="1" applyFill="1" applyBorder="1" applyAlignment="1">
      <alignment vertical="center"/>
    </xf>
    <xf numFmtId="15" fontId="2" fillId="0" borderId="19" xfId="0" applyNumberFormat="1" applyFont="1" applyBorder="1" applyAlignment="1">
      <alignment horizontal="center" vertical="center" wrapText="1"/>
    </xf>
    <xf numFmtId="15" fontId="6" fillId="0" borderId="19" xfId="0" applyNumberFormat="1" applyFont="1" applyBorder="1" applyAlignment="1">
      <alignment horizontal="center" vertical="center" wrapText="1"/>
    </xf>
    <xf numFmtId="44" fontId="3" fillId="0" borderId="0" xfId="1" applyFont="1"/>
    <xf numFmtId="0" fontId="4" fillId="9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15" fontId="2" fillId="9" borderId="46" xfId="0" applyNumberFormat="1" applyFont="1" applyFill="1" applyBorder="1" applyAlignment="1">
      <alignment horizontal="center"/>
    </xf>
    <xf numFmtId="0" fontId="8" fillId="9" borderId="47" xfId="0" applyFont="1" applyFill="1" applyBorder="1" applyAlignment="1">
      <alignment horizontal="right" vertical="center"/>
    </xf>
    <xf numFmtId="44" fontId="5" fillId="9" borderId="48" xfId="0" applyNumberFormat="1" applyFont="1" applyFill="1" applyBorder="1"/>
    <xf numFmtId="0" fontId="2" fillId="5" borderId="1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44" fontId="3" fillId="0" borderId="50" xfId="1" applyFont="1" applyBorder="1" applyAlignment="1">
      <alignment vertical="center"/>
    </xf>
    <xf numFmtId="44" fontId="2" fillId="0" borderId="7" xfId="1" applyFont="1" applyBorder="1"/>
    <xf numFmtId="0" fontId="2" fillId="5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wrapText="1"/>
    </xf>
    <xf numFmtId="0" fontId="5" fillId="5" borderId="25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9" fillId="6" borderId="36" xfId="0" applyFont="1" applyFill="1" applyBorder="1" applyAlignment="1">
      <alignment vertical="center" wrapText="1"/>
    </xf>
    <xf numFmtId="0" fontId="4" fillId="8" borderId="7" xfId="0" applyFont="1" applyFill="1" applyBorder="1" applyAlignment="1">
      <alignment horizontal="center"/>
    </xf>
    <xf numFmtId="15" fontId="2" fillId="11" borderId="0" xfId="0" applyNumberFormat="1" applyFont="1" applyFill="1" applyBorder="1" applyAlignment="1">
      <alignment horizontal="center"/>
    </xf>
    <xf numFmtId="0" fontId="0" fillId="11" borderId="0" xfId="0" applyFill="1" applyBorder="1"/>
    <xf numFmtId="0" fontId="4" fillId="3" borderId="7" xfId="0" applyFont="1" applyFill="1" applyBorder="1" applyAlignment="1">
      <alignment horizontal="center"/>
    </xf>
    <xf numFmtId="15" fontId="6" fillId="0" borderId="9" xfId="0" applyNumberFormat="1" applyFont="1" applyFill="1" applyBorder="1" applyAlignment="1">
      <alignment horizontal="center" vertical="center" wrapText="1"/>
    </xf>
    <xf numFmtId="0" fontId="9" fillId="0" borderId="36" xfId="0" applyFont="1" applyFill="1" applyBorder="1" applyAlignment="1">
      <alignment vertical="center" wrapText="1"/>
    </xf>
    <xf numFmtId="0" fontId="9" fillId="0" borderId="36" xfId="0" applyFont="1" applyFill="1" applyBorder="1"/>
    <xf numFmtId="0" fontId="10" fillId="0" borderId="36" xfId="0" applyFont="1" applyBorder="1" applyAlignment="1">
      <alignment wrapText="1"/>
    </xf>
    <xf numFmtId="0" fontId="10" fillId="0" borderId="36" xfId="0" applyFont="1" applyBorder="1" applyAlignment="1">
      <alignment vertical="center" wrapText="1"/>
    </xf>
    <xf numFmtId="0" fontId="13" fillId="0" borderId="49" xfId="0" applyFont="1" applyBorder="1" applyAlignment="1">
      <alignment horizontal="center"/>
    </xf>
    <xf numFmtId="0" fontId="17" fillId="0" borderId="1" xfId="0" applyFont="1" applyFill="1" applyBorder="1" applyAlignment="1">
      <alignment horizontal="center" wrapText="1"/>
    </xf>
    <xf numFmtId="0" fontId="17" fillId="7" borderId="1" xfId="0" applyFont="1" applyFill="1" applyBorder="1" applyAlignment="1">
      <alignment horizontal="center" wrapText="1"/>
    </xf>
    <xf numFmtId="0" fontId="17" fillId="12" borderId="1" xfId="0" applyFont="1" applyFill="1" applyBorder="1" applyAlignment="1">
      <alignment horizontal="center" wrapText="1"/>
    </xf>
    <xf numFmtId="0" fontId="2" fillId="5" borderId="28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vertical="center"/>
    </xf>
    <xf numFmtId="0" fontId="13" fillId="0" borderId="53" xfId="0" applyFont="1" applyBorder="1" applyAlignment="1">
      <alignment horizontal="center"/>
    </xf>
    <xf numFmtId="0" fontId="13" fillId="0" borderId="32" xfId="0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vertical="center"/>
    </xf>
    <xf numFmtId="44" fontId="5" fillId="0" borderId="0" xfId="0" applyNumberFormat="1" applyFont="1" applyFill="1" applyBorder="1"/>
    <xf numFmtId="44" fontId="3" fillId="0" borderId="19" xfId="1" applyFont="1" applyFill="1" applyBorder="1" applyAlignment="1">
      <alignment vertical="center"/>
    </xf>
    <xf numFmtId="44" fontId="2" fillId="0" borderId="19" xfId="1" applyFont="1" applyFill="1" applyBorder="1" applyAlignment="1">
      <alignment vertical="center"/>
    </xf>
    <xf numFmtId="44" fontId="3" fillId="0" borderId="18" xfId="1" applyFont="1" applyFill="1" applyBorder="1" applyAlignment="1">
      <alignment vertical="center"/>
    </xf>
    <xf numFmtId="44" fontId="3" fillId="0" borderId="20" xfId="1" applyFont="1" applyFill="1" applyBorder="1" applyAlignment="1">
      <alignment vertical="center"/>
    </xf>
    <xf numFmtId="44" fontId="2" fillId="0" borderId="2" xfId="1" applyFont="1" applyFill="1" applyBorder="1"/>
    <xf numFmtId="44" fontId="3" fillId="0" borderId="44" xfId="0" applyNumberFormat="1" applyFont="1" applyFill="1" applyBorder="1" applyAlignment="1">
      <alignment vertical="center"/>
    </xf>
    <xf numFmtId="15" fontId="2" fillId="3" borderId="57" xfId="0" applyNumberFormat="1" applyFont="1" applyFill="1" applyBorder="1" applyAlignment="1">
      <alignment horizontal="center"/>
    </xf>
    <xf numFmtId="0" fontId="8" fillId="3" borderId="58" xfId="0" applyFont="1" applyFill="1" applyBorder="1" applyAlignment="1">
      <alignment horizontal="right" vertical="center"/>
    </xf>
    <xf numFmtId="44" fontId="3" fillId="11" borderId="0" xfId="1" applyFont="1" applyFill="1" applyBorder="1" applyAlignment="1">
      <alignment vertical="center"/>
    </xf>
    <xf numFmtId="44" fontId="2" fillId="11" borderId="0" xfId="1" applyFont="1" applyFill="1" applyBorder="1" applyAlignment="1">
      <alignment vertical="center"/>
    </xf>
    <xf numFmtId="0" fontId="17" fillId="6" borderId="17" xfId="0" applyFont="1" applyFill="1" applyBorder="1" applyAlignment="1">
      <alignment horizontal="center" wrapText="1"/>
    </xf>
    <xf numFmtId="15" fontId="6" fillId="0" borderId="56" xfId="0" applyNumberFormat="1" applyFont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wrapText="1"/>
    </xf>
    <xf numFmtId="15" fontId="2" fillId="0" borderId="0" xfId="0" applyNumberFormat="1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44" fontId="3" fillId="0" borderId="32" xfId="1" applyFont="1" applyBorder="1" applyAlignment="1">
      <alignment vertical="center"/>
    </xf>
    <xf numFmtId="44" fontId="2" fillId="0" borderId="32" xfId="1" applyFont="1" applyBorder="1" applyAlignment="1">
      <alignment vertical="center"/>
    </xf>
    <xf numFmtId="44" fontId="3" fillId="0" borderId="3" xfId="1" applyFont="1" applyBorder="1" applyAlignment="1">
      <alignment vertical="center"/>
    </xf>
    <xf numFmtId="44" fontId="2" fillId="0" borderId="32" xfId="1" applyFont="1" applyBorder="1"/>
    <xf numFmtId="44" fontId="3" fillId="0" borderId="1" xfId="0" applyNumberFormat="1" applyFont="1" applyFill="1" applyBorder="1" applyAlignment="1">
      <alignment vertical="center"/>
    </xf>
    <xf numFmtId="44" fontId="2" fillId="11" borderId="0" xfId="1" applyFont="1" applyFill="1"/>
    <xf numFmtId="44" fontId="17" fillId="3" borderId="59" xfId="0" applyNumberFormat="1" applyFont="1" applyFill="1" applyBorder="1"/>
    <xf numFmtId="44" fontId="3" fillId="11" borderId="30" xfId="1" applyFont="1" applyFill="1" applyBorder="1" applyAlignment="1">
      <alignment vertical="center"/>
    </xf>
    <xf numFmtId="44" fontId="0" fillId="11" borderId="30" xfId="1" applyFont="1" applyFill="1" applyBorder="1"/>
    <xf numFmtId="0" fontId="15" fillId="0" borderId="9" xfId="0" applyFont="1" applyBorder="1" applyAlignment="1">
      <alignment vertical="center" wrapText="1"/>
    </xf>
    <xf numFmtId="15" fontId="2" fillId="0" borderId="0" xfId="0" applyNumberFormat="1" applyFont="1" applyFill="1" applyAlignment="1">
      <alignment horizontal="center"/>
    </xf>
    <xf numFmtId="44" fontId="4" fillId="0" borderId="0" xfId="1" applyNumberFormat="1" applyFont="1" applyFill="1" applyBorder="1" applyAlignment="1">
      <alignment horizontal="center"/>
    </xf>
    <xf numFmtId="7" fontId="4" fillId="0" borderId="0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44" fontId="4" fillId="3" borderId="3" xfId="1" applyNumberFormat="1" applyFont="1" applyFill="1" applyBorder="1" applyAlignment="1">
      <alignment horizontal="center"/>
    </xf>
    <xf numFmtId="7" fontId="4" fillId="3" borderId="4" xfId="1" applyNumberFormat="1" applyFont="1" applyFill="1" applyBorder="1" applyAlignment="1">
      <alignment horizontal="center"/>
    </xf>
    <xf numFmtId="7" fontId="4" fillId="3" borderId="5" xfId="1" applyNumberFormat="1" applyFont="1" applyFill="1" applyBorder="1" applyAlignment="1">
      <alignment horizontal="center"/>
    </xf>
    <xf numFmtId="44" fontId="4" fillId="4" borderId="3" xfId="1" applyNumberFormat="1" applyFont="1" applyFill="1" applyBorder="1" applyAlignment="1">
      <alignment horizontal="center"/>
    </xf>
    <xf numFmtId="7" fontId="4" fillId="4" borderId="4" xfId="1" applyNumberFormat="1" applyFont="1" applyFill="1" applyBorder="1" applyAlignment="1">
      <alignment horizontal="center"/>
    </xf>
    <xf numFmtId="7" fontId="4" fillId="4" borderId="5" xfId="1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7" fontId="4" fillId="3" borderId="3" xfId="1" applyNumberFormat="1" applyFont="1" applyFill="1" applyBorder="1" applyAlignment="1">
      <alignment horizontal="center"/>
    </xf>
    <xf numFmtId="0" fontId="13" fillId="0" borderId="49" xfId="0" applyFont="1" applyBorder="1" applyAlignment="1">
      <alignment horizontal="center"/>
    </xf>
    <xf numFmtId="44" fontId="4" fillId="6" borderId="54" xfId="1" applyFont="1" applyFill="1" applyBorder="1" applyAlignment="1">
      <alignment horizontal="center" vertical="center"/>
    </xf>
    <xf numFmtId="44" fontId="4" fillId="6" borderId="4" xfId="1" applyFont="1" applyFill="1" applyBorder="1" applyAlignment="1">
      <alignment horizontal="center" vertical="center"/>
    </xf>
    <xf numFmtId="44" fontId="4" fillId="6" borderId="55" xfId="1" applyFont="1" applyFill="1" applyBorder="1" applyAlignment="1">
      <alignment horizontal="center" vertical="center"/>
    </xf>
    <xf numFmtId="44" fontId="19" fillId="6" borderId="4" xfId="1" applyFont="1" applyFill="1" applyBorder="1" applyAlignment="1">
      <alignment horizontal="center" vertical="center"/>
    </xf>
    <xf numFmtId="44" fontId="19" fillId="6" borderId="5" xfId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/>
    </xf>
    <xf numFmtId="44" fontId="19" fillId="5" borderId="4" xfId="1" applyFont="1" applyFill="1" applyBorder="1" applyAlignment="1">
      <alignment horizontal="center" vertical="center"/>
    </xf>
    <xf numFmtId="44" fontId="19" fillId="5" borderId="5" xfId="1" applyFont="1" applyFill="1" applyBorder="1" applyAlignment="1">
      <alignment horizontal="center" vertical="center"/>
    </xf>
    <xf numFmtId="44" fontId="4" fillId="5" borderId="54" xfId="1" applyFont="1" applyFill="1" applyBorder="1" applyAlignment="1">
      <alignment horizontal="center" vertical="center"/>
    </xf>
    <xf numFmtId="44" fontId="4" fillId="5" borderId="4" xfId="1" applyFont="1" applyFill="1" applyBorder="1" applyAlignment="1">
      <alignment horizontal="center" vertical="center"/>
    </xf>
    <xf numFmtId="44" fontId="4" fillId="5" borderId="55" xfId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7" fillId="6" borderId="0" xfId="0" applyFont="1" applyFill="1" applyAlignment="1">
      <alignment wrapText="1"/>
    </xf>
    <xf numFmtId="0" fontId="14" fillId="0" borderId="36" xfId="0" applyFont="1" applyBorder="1" applyAlignment="1">
      <alignment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FF"/>
      <color rgb="FF990033"/>
      <color rgb="FFCC99FF"/>
      <color rgb="FFFFCCFF"/>
      <color rgb="FF99FF99"/>
      <color rgb="FF800000"/>
      <color rgb="FF66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Z22"/>
  <sheetViews>
    <sheetView zoomScale="85" zoomScaleNormal="85" workbookViewId="0">
      <selection activeCell="N10" sqref="N10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4.140625" style="80" customWidth="1"/>
    <col min="16" max="16" width="13.570312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8.7109375" bestFit="1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6" ht="11.25" customHeight="1" thickBot="1" x14ac:dyDescent="0.3"/>
    <row r="2" spans="2:26" s="126" customFormat="1" ht="30" customHeight="1" thickTop="1" thickBot="1" x14ac:dyDescent="0.3">
      <c r="B2" s="122"/>
      <c r="C2" s="266" t="s">
        <v>121</v>
      </c>
      <c r="D2" s="267"/>
      <c r="E2" s="267"/>
      <c r="F2" s="267"/>
      <c r="G2" s="267"/>
      <c r="H2" s="267"/>
      <c r="I2" s="267"/>
      <c r="J2" s="267"/>
      <c r="K2" s="267"/>
      <c r="L2" s="123"/>
      <c r="M2" s="124"/>
      <c r="N2" s="125"/>
      <c r="O2" s="125"/>
      <c r="P2" s="268" t="s">
        <v>122</v>
      </c>
      <c r="Q2" s="269"/>
      <c r="R2" s="269"/>
      <c r="S2" s="269"/>
      <c r="T2" s="269"/>
      <c r="U2" s="269"/>
      <c r="V2" s="269"/>
      <c r="W2" s="269"/>
      <c r="X2" s="269"/>
      <c r="Y2" s="269"/>
      <c r="Z2" s="270"/>
    </row>
    <row r="3" spans="2:26" ht="15.75" thickBot="1" x14ac:dyDescent="0.3">
      <c r="M3" s="37"/>
      <c r="N3" s="74"/>
      <c r="O3" s="74"/>
    </row>
    <row r="4" spans="2:26" s="2" customFormat="1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25" t="s">
        <v>4</v>
      </c>
      <c r="J4" s="28" t="s">
        <v>8</v>
      </c>
      <c r="K4" s="29" t="s">
        <v>5</v>
      </c>
      <c r="L4" s="103" t="s">
        <v>46</v>
      </c>
      <c r="M4" s="102"/>
      <c r="N4" s="82"/>
      <c r="O4" s="82"/>
      <c r="P4" s="36" t="s">
        <v>0</v>
      </c>
      <c r="Q4" s="18" t="s">
        <v>1</v>
      </c>
      <c r="R4" s="14" t="s">
        <v>2</v>
      </c>
      <c r="S4" s="19" t="s">
        <v>16</v>
      </c>
      <c r="T4" s="54" t="s">
        <v>24</v>
      </c>
      <c r="U4" s="14" t="s">
        <v>3</v>
      </c>
      <c r="V4" s="14" t="s">
        <v>4</v>
      </c>
      <c r="W4" s="55" t="s">
        <v>25</v>
      </c>
      <c r="X4" s="16" t="s">
        <v>4</v>
      </c>
      <c r="Y4" s="17" t="s">
        <v>8</v>
      </c>
      <c r="Z4" s="15" t="s">
        <v>5</v>
      </c>
    </row>
    <row r="5" spans="2:26" ht="81" thickTop="1" thickBot="1" x14ac:dyDescent="0.3">
      <c r="B5" s="93" t="s">
        <v>120</v>
      </c>
      <c r="C5" s="107" t="s">
        <v>110</v>
      </c>
      <c r="D5" s="72">
        <f>160+60+170+469+352+242+180</f>
        <v>1633</v>
      </c>
      <c r="E5" s="72">
        <v>0</v>
      </c>
      <c r="F5" s="72">
        <v>0</v>
      </c>
      <c r="G5" s="72">
        <v>0</v>
      </c>
      <c r="H5" s="72">
        <v>0</v>
      </c>
      <c r="I5" s="72">
        <v>0</v>
      </c>
      <c r="J5" s="72"/>
      <c r="K5" s="72">
        <v>0</v>
      </c>
      <c r="L5" s="72"/>
      <c r="M5" s="12"/>
      <c r="N5" s="74"/>
      <c r="O5" s="74"/>
      <c r="P5" s="119" t="s">
        <v>120</v>
      </c>
      <c r="Q5" s="111" t="s">
        <v>113</v>
      </c>
      <c r="R5" s="115">
        <v>0</v>
      </c>
      <c r="S5" s="72">
        <v>0</v>
      </c>
      <c r="T5" s="72">
        <v>0</v>
      </c>
      <c r="U5" s="72">
        <v>0</v>
      </c>
      <c r="V5" s="72">
        <v>0</v>
      </c>
      <c r="W5" s="72">
        <v>0</v>
      </c>
      <c r="X5" s="72">
        <v>0</v>
      </c>
      <c r="Y5" s="72">
        <v>0</v>
      </c>
      <c r="Z5" s="116">
        <f>6779+5143+6403+2659</f>
        <v>20984</v>
      </c>
    </row>
    <row r="6" spans="2:26" ht="75" customHeight="1" thickTop="1" thickBot="1" x14ac:dyDescent="0.3">
      <c r="B6" s="93" t="s">
        <v>120</v>
      </c>
      <c r="C6" s="44" t="s">
        <v>108</v>
      </c>
      <c r="D6" s="67">
        <v>0</v>
      </c>
      <c r="E6" s="67">
        <v>0</v>
      </c>
      <c r="F6" s="67">
        <v>0</v>
      </c>
      <c r="G6" s="67">
        <v>0</v>
      </c>
      <c r="H6" s="67">
        <v>0</v>
      </c>
      <c r="I6" s="67">
        <v>0</v>
      </c>
      <c r="J6" s="67"/>
      <c r="K6" s="67">
        <f>6086+4783+6236+2689</f>
        <v>19794</v>
      </c>
      <c r="L6" s="67"/>
      <c r="M6" s="12"/>
      <c r="N6" s="74"/>
      <c r="O6" s="74"/>
      <c r="P6" s="120" t="s">
        <v>120</v>
      </c>
      <c r="Q6" s="111" t="s">
        <v>118</v>
      </c>
      <c r="R6" s="115">
        <v>0</v>
      </c>
      <c r="S6" s="72">
        <v>0</v>
      </c>
      <c r="T6" s="72">
        <v>0</v>
      </c>
      <c r="U6" s="72">
        <v>0</v>
      </c>
      <c r="V6" s="72">
        <v>0</v>
      </c>
      <c r="W6" s="72">
        <v>0</v>
      </c>
      <c r="X6" s="72">
        <v>0</v>
      </c>
      <c r="Y6" s="72">
        <f>1123+4449.5+1880+2740.5+400</f>
        <v>10593</v>
      </c>
      <c r="Z6" s="117">
        <v>0</v>
      </c>
    </row>
    <row r="7" spans="2:26" ht="37.5" customHeight="1" thickTop="1" thickBot="1" x14ac:dyDescent="0.3">
      <c r="B7" s="93" t="s">
        <v>120</v>
      </c>
      <c r="C7" s="43" t="s">
        <v>21</v>
      </c>
      <c r="D7" s="67">
        <v>0</v>
      </c>
      <c r="E7" s="67">
        <v>0</v>
      </c>
      <c r="F7" s="67">
        <v>0</v>
      </c>
      <c r="G7" s="67">
        <v>0</v>
      </c>
      <c r="H7" s="67">
        <f>518+569+651+408</f>
        <v>2146</v>
      </c>
      <c r="I7" s="67">
        <v>0</v>
      </c>
      <c r="J7" s="67"/>
      <c r="K7" s="67">
        <v>0</v>
      </c>
      <c r="L7" s="67"/>
      <c r="M7" s="12"/>
      <c r="N7" s="74"/>
      <c r="O7" s="74"/>
      <c r="P7" s="120" t="s">
        <v>120</v>
      </c>
      <c r="Q7" s="111" t="s">
        <v>114</v>
      </c>
      <c r="R7" s="115">
        <f>611+907+1055+770</f>
        <v>3343</v>
      </c>
      <c r="S7" s="72">
        <v>0</v>
      </c>
      <c r="T7" s="72">
        <v>0</v>
      </c>
      <c r="U7" s="72">
        <v>0</v>
      </c>
      <c r="V7" s="72">
        <v>0</v>
      </c>
      <c r="W7" s="72">
        <v>0</v>
      </c>
      <c r="X7" s="72">
        <v>0</v>
      </c>
      <c r="Y7" s="72">
        <v>0</v>
      </c>
      <c r="Z7" s="117">
        <v>0</v>
      </c>
    </row>
    <row r="8" spans="2:26" ht="32.25" customHeight="1" thickTop="1" thickBot="1" x14ac:dyDescent="0.3">
      <c r="B8" s="93" t="s">
        <v>120</v>
      </c>
      <c r="C8" s="42" t="s">
        <v>10</v>
      </c>
      <c r="D8" s="67">
        <v>0</v>
      </c>
      <c r="E8" s="67">
        <f>123+369+188+180</f>
        <v>860</v>
      </c>
      <c r="F8" s="67">
        <v>0</v>
      </c>
      <c r="G8" s="67">
        <v>0</v>
      </c>
      <c r="H8" s="67">
        <v>0</v>
      </c>
      <c r="I8" s="67">
        <f>472+403+829+381</f>
        <v>2085</v>
      </c>
      <c r="J8" s="67"/>
      <c r="K8" s="67">
        <v>0</v>
      </c>
      <c r="L8" s="67"/>
      <c r="M8" s="12"/>
      <c r="N8" s="74"/>
      <c r="O8" s="74"/>
      <c r="P8" s="120" t="s">
        <v>120</v>
      </c>
      <c r="Q8" s="112" t="s">
        <v>12</v>
      </c>
      <c r="R8" s="115">
        <v>0</v>
      </c>
      <c r="S8" s="72">
        <v>0</v>
      </c>
      <c r="T8" s="72">
        <v>0</v>
      </c>
      <c r="U8" s="72">
        <v>0</v>
      </c>
      <c r="V8" s="72">
        <v>0</v>
      </c>
      <c r="W8" s="72">
        <v>0</v>
      </c>
      <c r="X8" s="72">
        <f>779+403+400+728</f>
        <v>2310</v>
      </c>
      <c r="Y8" s="72">
        <v>0</v>
      </c>
      <c r="Z8" s="117">
        <v>0</v>
      </c>
    </row>
    <row r="9" spans="2:26" ht="22.5" customHeight="1" thickTop="1" thickBot="1" x14ac:dyDescent="0.3">
      <c r="B9" s="93" t="s">
        <v>120</v>
      </c>
      <c r="C9" s="43"/>
      <c r="D9" s="67">
        <v>0</v>
      </c>
      <c r="E9" s="67">
        <v>0</v>
      </c>
      <c r="F9" s="67">
        <v>0</v>
      </c>
      <c r="G9" s="67">
        <v>0</v>
      </c>
      <c r="H9" s="67">
        <v>0</v>
      </c>
      <c r="I9" s="67">
        <v>0</v>
      </c>
      <c r="J9" s="67"/>
      <c r="K9" s="67">
        <v>0</v>
      </c>
      <c r="L9" s="67"/>
      <c r="M9" s="12"/>
      <c r="N9" s="74"/>
      <c r="O9" s="74"/>
      <c r="P9" s="120" t="s">
        <v>120</v>
      </c>
      <c r="Q9" s="112" t="s">
        <v>13</v>
      </c>
      <c r="R9" s="115">
        <v>0</v>
      </c>
      <c r="S9" s="72">
        <v>0</v>
      </c>
      <c r="T9" s="72">
        <v>0</v>
      </c>
      <c r="U9" s="72">
        <v>0</v>
      </c>
      <c r="V9" s="72">
        <v>0</v>
      </c>
      <c r="W9" s="72">
        <v>0</v>
      </c>
      <c r="X9" s="72">
        <v>0</v>
      </c>
      <c r="Y9" s="72">
        <f>387</f>
        <v>387</v>
      </c>
      <c r="Z9" s="117">
        <v>0</v>
      </c>
    </row>
    <row r="10" spans="2:26" ht="50.25" thickTop="1" thickBot="1" x14ac:dyDescent="0.3">
      <c r="B10" s="93" t="s">
        <v>120</v>
      </c>
      <c r="C10" s="45" t="s">
        <v>109</v>
      </c>
      <c r="D10" s="67">
        <v>0</v>
      </c>
      <c r="E10" s="67">
        <v>0</v>
      </c>
      <c r="F10" s="67">
        <v>0</v>
      </c>
      <c r="G10" s="67">
        <f>40+45+45</f>
        <v>130</v>
      </c>
      <c r="H10" s="67">
        <v>0</v>
      </c>
      <c r="I10" s="67">
        <v>0</v>
      </c>
      <c r="J10" s="67"/>
      <c r="K10" s="67">
        <v>0</v>
      </c>
      <c r="L10" s="67"/>
      <c r="M10" s="12"/>
      <c r="N10" s="74"/>
      <c r="O10" s="74"/>
      <c r="P10" s="120" t="s">
        <v>120</v>
      </c>
      <c r="Q10" s="113" t="s">
        <v>115</v>
      </c>
      <c r="R10" s="115">
        <v>0</v>
      </c>
      <c r="S10" s="72">
        <v>0</v>
      </c>
      <c r="T10" s="72">
        <v>0</v>
      </c>
      <c r="U10" s="72">
        <f>334+58+40+125</f>
        <v>557</v>
      </c>
      <c r="V10" s="72">
        <v>0</v>
      </c>
      <c r="W10" s="72">
        <v>0</v>
      </c>
      <c r="X10" s="72">
        <v>0</v>
      </c>
      <c r="Y10" s="72">
        <v>0</v>
      </c>
      <c r="Z10" s="117">
        <v>0</v>
      </c>
    </row>
    <row r="11" spans="2:26" ht="69.75" thickTop="1" thickBot="1" x14ac:dyDescent="0.3">
      <c r="B11" s="93" t="s">
        <v>120</v>
      </c>
      <c r="C11" s="44" t="s">
        <v>112</v>
      </c>
      <c r="D11" s="67">
        <v>0</v>
      </c>
      <c r="E11" s="67">
        <v>0</v>
      </c>
      <c r="F11" s="67">
        <v>0</v>
      </c>
      <c r="G11" s="67">
        <v>0</v>
      </c>
      <c r="H11" s="67">
        <v>0</v>
      </c>
      <c r="I11" s="67">
        <v>0</v>
      </c>
      <c r="J11" s="67">
        <f>2714+2524.5+624+565+151.5+1223+127</f>
        <v>7929</v>
      </c>
      <c r="K11" s="67">
        <v>0</v>
      </c>
      <c r="L11" s="67"/>
      <c r="M11" s="12"/>
      <c r="N11" s="74"/>
      <c r="O11" s="74"/>
      <c r="P11" s="120" t="s">
        <v>120</v>
      </c>
      <c r="Q11" s="111" t="s">
        <v>116</v>
      </c>
      <c r="R11" s="115">
        <v>0</v>
      </c>
      <c r="S11" s="72">
        <v>0</v>
      </c>
      <c r="T11" s="72">
        <f>2804+2444+3027+3659</f>
        <v>11934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117">
        <v>0</v>
      </c>
    </row>
    <row r="12" spans="2:26" ht="57.75" thickTop="1" thickBot="1" x14ac:dyDescent="0.3">
      <c r="B12" s="93" t="s">
        <v>120</v>
      </c>
      <c r="C12" s="45" t="s">
        <v>111</v>
      </c>
      <c r="D12" s="67">
        <v>0</v>
      </c>
      <c r="E12" s="67">
        <v>0</v>
      </c>
      <c r="F12" s="67">
        <f>1719+2264+2259+2776</f>
        <v>9018</v>
      </c>
      <c r="G12" s="67">
        <v>0</v>
      </c>
      <c r="H12" s="67">
        <v>0</v>
      </c>
      <c r="I12" s="67">
        <v>0</v>
      </c>
      <c r="J12" s="67">
        <v>0</v>
      </c>
      <c r="K12" s="67">
        <v>0</v>
      </c>
      <c r="L12" s="67"/>
      <c r="M12" s="12"/>
      <c r="N12" s="74"/>
      <c r="O12" s="74"/>
      <c r="P12" s="120" t="s">
        <v>120</v>
      </c>
      <c r="Q12" s="113" t="s">
        <v>117</v>
      </c>
      <c r="R12" s="115">
        <v>0</v>
      </c>
      <c r="S12" s="72">
        <f>1221+89+776+1462</f>
        <v>3548</v>
      </c>
      <c r="T12" s="72" t="s">
        <v>26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117">
        <v>0</v>
      </c>
    </row>
    <row r="13" spans="2:26" ht="25.5" thickTop="1" thickBot="1" x14ac:dyDescent="0.3">
      <c r="B13" s="93" t="s">
        <v>120</v>
      </c>
      <c r="C13" s="42" t="s">
        <v>11</v>
      </c>
      <c r="D13" s="67">
        <v>0</v>
      </c>
      <c r="E13" s="67">
        <v>0</v>
      </c>
      <c r="F13" s="67">
        <v>0</v>
      </c>
      <c r="G13" s="67">
        <v>0</v>
      </c>
      <c r="H13" s="67">
        <f>1220+1230+1230+1230</f>
        <v>4910</v>
      </c>
      <c r="I13" s="67">
        <v>0</v>
      </c>
      <c r="J13" s="67">
        <v>0</v>
      </c>
      <c r="K13" s="67">
        <v>0</v>
      </c>
      <c r="L13" s="67"/>
      <c r="M13" s="12"/>
      <c r="N13" s="74"/>
      <c r="O13" s="74"/>
      <c r="P13" s="120" t="s">
        <v>120</v>
      </c>
      <c r="Q13" s="114" t="s">
        <v>32</v>
      </c>
      <c r="R13" s="115">
        <v>0</v>
      </c>
      <c r="S13" s="72">
        <v>0</v>
      </c>
      <c r="T13" s="72">
        <v>0</v>
      </c>
      <c r="U13" s="72">
        <v>0</v>
      </c>
      <c r="V13" s="72">
        <v>0</v>
      </c>
      <c r="W13" s="72">
        <f>5177+4508+4324+4533</f>
        <v>18542</v>
      </c>
      <c r="X13" s="72">
        <v>0</v>
      </c>
      <c r="Y13" s="72">
        <v>0</v>
      </c>
      <c r="Z13" s="117">
        <v>0</v>
      </c>
    </row>
    <row r="14" spans="2:26" ht="28.5" customHeight="1" thickTop="1" thickBot="1" x14ac:dyDescent="0.3">
      <c r="B14" s="93" t="s">
        <v>120</v>
      </c>
      <c r="C14" s="95" t="s">
        <v>50</v>
      </c>
      <c r="D14" s="67">
        <v>0</v>
      </c>
      <c r="E14" s="67"/>
      <c r="F14" s="67"/>
      <c r="G14" s="67"/>
      <c r="H14" s="67"/>
      <c r="I14" s="67"/>
      <c r="J14" s="67"/>
      <c r="K14" s="67"/>
      <c r="L14" s="67">
        <f>1008+500+500</f>
        <v>2008</v>
      </c>
      <c r="M14" s="12"/>
      <c r="N14" s="74"/>
      <c r="O14" s="74"/>
      <c r="P14" s="120" t="s">
        <v>120</v>
      </c>
      <c r="Q14" s="112" t="s">
        <v>34</v>
      </c>
      <c r="R14" s="115">
        <v>0</v>
      </c>
      <c r="S14" s="72">
        <v>0</v>
      </c>
      <c r="T14" s="72">
        <v>0</v>
      </c>
      <c r="U14" s="72">
        <v>0</v>
      </c>
      <c r="V14" s="72">
        <v>0</v>
      </c>
      <c r="W14" s="72">
        <f>1237+1079+1278+918</f>
        <v>4512</v>
      </c>
      <c r="X14" s="72">
        <v>0</v>
      </c>
      <c r="Y14" s="72">
        <v>0</v>
      </c>
      <c r="Z14" s="117">
        <v>0</v>
      </c>
    </row>
    <row r="15" spans="2:26" ht="29.25" customHeight="1" thickTop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67"/>
      <c r="M15" s="12"/>
      <c r="N15" s="74"/>
      <c r="O15" s="74"/>
      <c r="P15" s="121" t="s">
        <v>120</v>
      </c>
      <c r="Q15" s="113" t="s">
        <v>119</v>
      </c>
      <c r="R15" s="115">
        <v>0</v>
      </c>
      <c r="S15" s="72">
        <v>0</v>
      </c>
      <c r="T15" s="72">
        <v>0</v>
      </c>
      <c r="U15" s="72">
        <v>0</v>
      </c>
      <c r="V15" s="72">
        <v>0</v>
      </c>
      <c r="W15" s="72">
        <v>0</v>
      </c>
      <c r="X15" s="72">
        <v>0</v>
      </c>
      <c r="Y15" s="72">
        <v>1390</v>
      </c>
      <c r="Z15" s="117">
        <v>0</v>
      </c>
    </row>
    <row r="16" spans="2:26" ht="6" customHeight="1" thickTop="1" thickBot="1" x14ac:dyDescent="0.3">
      <c r="B16" s="9"/>
      <c r="C16" s="34"/>
      <c r="D16" s="20">
        <v>0</v>
      </c>
      <c r="E16" s="20"/>
      <c r="F16" s="20"/>
      <c r="G16" s="20"/>
      <c r="H16" s="20"/>
      <c r="I16" s="20"/>
      <c r="J16" s="20"/>
      <c r="K16" s="20"/>
      <c r="L16" s="20"/>
      <c r="M16" s="12"/>
      <c r="N16" s="74"/>
      <c r="O16" s="74"/>
      <c r="P16" s="118"/>
      <c r="Q16" s="51"/>
      <c r="R16" s="20">
        <v>0</v>
      </c>
      <c r="S16" s="20"/>
      <c r="T16" s="20"/>
      <c r="U16" s="20"/>
      <c r="V16" s="20"/>
      <c r="W16" s="20"/>
      <c r="X16" s="20"/>
      <c r="Y16" s="20"/>
      <c r="Z16" s="20"/>
    </row>
    <row r="17" spans="3:26" ht="31.5" customHeight="1" thickBot="1" x14ac:dyDescent="0.3">
      <c r="C17" s="35" t="s">
        <v>18</v>
      </c>
      <c r="D17" s="30">
        <f t="shared" ref="D17:L17" si="0">SUM(D5:D16)</f>
        <v>1633</v>
      </c>
      <c r="E17" s="31">
        <f t="shared" si="0"/>
        <v>860</v>
      </c>
      <c r="F17" s="31">
        <f t="shared" si="0"/>
        <v>9018</v>
      </c>
      <c r="G17" s="31">
        <f t="shared" si="0"/>
        <v>130</v>
      </c>
      <c r="H17" s="31">
        <f t="shared" si="0"/>
        <v>7056</v>
      </c>
      <c r="I17" s="31">
        <f t="shared" si="0"/>
        <v>2085</v>
      </c>
      <c r="J17" s="22">
        <f t="shared" si="0"/>
        <v>7929</v>
      </c>
      <c r="K17" s="32">
        <f t="shared" si="0"/>
        <v>19794</v>
      </c>
      <c r="L17" s="32">
        <f t="shared" si="0"/>
        <v>2008</v>
      </c>
      <c r="M17" s="8"/>
      <c r="N17" s="74"/>
      <c r="O17" s="74"/>
      <c r="Q17" s="33" t="s">
        <v>18</v>
      </c>
      <c r="R17" s="21">
        <f t="shared" ref="R17:Z17" si="1">SUM(R5:R16)</f>
        <v>3343</v>
      </c>
      <c r="S17" s="22">
        <f t="shared" si="1"/>
        <v>3548</v>
      </c>
      <c r="T17" s="22">
        <f t="shared" si="1"/>
        <v>11934</v>
      </c>
      <c r="U17" s="22">
        <f t="shared" si="1"/>
        <v>557</v>
      </c>
      <c r="V17" s="22">
        <f t="shared" si="1"/>
        <v>0</v>
      </c>
      <c r="W17" s="22">
        <f t="shared" si="1"/>
        <v>23054</v>
      </c>
      <c r="X17" s="22">
        <f t="shared" si="1"/>
        <v>2310</v>
      </c>
      <c r="Y17" s="22">
        <f t="shared" si="1"/>
        <v>12370</v>
      </c>
      <c r="Z17" s="23">
        <f t="shared" si="1"/>
        <v>20984</v>
      </c>
    </row>
    <row r="18" spans="3:26" ht="22.5" customHeight="1" thickBot="1" x14ac:dyDescent="0.3">
      <c r="D18" s="5"/>
      <c r="E18" s="5"/>
      <c r="F18" s="5"/>
      <c r="G18" s="5"/>
      <c r="H18" s="5"/>
      <c r="I18" s="5"/>
      <c r="J18" s="5"/>
      <c r="K18" s="5"/>
      <c r="L18" s="5"/>
      <c r="M18" s="3"/>
      <c r="N18" s="74"/>
      <c r="O18" s="74"/>
      <c r="R18" s="5"/>
      <c r="S18" s="5"/>
      <c r="T18" s="5"/>
      <c r="U18" s="5"/>
      <c r="V18" s="5"/>
      <c r="W18" s="5"/>
      <c r="X18" s="5"/>
      <c r="Y18" s="5"/>
      <c r="Z18" s="5"/>
    </row>
    <row r="19" spans="3:26" ht="22.5" customHeight="1" thickBot="1" x14ac:dyDescent="0.4">
      <c r="D19" s="5"/>
      <c r="E19" s="5"/>
      <c r="F19" s="245">
        <f>K17+J17+I17+H17+G17+F17+E17+D17+L17</f>
        <v>50513</v>
      </c>
      <c r="G19" s="246"/>
      <c r="H19" s="247"/>
      <c r="I19" s="5"/>
      <c r="J19" s="5"/>
      <c r="K19" s="5"/>
      <c r="L19" s="5"/>
      <c r="M19" s="74"/>
      <c r="N19" s="74"/>
      <c r="O19" s="74"/>
      <c r="R19" s="5"/>
      <c r="S19" s="5"/>
      <c r="T19" s="248">
        <f>R17+S17+T17+U17+W17+X17+Y17+Z17</f>
        <v>78100</v>
      </c>
      <c r="U19" s="249"/>
      <c r="V19" s="250"/>
      <c r="W19" s="5"/>
      <c r="X19" s="5"/>
      <c r="Y19" s="5"/>
      <c r="Z19" s="5"/>
    </row>
    <row r="20" spans="3:26" ht="22.5" customHeight="1" x14ac:dyDescent="0.25">
      <c r="D20" s="5"/>
      <c r="E20" s="5"/>
      <c r="F20" s="5"/>
      <c r="G20" s="5"/>
      <c r="H20" s="5"/>
      <c r="I20" s="5"/>
      <c r="J20" s="5"/>
      <c r="K20" s="5"/>
      <c r="L20" s="5"/>
      <c r="M20" s="74"/>
      <c r="N20" s="74"/>
      <c r="O20" s="74"/>
      <c r="R20" s="5"/>
      <c r="S20" s="5"/>
      <c r="T20" s="5"/>
      <c r="U20" s="5"/>
      <c r="V20" s="5"/>
      <c r="W20" s="5"/>
      <c r="X20" s="5"/>
      <c r="Y20" s="5"/>
      <c r="Z20" s="5"/>
    </row>
    <row r="21" spans="3:26" x14ac:dyDescent="0.25">
      <c r="D21" s="5"/>
      <c r="E21" s="5"/>
      <c r="F21" s="5"/>
      <c r="G21" s="5"/>
      <c r="H21" s="5"/>
      <c r="I21" s="5"/>
      <c r="J21" s="5"/>
      <c r="K21" s="5"/>
      <c r="L21" s="5"/>
      <c r="M21" s="74"/>
      <c r="N21" s="74"/>
      <c r="O21" s="74"/>
      <c r="R21" s="5"/>
      <c r="S21" s="5"/>
      <c r="T21" s="5"/>
      <c r="U21" s="5"/>
      <c r="V21" s="5"/>
      <c r="W21" s="5"/>
      <c r="X21" s="5"/>
      <c r="Y21" s="5"/>
      <c r="Z21" s="5"/>
    </row>
    <row r="22" spans="3:26" x14ac:dyDescent="0.25">
      <c r="D22" s="5"/>
      <c r="E22" s="5"/>
      <c r="F22" s="5"/>
      <c r="G22" s="5"/>
      <c r="H22" s="5"/>
      <c r="I22" s="5"/>
      <c r="J22" s="5"/>
      <c r="K22" s="5"/>
      <c r="L22" s="5"/>
      <c r="M22" s="74"/>
      <c r="N22" s="74"/>
      <c r="O22" s="74"/>
      <c r="R22" s="5"/>
      <c r="S22" s="5"/>
      <c r="T22" s="5"/>
      <c r="U22" s="5"/>
      <c r="V22" s="5"/>
      <c r="W22" s="5"/>
      <c r="X22" s="5"/>
      <c r="Y22" s="5"/>
      <c r="Z22" s="5"/>
    </row>
  </sheetData>
  <mergeCells count="4">
    <mergeCell ref="C2:K2"/>
    <mergeCell ref="P2:Z2"/>
    <mergeCell ref="F19:H19"/>
    <mergeCell ref="T19:V19"/>
  </mergeCells>
  <pageMargins left="0.23622047244094491" right="0.23622047244094491" top="0.35433070866141736" bottom="0.15748031496062992" header="0.31496062992125984" footer="0.16"/>
  <pageSetup scale="78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F10" sqref="F10"/>
    </sheetView>
  </sheetViews>
  <sheetFormatPr baseColWidth="10" defaultRowHeight="15" x14ac:dyDescent="0.25"/>
  <cols>
    <col min="1" max="1" width="13.7109375" style="7" customWidth="1"/>
    <col min="2" max="2" width="25" style="1" customWidth="1"/>
    <col min="3" max="3" width="12.85546875" customWidth="1"/>
    <col min="4" max="4" width="11.7109375" bestFit="1" customWidth="1"/>
    <col min="5" max="5" width="12.5703125" bestFit="1" customWidth="1"/>
    <col min="6" max="6" width="10.28515625" bestFit="1" customWidth="1"/>
    <col min="7" max="7" width="11.42578125" customWidth="1"/>
    <col min="8" max="8" width="11.7109375" bestFit="1" customWidth="1"/>
    <col min="9" max="9" width="11.28515625" bestFit="1" customWidth="1"/>
    <col min="10" max="10" width="12.85546875" bestFit="1" customWidth="1"/>
    <col min="11" max="11" width="12" customWidth="1"/>
    <col min="12" max="12" width="5.140625" customWidth="1"/>
    <col min="13" max="13" width="13.5703125" style="7" customWidth="1"/>
    <col min="14" max="14" width="25" customWidth="1"/>
    <col min="15" max="15" width="13.28515625" customWidth="1"/>
    <col min="16" max="16" width="11.5703125" bestFit="1" customWidth="1"/>
    <col min="17" max="17" width="12.42578125" bestFit="1" customWidth="1"/>
    <col min="18" max="18" width="10.140625" bestFit="1" customWidth="1"/>
    <col min="19" max="19" width="8.7109375" bestFit="1" customWidth="1"/>
    <col min="20" max="20" width="12.85546875" customWidth="1"/>
    <col min="21" max="22" width="11.28515625" bestFit="1" customWidth="1"/>
    <col min="23" max="23" width="12.42578125" bestFit="1" customWidth="1"/>
  </cols>
  <sheetData>
    <row r="1" spans="1:23" ht="15.75" thickBot="1" x14ac:dyDescent="0.3"/>
    <row r="2" spans="1:23" ht="22.5" thickTop="1" thickBot="1" x14ac:dyDescent="0.4">
      <c r="B2" s="238" t="s">
        <v>17</v>
      </c>
      <c r="C2" s="239"/>
      <c r="D2" s="239"/>
      <c r="E2" s="239"/>
      <c r="F2" s="239"/>
      <c r="G2" s="239"/>
      <c r="H2" s="239"/>
      <c r="I2" s="239"/>
      <c r="J2" s="239"/>
      <c r="K2" s="101"/>
      <c r="L2" s="39"/>
      <c r="M2" s="251" t="s">
        <v>19</v>
      </c>
      <c r="N2" s="252"/>
      <c r="O2" s="252"/>
      <c r="P2" s="252"/>
      <c r="Q2" s="252"/>
      <c r="R2" s="252"/>
      <c r="S2" s="252"/>
      <c r="T2" s="252"/>
      <c r="U2" s="252"/>
      <c r="V2" s="252"/>
      <c r="W2" s="260"/>
    </row>
    <row r="3" spans="1:23" ht="15.75" thickBot="1" x14ac:dyDescent="0.3">
      <c r="L3" s="37"/>
    </row>
    <row r="4" spans="1:23" s="2" customFormat="1" ht="64.5" thickTop="1" thickBot="1" x14ac:dyDescent="0.3">
      <c r="A4" s="6" t="s">
        <v>0</v>
      </c>
      <c r="B4" s="24" t="s">
        <v>1</v>
      </c>
      <c r="C4" s="25" t="s">
        <v>2</v>
      </c>
      <c r="D4" s="26" t="s">
        <v>7</v>
      </c>
      <c r="E4" s="56" t="s">
        <v>38</v>
      </c>
      <c r="F4" s="25" t="s">
        <v>3</v>
      </c>
      <c r="G4" s="27" t="s">
        <v>22</v>
      </c>
      <c r="H4" s="25" t="s">
        <v>4</v>
      </c>
      <c r="I4" s="28" t="s">
        <v>8</v>
      </c>
      <c r="J4" s="29" t="s">
        <v>5</v>
      </c>
      <c r="K4" s="103" t="s">
        <v>46</v>
      </c>
      <c r="L4" s="102"/>
      <c r="M4" s="36" t="s">
        <v>0</v>
      </c>
      <c r="N4" s="18" t="s">
        <v>1</v>
      </c>
      <c r="O4" s="14" t="s">
        <v>2</v>
      </c>
      <c r="P4" s="19" t="s">
        <v>16</v>
      </c>
      <c r="Q4" s="54" t="s">
        <v>24</v>
      </c>
      <c r="R4" s="14" t="s">
        <v>3</v>
      </c>
      <c r="S4" s="14" t="s">
        <v>4</v>
      </c>
      <c r="T4" s="55" t="s">
        <v>25</v>
      </c>
      <c r="U4" s="16" t="s">
        <v>4</v>
      </c>
      <c r="V4" s="17" t="s">
        <v>8</v>
      </c>
      <c r="W4" s="15" t="s">
        <v>5</v>
      </c>
    </row>
    <row r="5" spans="1:23" ht="48.75" x14ac:dyDescent="0.25">
      <c r="A5" s="40" t="s">
        <v>20</v>
      </c>
      <c r="B5" s="41" t="s">
        <v>6</v>
      </c>
      <c r="C5" s="104">
        <f>160+'GASTOS POR SEMANA  SEPT-23 '!D71</f>
        <v>330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/>
      <c r="J5" s="13">
        <v>0</v>
      </c>
      <c r="K5" s="13"/>
      <c r="L5" s="12"/>
      <c r="M5" s="52" t="s">
        <v>20</v>
      </c>
      <c r="N5" s="53" t="s">
        <v>52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04">
        <f>109+1973+1400+1641+70+756+830+'GASTOS POR SEMANA  SEPT-23 '!X71</f>
        <v>11922</v>
      </c>
    </row>
    <row r="6" spans="1:23" ht="51.75" customHeight="1" x14ac:dyDescent="0.25">
      <c r="A6" s="40" t="s">
        <v>20</v>
      </c>
      <c r="B6" s="44" t="s">
        <v>61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/>
      <c r="J6" s="105">
        <f>542+680+1493+1388+806+1177+'GASTOS POR SEMANA  SEPT-23 '!K72</f>
        <v>10869</v>
      </c>
      <c r="K6" s="11"/>
      <c r="L6" s="12"/>
      <c r="M6" s="52" t="s">
        <v>20</v>
      </c>
      <c r="N6" s="106" t="s">
        <v>53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04">
        <f>127+896+100+'GASTOS POR SEMANA  SEPT-23 '!W72</f>
        <v>5572.5</v>
      </c>
      <c r="W6" s="67">
        <v>0</v>
      </c>
    </row>
    <row r="7" spans="1:23" ht="22.5" customHeight="1" x14ac:dyDescent="0.25">
      <c r="A7" s="40" t="s">
        <v>20</v>
      </c>
      <c r="B7" s="43" t="s">
        <v>21</v>
      </c>
      <c r="C7" s="11">
        <v>0</v>
      </c>
      <c r="D7" s="11">
        <v>0</v>
      </c>
      <c r="E7" s="11">
        <v>0</v>
      </c>
      <c r="F7" s="11">
        <v>0</v>
      </c>
      <c r="G7" s="105">
        <f>78+66+102+68+102+51+51+'GASTOS POR SEMANA  SEPT-23 '!H73</f>
        <v>1087</v>
      </c>
      <c r="H7" s="11">
        <v>0</v>
      </c>
      <c r="I7" s="11"/>
      <c r="J7" s="11">
        <v>0</v>
      </c>
      <c r="K7" s="11"/>
      <c r="L7" s="12"/>
      <c r="M7" s="52" t="s">
        <v>20</v>
      </c>
      <c r="N7" s="48" t="s">
        <v>14</v>
      </c>
      <c r="O7" s="104">
        <f>144+287+180+'GASTOS POR SEMANA  SEPT-23 '!Q73</f>
        <v>1518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1">
        <v>0</v>
      </c>
    </row>
    <row r="8" spans="1:23" ht="22.5" customHeight="1" x14ac:dyDescent="0.25">
      <c r="A8" s="40" t="s">
        <v>20</v>
      </c>
      <c r="B8" s="42" t="s">
        <v>10</v>
      </c>
      <c r="C8" s="11">
        <v>0</v>
      </c>
      <c r="D8" s="105">
        <f>123+'GASTOS POR SEMANA  SEPT-23 '!E74</f>
        <v>492</v>
      </c>
      <c r="E8" s="11">
        <v>0</v>
      </c>
      <c r="F8" s="11">
        <v>0</v>
      </c>
      <c r="G8" s="11">
        <v>0</v>
      </c>
      <c r="H8" s="105">
        <f>391+81+'GASTOS POR SEMANA  SEPT-23 '!I74</f>
        <v>875</v>
      </c>
      <c r="I8" s="11"/>
      <c r="J8" s="11">
        <v>0</v>
      </c>
      <c r="K8" s="11"/>
      <c r="L8" s="12"/>
      <c r="M8" s="52" t="s">
        <v>20</v>
      </c>
      <c r="N8" s="48" t="s">
        <v>12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04">
        <f>779+'GASTOS POR SEMANA  SEPT-23 '!U74</f>
        <v>1182</v>
      </c>
      <c r="V8" s="13">
        <v>0</v>
      </c>
      <c r="W8" s="11">
        <v>0</v>
      </c>
    </row>
    <row r="9" spans="1:23" ht="22.5" customHeight="1" x14ac:dyDescent="0.25">
      <c r="A9" s="40" t="s">
        <v>20</v>
      </c>
      <c r="B9" s="43" t="s">
        <v>27</v>
      </c>
      <c r="C9" s="105">
        <f>242</f>
        <v>242</v>
      </c>
      <c r="D9" s="11">
        <v>0</v>
      </c>
      <c r="E9" s="105">
        <v>60</v>
      </c>
      <c r="F9" s="11">
        <v>0</v>
      </c>
      <c r="G9" s="11">
        <v>0</v>
      </c>
      <c r="H9" s="11">
        <v>0</v>
      </c>
      <c r="I9" s="11"/>
      <c r="J9" s="11">
        <v>0</v>
      </c>
      <c r="K9" s="11"/>
      <c r="L9" s="12"/>
      <c r="M9" s="52" t="s">
        <v>20</v>
      </c>
      <c r="N9" s="48" t="s">
        <v>13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04">
        <f>327+60</f>
        <v>387</v>
      </c>
      <c r="W9" s="11">
        <v>0</v>
      </c>
    </row>
    <row r="10" spans="1:23" ht="36.75" x14ac:dyDescent="0.25">
      <c r="A10" s="40" t="s">
        <v>20</v>
      </c>
      <c r="B10" s="44" t="s">
        <v>31</v>
      </c>
      <c r="C10" s="11">
        <v>0</v>
      </c>
      <c r="D10" s="11">
        <v>0</v>
      </c>
      <c r="E10" s="11">
        <v>0</v>
      </c>
      <c r="F10" s="105">
        <f>40+45</f>
        <v>85</v>
      </c>
      <c r="G10" s="11">
        <v>0</v>
      </c>
      <c r="H10" s="11">
        <v>0</v>
      </c>
      <c r="I10" s="11"/>
      <c r="J10" s="11">
        <v>0</v>
      </c>
      <c r="K10" s="11"/>
      <c r="L10" s="12"/>
      <c r="M10" s="52" t="s">
        <v>20</v>
      </c>
      <c r="N10" s="49" t="s">
        <v>54</v>
      </c>
      <c r="O10" s="13">
        <v>0</v>
      </c>
      <c r="P10" s="13">
        <v>0</v>
      </c>
      <c r="Q10" s="13">
        <v>0</v>
      </c>
      <c r="R10" s="104">
        <f>90+10+234+'GASTOS POR SEMANA  SEPT-23 '!T76</f>
        <v>392</v>
      </c>
      <c r="S10" s="13">
        <v>0</v>
      </c>
      <c r="T10" s="13">
        <v>0</v>
      </c>
      <c r="U10" s="13">
        <v>0</v>
      </c>
      <c r="V10" s="13">
        <v>0</v>
      </c>
      <c r="W10" s="11">
        <v>0</v>
      </c>
    </row>
    <row r="11" spans="1:23" ht="57" x14ac:dyDescent="0.25">
      <c r="A11" s="40" t="s">
        <v>20</v>
      </c>
      <c r="B11" s="44" t="s">
        <v>60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05">
        <f>1013+1701+'GASTOS POR SEMANA  SEPT-23 '!J77+'GASTOS POR SEMANA  SEPT-23 '!J78</f>
        <v>5365.5</v>
      </c>
      <c r="J11" s="11">
        <v>0</v>
      </c>
      <c r="K11" s="11"/>
      <c r="L11" s="12"/>
      <c r="M11" s="52" t="s">
        <v>20</v>
      </c>
      <c r="N11" s="106" t="s">
        <v>55</v>
      </c>
      <c r="O11" s="13">
        <v>0</v>
      </c>
      <c r="P11" s="13">
        <v>0</v>
      </c>
      <c r="Q11" s="104">
        <f>2200+118+338+30+82+36+'GASTOS POR SEMANA  SEPT-23 '!S77</f>
        <v>5248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1">
        <v>0</v>
      </c>
    </row>
    <row r="12" spans="1:23" ht="32.25" customHeight="1" x14ac:dyDescent="0.25">
      <c r="A12" s="40" t="s">
        <v>20</v>
      </c>
      <c r="B12" s="42" t="s">
        <v>9</v>
      </c>
      <c r="C12" s="11">
        <v>0</v>
      </c>
      <c r="D12" s="105">
        <v>180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/>
      <c r="L12" s="12"/>
      <c r="M12" s="52" t="s">
        <v>20</v>
      </c>
      <c r="N12" s="50" t="s">
        <v>15</v>
      </c>
      <c r="O12" s="13">
        <v>0</v>
      </c>
      <c r="P12" s="104">
        <f>1221+'GASTOS POR SEMANA  SEPT-23 '!R75</f>
        <v>1310</v>
      </c>
      <c r="Q12" s="13" t="s">
        <v>26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1">
        <v>0</v>
      </c>
    </row>
    <row r="13" spans="1:23" ht="56.25" x14ac:dyDescent="0.25">
      <c r="A13" s="40" t="s">
        <v>20</v>
      </c>
      <c r="B13" s="45" t="s">
        <v>51</v>
      </c>
      <c r="C13" s="11">
        <v>0</v>
      </c>
      <c r="D13" s="11">
        <v>0</v>
      </c>
      <c r="E13" s="105">
        <f>1638+45+36+'GASTOS POR SEMANA  SEPT-23 '!F79</f>
        <v>3983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/>
      <c r="L13" s="12"/>
      <c r="M13" s="52" t="s">
        <v>20</v>
      </c>
      <c r="N13" s="48" t="s">
        <v>32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04">
        <f>700+700+710+3067+'GASTOS POR SEMANA  SEPT-23 '!V79</f>
        <v>9685</v>
      </c>
      <c r="U13" s="13">
        <v>0</v>
      </c>
      <c r="V13" s="13">
        <v>0</v>
      </c>
      <c r="W13" s="11">
        <v>0</v>
      </c>
    </row>
    <row r="14" spans="1:23" ht="22.5" customHeight="1" x14ac:dyDescent="0.25">
      <c r="A14" s="40" t="s">
        <v>20</v>
      </c>
      <c r="B14" s="42" t="s">
        <v>11</v>
      </c>
      <c r="C14" s="11">
        <v>0</v>
      </c>
      <c r="D14" s="11">
        <v>0</v>
      </c>
      <c r="E14" s="11">
        <v>0</v>
      </c>
      <c r="F14" s="11">
        <v>0</v>
      </c>
      <c r="G14" s="105">
        <f>380+380+460+'GASTOS POR SEMANA  SEPT-23 '!H80</f>
        <v>2450</v>
      </c>
      <c r="H14" s="11">
        <v>0</v>
      </c>
      <c r="I14" s="11">
        <v>0</v>
      </c>
      <c r="J14" s="11">
        <v>0</v>
      </c>
      <c r="K14" s="11"/>
      <c r="L14" s="12"/>
      <c r="M14" s="52" t="s">
        <v>20</v>
      </c>
      <c r="N14" s="48" t="s">
        <v>34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04">
        <f>170+238+170+153+170+336+'GASTOS POR SEMANA  SEPT-23 '!V80</f>
        <v>2316</v>
      </c>
      <c r="U14" s="13">
        <v>0</v>
      </c>
      <c r="V14" s="13">
        <v>0</v>
      </c>
      <c r="W14" s="11">
        <v>0</v>
      </c>
    </row>
    <row r="15" spans="1:23" ht="22.5" customHeight="1" x14ac:dyDescent="0.25">
      <c r="A15" s="40" t="s">
        <v>20</v>
      </c>
      <c r="B15" s="95" t="s">
        <v>50</v>
      </c>
      <c r="C15" s="11">
        <v>0</v>
      </c>
      <c r="D15" s="11"/>
      <c r="E15" s="11"/>
      <c r="F15" s="11"/>
      <c r="G15" s="11"/>
      <c r="H15" s="11"/>
      <c r="I15" s="11"/>
      <c r="J15" s="11"/>
      <c r="K15" s="105">
        <f>'GASTOS POR SEMANA  SEPT-23 '!L81</f>
        <v>1008</v>
      </c>
      <c r="L15" s="12"/>
      <c r="M15" s="52" t="s">
        <v>20</v>
      </c>
      <c r="N15" s="48"/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1">
        <v>0</v>
      </c>
    </row>
    <row r="16" spans="1:23" ht="22.5" hidden="1" customHeight="1" x14ac:dyDescent="0.25">
      <c r="A16" s="9"/>
      <c r="B16" s="10"/>
      <c r="C16" s="11">
        <v>0</v>
      </c>
      <c r="D16" s="11"/>
      <c r="E16" s="11"/>
      <c r="F16" s="11"/>
      <c r="G16" s="11"/>
      <c r="H16" s="11"/>
      <c r="I16" s="11"/>
      <c r="J16" s="11"/>
      <c r="K16" s="11"/>
      <c r="L16" s="12"/>
      <c r="M16" s="46"/>
      <c r="N16" s="51"/>
      <c r="O16" s="11">
        <v>0</v>
      </c>
      <c r="P16" s="11"/>
      <c r="Q16" s="11"/>
      <c r="R16" s="11"/>
      <c r="S16" s="11"/>
      <c r="T16" s="11"/>
      <c r="U16" s="11"/>
      <c r="V16" s="11"/>
      <c r="W16" s="11"/>
    </row>
    <row r="17" spans="1:23" ht="22.5" hidden="1" customHeight="1" x14ac:dyDescent="0.25">
      <c r="A17" s="9"/>
      <c r="B17" s="10"/>
      <c r="C17" s="11">
        <v>0</v>
      </c>
      <c r="D17" s="11"/>
      <c r="E17" s="11"/>
      <c r="F17" s="11"/>
      <c r="G17" s="11"/>
      <c r="H17" s="11"/>
      <c r="I17" s="11"/>
      <c r="J17" s="11"/>
      <c r="K17" s="11"/>
      <c r="L17" s="12"/>
      <c r="M17" s="46"/>
      <c r="N17" s="51"/>
      <c r="O17" s="11">
        <v>0</v>
      </c>
      <c r="P17" s="11"/>
      <c r="Q17" s="11"/>
      <c r="R17" s="11"/>
      <c r="S17" s="11"/>
      <c r="T17" s="11"/>
      <c r="U17" s="11"/>
      <c r="V17" s="11"/>
      <c r="W17" s="11"/>
    </row>
    <row r="18" spans="1:23" ht="22.5" hidden="1" customHeight="1" x14ac:dyDescent="0.25">
      <c r="A18" s="9"/>
      <c r="B18" s="10"/>
      <c r="C18" s="11">
        <v>0</v>
      </c>
      <c r="D18" s="11"/>
      <c r="E18" s="11"/>
      <c r="F18" s="11"/>
      <c r="G18" s="11"/>
      <c r="H18" s="11"/>
      <c r="I18" s="11"/>
      <c r="J18" s="11"/>
      <c r="K18" s="11"/>
      <c r="L18" s="12"/>
      <c r="M18" s="46"/>
      <c r="N18" s="51"/>
      <c r="O18" s="11">
        <v>0</v>
      </c>
      <c r="P18" s="11"/>
      <c r="Q18" s="11"/>
      <c r="R18" s="11"/>
      <c r="S18" s="11"/>
      <c r="T18" s="11"/>
      <c r="U18" s="11"/>
      <c r="V18" s="11"/>
      <c r="W18" s="11"/>
    </row>
    <row r="19" spans="1:23" ht="22.5" hidden="1" customHeight="1" x14ac:dyDescent="0.25">
      <c r="A19" s="9"/>
      <c r="B19" s="10"/>
      <c r="C19" s="11">
        <v>0</v>
      </c>
      <c r="D19" s="11"/>
      <c r="E19" s="11"/>
      <c r="F19" s="11"/>
      <c r="G19" s="11"/>
      <c r="H19" s="11"/>
      <c r="I19" s="11"/>
      <c r="J19" s="11"/>
      <c r="K19" s="11"/>
      <c r="L19" s="12"/>
      <c r="M19" s="46"/>
      <c r="N19" s="51"/>
      <c r="O19" s="11">
        <v>0</v>
      </c>
      <c r="P19" s="11"/>
      <c r="Q19" s="11"/>
      <c r="R19" s="11"/>
      <c r="S19" s="11"/>
      <c r="T19" s="11"/>
      <c r="U19" s="11"/>
      <c r="V19" s="11"/>
      <c r="W19" s="11"/>
    </row>
    <row r="20" spans="1:23" ht="22.5" hidden="1" customHeight="1" x14ac:dyDescent="0.25">
      <c r="A20" s="9"/>
      <c r="B20" s="10"/>
      <c r="C20" s="11">
        <v>0</v>
      </c>
      <c r="D20" s="11"/>
      <c r="E20" s="11"/>
      <c r="F20" s="11"/>
      <c r="G20" s="11"/>
      <c r="H20" s="11"/>
      <c r="I20" s="11"/>
      <c r="J20" s="11"/>
      <c r="K20" s="11"/>
      <c r="L20" s="12"/>
      <c r="M20" s="46"/>
      <c r="N20" s="51"/>
      <c r="O20" s="11">
        <v>0</v>
      </c>
      <c r="P20" s="11"/>
      <c r="Q20" s="11"/>
      <c r="R20" s="11"/>
      <c r="S20" s="11"/>
      <c r="T20" s="11"/>
      <c r="U20" s="11"/>
      <c r="V20" s="11"/>
      <c r="W20" s="11"/>
    </row>
    <row r="21" spans="1:23" ht="22.5" hidden="1" customHeight="1" x14ac:dyDescent="0.25">
      <c r="A21" s="9"/>
      <c r="B21" s="10"/>
      <c r="C21" s="11">
        <v>0</v>
      </c>
      <c r="D21" s="11"/>
      <c r="E21" s="11"/>
      <c r="F21" s="11"/>
      <c r="G21" s="11"/>
      <c r="H21" s="11"/>
      <c r="I21" s="11"/>
      <c r="J21" s="11"/>
      <c r="K21" s="11"/>
      <c r="L21" s="12"/>
      <c r="M21" s="46"/>
      <c r="N21" s="51"/>
      <c r="O21" s="11">
        <v>0</v>
      </c>
      <c r="P21" s="11"/>
      <c r="Q21" s="11"/>
      <c r="R21" s="11"/>
      <c r="S21" s="11"/>
      <c r="T21" s="11"/>
      <c r="U21" s="11"/>
      <c r="V21" s="11"/>
      <c r="W21" s="11"/>
    </row>
    <row r="22" spans="1:23" ht="22.5" hidden="1" customHeight="1" x14ac:dyDescent="0.25">
      <c r="A22" s="9"/>
      <c r="B22" s="10"/>
      <c r="C22" s="11">
        <v>0</v>
      </c>
      <c r="D22" s="11"/>
      <c r="E22" s="11"/>
      <c r="F22" s="11"/>
      <c r="G22" s="11"/>
      <c r="H22" s="11"/>
      <c r="I22" s="11"/>
      <c r="J22" s="11"/>
      <c r="K22" s="11"/>
      <c r="L22" s="12"/>
      <c r="M22" s="46"/>
      <c r="N22" s="51"/>
      <c r="O22" s="11">
        <v>0</v>
      </c>
      <c r="P22" s="11"/>
      <c r="Q22" s="11"/>
      <c r="R22" s="11"/>
      <c r="S22" s="11"/>
      <c r="T22" s="11"/>
      <c r="U22" s="11"/>
      <c r="V22" s="11"/>
      <c r="W22" s="11"/>
    </row>
    <row r="23" spans="1:23" ht="22.5" hidden="1" customHeight="1" x14ac:dyDescent="0.25">
      <c r="A23" s="9"/>
      <c r="B23" s="10"/>
      <c r="C23" s="11">
        <v>0</v>
      </c>
      <c r="D23" s="11"/>
      <c r="E23" s="11"/>
      <c r="F23" s="11"/>
      <c r="G23" s="11"/>
      <c r="H23" s="11"/>
      <c r="I23" s="11"/>
      <c r="J23" s="11"/>
      <c r="K23" s="11"/>
      <c r="L23" s="12"/>
      <c r="M23" s="46"/>
      <c r="N23" s="51"/>
      <c r="O23" s="11">
        <v>0</v>
      </c>
      <c r="P23" s="11"/>
      <c r="Q23" s="11"/>
      <c r="R23" s="11"/>
      <c r="S23" s="11"/>
      <c r="T23" s="11"/>
      <c r="U23" s="11"/>
      <c r="V23" s="11"/>
      <c r="W23" s="11"/>
    </row>
    <row r="24" spans="1:23" ht="22.5" hidden="1" customHeight="1" x14ac:dyDescent="0.25">
      <c r="A24" s="9"/>
      <c r="B24" s="10"/>
      <c r="C24" s="11">
        <v>0</v>
      </c>
      <c r="D24" s="11"/>
      <c r="E24" s="11"/>
      <c r="F24" s="11"/>
      <c r="G24" s="11"/>
      <c r="H24" s="11"/>
      <c r="I24" s="11"/>
      <c r="J24" s="11"/>
      <c r="K24" s="11"/>
      <c r="L24" s="12"/>
      <c r="M24" s="46"/>
      <c r="N24" s="51"/>
      <c r="O24" s="11">
        <v>0</v>
      </c>
      <c r="P24" s="11"/>
      <c r="Q24" s="11"/>
      <c r="R24" s="11"/>
      <c r="S24" s="11"/>
      <c r="T24" s="11"/>
      <c r="U24" s="11"/>
      <c r="V24" s="11"/>
      <c r="W24" s="11"/>
    </row>
    <row r="25" spans="1:23" ht="22.5" hidden="1" customHeight="1" x14ac:dyDescent="0.25">
      <c r="A25" s="9"/>
      <c r="B25" s="10"/>
      <c r="C25" s="11">
        <v>0</v>
      </c>
      <c r="D25" s="11"/>
      <c r="E25" s="11"/>
      <c r="F25" s="11"/>
      <c r="G25" s="11"/>
      <c r="H25" s="11"/>
      <c r="I25" s="11"/>
      <c r="J25" s="11"/>
      <c r="K25" s="11"/>
      <c r="L25" s="12"/>
      <c r="M25" s="46"/>
      <c r="N25" s="51"/>
      <c r="O25" s="11">
        <v>0</v>
      </c>
      <c r="P25" s="11"/>
      <c r="Q25" s="11"/>
      <c r="R25" s="11"/>
      <c r="S25" s="11"/>
      <c r="T25" s="11"/>
      <c r="U25" s="11"/>
      <c r="V25" s="11"/>
      <c r="W25" s="11"/>
    </row>
    <row r="26" spans="1:23" ht="22.5" hidden="1" customHeight="1" x14ac:dyDescent="0.25">
      <c r="A26" s="9"/>
      <c r="B26" s="10"/>
      <c r="C26" s="11">
        <v>0</v>
      </c>
      <c r="D26" s="11"/>
      <c r="E26" s="11"/>
      <c r="F26" s="11"/>
      <c r="G26" s="11"/>
      <c r="H26" s="11"/>
      <c r="I26" s="11"/>
      <c r="J26" s="11"/>
      <c r="K26" s="11"/>
      <c r="L26" s="12"/>
      <c r="M26" s="46"/>
      <c r="N26" s="51"/>
      <c r="O26" s="11">
        <v>0</v>
      </c>
      <c r="P26" s="11"/>
      <c r="Q26" s="11"/>
      <c r="R26" s="11"/>
      <c r="S26" s="11"/>
      <c r="T26" s="11"/>
      <c r="U26" s="11"/>
      <c r="V26" s="11"/>
      <c r="W26" s="11"/>
    </row>
    <row r="27" spans="1:23" ht="22.5" customHeight="1" thickBot="1" x14ac:dyDescent="0.3">
      <c r="A27" s="9"/>
      <c r="B27" s="34"/>
      <c r="C27" s="20">
        <v>0</v>
      </c>
      <c r="D27" s="20"/>
      <c r="E27" s="20"/>
      <c r="F27" s="20"/>
      <c r="G27" s="20"/>
      <c r="H27" s="20"/>
      <c r="I27" s="20"/>
      <c r="J27" s="20"/>
      <c r="K27" s="20"/>
      <c r="L27" s="12"/>
      <c r="M27" s="46"/>
      <c r="N27" s="51"/>
      <c r="O27" s="20">
        <v>0</v>
      </c>
      <c r="P27" s="20"/>
      <c r="Q27" s="20"/>
      <c r="R27" s="20"/>
      <c r="S27" s="20"/>
      <c r="T27" s="20"/>
      <c r="U27" s="20"/>
      <c r="V27" s="20"/>
      <c r="W27" s="20"/>
    </row>
    <row r="28" spans="1:23" ht="31.5" customHeight="1" thickBot="1" x14ac:dyDescent="0.3">
      <c r="B28" s="35" t="s">
        <v>18</v>
      </c>
      <c r="C28" s="30">
        <f t="shared" ref="C28:K28" si="0">SUM(C5:C27)</f>
        <v>572</v>
      </c>
      <c r="D28" s="31">
        <f t="shared" si="0"/>
        <v>672</v>
      </c>
      <c r="E28" s="31">
        <f t="shared" si="0"/>
        <v>4043</v>
      </c>
      <c r="F28" s="31">
        <f t="shared" si="0"/>
        <v>85</v>
      </c>
      <c r="G28" s="31">
        <f t="shared" si="0"/>
        <v>3537</v>
      </c>
      <c r="H28" s="31">
        <f t="shared" si="0"/>
        <v>875</v>
      </c>
      <c r="I28" s="22">
        <f t="shared" si="0"/>
        <v>5365.5</v>
      </c>
      <c r="J28" s="32">
        <f t="shared" si="0"/>
        <v>10869</v>
      </c>
      <c r="K28" s="32">
        <f t="shared" si="0"/>
        <v>1008</v>
      </c>
      <c r="L28" s="8"/>
      <c r="N28" s="33" t="s">
        <v>18</v>
      </c>
      <c r="O28" s="21">
        <f>SUM(O5:O27)</f>
        <v>1518</v>
      </c>
      <c r="P28" s="22">
        <f t="shared" ref="P28:W28" si="1">SUM(P5:P27)</f>
        <v>1310</v>
      </c>
      <c r="Q28" s="22">
        <f t="shared" si="1"/>
        <v>5248</v>
      </c>
      <c r="R28" s="22">
        <f t="shared" si="1"/>
        <v>392</v>
      </c>
      <c r="S28" s="22">
        <f t="shared" si="1"/>
        <v>0</v>
      </c>
      <c r="T28" s="22">
        <f t="shared" si="1"/>
        <v>12001</v>
      </c>
      <c r="U28" s="22">
        <f t="shared" si="1"/>
        <v>1182</v>
      </c>
      <c r="V28" s="22">
        <f t="shared" si="1"/>
        <v>5959.5</v>
      </c>
      <c r="W28" s="23">
        <f t="shared" si="1"/>
        <v>11922</v>
      </c>
    </row>
    <row r="29" spans="1:23" ht="22.5" customHeight="1" thickBot="1" x14ac:dyDescent="0.3">
      <c r="C29" s="5"/>
      <c r="D29" s="5"/>
      <c r="E29" s="5"/>
      <c r="F29" s="5"/>
      <c r="G29" s="5"/>
      <c r="H29" s="5"/>
      <c r="I29" s="5"/>
      <c r="J29" s="5"/>
      <c r="K29" s="5"/>
      <c r="L29" s="3"/>
      <c r="O29" s="5"/>
      <c r="P29" s="5"/>
      <c r="Q29" s="5"/>
      <c r="R29" s="5"/>
      <c r="S29" s="5"/>
      <c r="T29" s="5"/>
      <c r="U29" s="5"/>
      <c r="V29" s="5"/>
      <c r="W29" s="5"/>
    </row>
    <row r="30" spans="1:23" ht="22.5" customHeight="1" thickBot="1" x14ac:dyDescent="0.4">
      <c r="C30" s="5"/>
      <c r="D30" s="5"/>
      <c r="E30" s="245">
        <f>J28+I28+H28+G28+F28+E28+D28+C28+K28</f>
        <v>27026.5</v>
      </c>
      <c r="F30" s="246"/>
      <c r="G30" s="247"/>
      <c r="H30" s="5"/>
      <c r="I30" s="5"/>
      <c r="J30" s="5"/>
      <c r="K30" s="5"/>
      <c r="L30" s="3"/>
      <c r="O30" s="5"/>
      <c r="P30" s="5"/>
      <c r="Q30" s="248">
        <f>O28+P28+Q28+R28+T28+U28+V28+W28</f>
        <v>39532.5</v>
      </c>
      <c r="R30" s="249"/>
      <c r="S30" s="250"/>
      <c r="T30" s="5"/>
      <c r="U30" s="5"/>
      <c r="V30" s="5"/>
      <c r="W30" s="5"/>
    </row>
    <row r="31" spans="1:23" ht="22.5" customHeight="1" x14ac:dyDescent="0.25">
      <c r="C31" s="5"/>
      <c r="D31" s="5"/>
      <c r="E31" s="5"/>
      <c r="F31" s="5"/>
      <c r="G31" s="5"/>
      <c r="H31" s="5"/>
      <c r="I31" s="5"/>
      <c r="J31" s="5"/>
      <c r="K31" s="5"/>
      <c r="L31" s="3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C32" s="5"/>
      <c r="D32" s="5"/>
      <c r="E32" s="5"/>
      <c r="F32" s="5"/>
      <c r="G32" s="5"/>
      <c r="H32" s="5"/>
      <c r="I32" s="5"/>
      <c r="J32" s="5"/>
      <c r="K32" s="5"/>
      <c r="L32" s="3"/>
      <c r="O32" s="5"/>
      <c r="P32" s="5"/>
      <c r="Q32" s="5"/>
      <c r="R32" s="5"/>
      <c r="S32" s="5"/>
      <c r="T32" s="5"/>
      <c r="U32" s="5"/>
      <c r="V32" s="5"/>
      <c r="W32" s="5"/>
    </row>
    <row r="33" spans="3:23" ht="15.75" thickBot="1" x14ac:dyDescent="0.3">
      <c r="C33" s="5"/>
      <c r="D33" s="5"/>
      <c r="E33" s="5"/>
      <c r="F33" s="5"/>
      <c r="G33" s="5"/>
      <c r="H33" s="5"/>
      <c r="I33" s="5"/>
      <c r="J33" s="5"/>
      <c r="K33" s="5"/>
      <c r="L33" s="4"/>
      <c r="O33" s="5"/>
      <c r="P33" s="5"/>
      <c r="Q33" s="5"/>
      <c r="R33" s="5"/>
      <c r="S33" s="5"/>
      <c r="T33" s="5"/>
      <c r="U33" s="5"/>
      <c r="V33" s="5"/>
      <c r="W33" s="5"/>
    </row>
  </sheetData>
  <mergeCells count="4">
    <mergeCell ref="B2:J2"/>
    <mergeCell ref="M2:W2"/>
    <mergeCell ref="E30:G30"/>
    <mergeCell ref="Q30:S3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167"/>
  <sheetViews>
    <sheetView tabSelected="1" topLeftCell="A10" zoomScaleNormal="100" workbookViewId="0">
      <selection activeCell="J19" sqref="J14:J19"/>
    </sheetView>
  </sheetViews>
  <sheetFormatPr baseColWidth="10" defaultRowHeight="15" x14ac:dyDescent="0.25"/>
  <cols>
    <col min="1" max="1" width="4.7109375" customWidth="1"/>
    <col min="3" max="3" width="29.85546875" customWidth="1"/>
    <col min="4" max="4" width="14" customWidth="1"/>
    <col min="6" max="6" width="13.140625" customWidth="1"/>
    <col min="8" max="8" width="13" customWidth="1"/>
    <col min="10" max="10" width="15.140625" customWidth="1"/>
    <col min="12" max="12" width="15.140625" customWidth="1"/>
    <col min="16" max="16" width="26.42578125" customWidth="1"/>
    <col min="19" max="19" width="13.85546875" customWidth="1"/>
    <col min="23" max="23" width="13.7109375" customWidth="1"/>
    <col min="24" max="24" width="15.28515625" customWidth="1"/>
  </cols>
  <sheetData>
    <row r="1" spans="2:25" ht="15.75" thickBot="1" x14ac:dyDescent="0.3"/>
    <row r="2" spans="2:25" ht="22.5" thickTop="1" thickBot="1" x14ac:dyDescent="0.4">
      <c r="B2" s="7"/>
      <c r="C2" s="238" t="s">
        <v>36</v>
      </c>
      <c r="D2" s="239"/>
      <c r="E2" s="239"/>
      <c r="F2" s="239"/>
      <c r="G2" s="239"/>
      <c r="H2" s="239"/>
      <c r="I2" s="239"/>
      <c r="J2" s="239"/>
      <c r="K2" s="239"/>
      <c r="L2" s="128" t="s">
        <v>224</v>
      </c>
      <c r="M2" s="133"/>
      <c r="N2" s="81"/>
      <c r="O2" s="240" t="s">
        <v>19</v>
      </c>
      <c r="P2" s="241"/>
      <c r="Q2" s="241"/>
      <c r="R2" s="241"/>
      <c r="S2" s="241"/>
      <c r="T2" s="241"/>
      <c r="U2" s="241"/>
      <c r="V2" s="241"/>
      <c r="W2" s="241"/>
      <c r="X2" s="190" t="str">
        <f>L2</f>
        <v># 06</v>
      </c>
    </row>
    <row r="3" spans="2:25" ht="16.5" thickBot="1" x14ac:dyDescent="0.3">
      <c r="B3" s="7"/>
      <c r="C3" s="1"/>
      <c r="I3" s="242" t="s">
        <v>226</v>
      </c>
      <c r="J3" s="243"/>
      <c r="K3" s="244"/>
      <c r="L3" s="68"/>
      <c r="M3" s="134"/>
      <c r="N3" s="74"/>
      <c r="O3" s="7"/>
      <c r="V3" s="242" t="str">
        <f>I3</f>
        <v>del       21--- al  27    OCTUBRE-2023</v>
      </c>
      <c r="W3" s="243"/>
      <c r="X3" s="244"/>
    </row>
    <row r="4" spans="2:25" ht="64.5" thickTop="1" thickBot="1" x14ac:dyDescent="0.3">
      <c r="B4" s="6" t="s">
        <v>0</v>
      </c>
      <c r="C4" s="24" t="s">
        <v>1</v>
      </c>
      <c r="D4" s="25" t="s">
        <v>2</v>
      </c>
      <c r="E4" s="26" t="s">
        <v>7</v>
      </c>
      <c r="F4" s="56" t="s">
        <v>38</v>
      </c>
      <c r="G4" s="25" t="s">
        <v>3</v>
      </c>
      <c r="H4" s="27" t="s">
        <v>22</v>
      </c>
      <c r="I4" s="184" t="s">
        <v>4</v>
      </c>
      <c r="J4" s="61" t="s">
        <v>8</v>
      </c>
      <c r="K4" s="183" t="s">
        <v>5</v>
      </c>
      <c r="L4" s="99" t="s">
        <v>46</v>
      </c>
      <c r="M4" s="135"/>
      <c r="N4" s="82"/>
      <c r="O4" s="36" t="s">
        <v>0</v>
      </c>
      <c r="P4" s="143" t="s">
        <v>1</v>
      </c>
      <c r="Q4" s="137" t="s">
        <v>2</v>
      </c>
      <c r="R4" s="138" t="s">
        <v>16</v>
      </c>
      <c r="S4" s="138" t="s">
        <v>38</v>
      </c>
      <c r="T4" s="137" t="s">
        <v>3</v>
      </c>
      <c r="U4" s="137" t="s">
        <v>4</v>
      </c>
      <c r="V4" s="141" t="s">
        <v>25</v>
      </c>
      <c r="W4" s="136" t="s">
        <v>8</v>
      </c>
      <c r="X4" s="142" t="s">
        <v>5</v>
      </c>
    </row>
    <row r="5" spans="2:25" ht="45.75" customHeight="1" x14ac:dyDescent="0.25">
      <c r="B5" s="93" t="s">
        <v>225</v>
      </c>
      <c r="C5" s="234" t="s">
        <v>233</v>
      </c>
      <c r="D5" s="72"/>
      <c r="E5" s="72"/>
      <c r="F5" s="72"/>
      <c r="G5" s="72"/>
      <c r="H5" s="72"/>
      <c r="I5" s="72"/>
      <c r="J5" s="72"/>
      <c r="K5" s="72">
        <f>1396+211+673+180</f>
        <v>2460</v>
      </c>
      <c r="L5" s="71"/>
      <c r="M5" s="131"/>
      <c r="N5" s="74"/>
      <c r="O5" s="93" t="s">
        <v>225</v>
      </c>
      <c r="P5" s="234" t="s">
        <v>227</v>
      </c>
      <c r="Q5" s="72"/>
      <c r="R5" s="72"/>
      <c r="S5" s="72"/>
      <c r="T5" s="72"/>
      <c r="U5" s="72"/>
      <c r="V5" s="72"/>
      <c r="W5" s="72"/>
      <c r="X5" s="72">
        <f>1712+920+717</f>
        <v>3349</v>
      </c>
    </row>
    <row r="6" spans="2:25" ht="67.5" customHeight="1" x14ac:dyDescent="0.25">
      <c r="B6" s="93" t="s">
        <v>225</v>
      </c>
      <c r="C6" s="44" t="s">
        <v>234</v>
      </c>
      <c r="D6" s="67"/>
      <c r="E6" s="67"/>
      <c r="F6" s="67">
        <f>1385+264+197+490</f>
        <v>2336</v>
      </c>
      <c r="G6" s="67"/>
      <c r="H6" s="67"/>
      <c r="I6" s="67"/>
      <c r="J6" s="67"/>
      <c r="K6" s="67"/>
      <c r="L6" s="67"/>
      <c r="M6" s="131"/>
      <c r="N6" s="74"/>
      <c r="O6" s="93" t="s">
        <v>225</v>
      </c>
      <c r="P6" s="44" t="s">
        <v>229</v>
      </c>
      <c r="Q6" s="67"/>
      <c r="R6" s="67"/>
      <c r="S6" s="67">
        <f>19+2300+702+700+80</f>
        <v>3801</v>
      </c>
      <c r="T6" s="67"/>
      <c r="U6" s="67"/>
      <c r="V6" s="67"/>
      <c r="W6" s="67"/>
      <c r="X6" s="67"/>
    </row>
    <row r="7" spans="2:25" ht="34.5" customHeight="1" x14ac:dyDescent="0.25">
      <c r="B7" s="93" t="s">
        <v>225</v>
      </c>
      <c r="C7" s="44" t="s">
        <v>235</v>
      </c>
      <c r="D7" s="67">
        <f>110+188+220+210</f>
        <v>728</v>
      </c>
      <c r="E7" s="67"/>
      <c r="F7" s="67"/>
      <c r="G7" s="67"/>
      <c r="H7" s="67"/>
      <c r="I7" s="67"/>
      <c r="J7" s="67"/>
      <c r="K7" s="67"/>
      <c r="L7" s="67"/>
      <c r="M7" s="131"/>
      <c r="N7" s="74"/>
      <c r="O7" s="93" t="s">
        <v>225</v>
      </c>
      <c r="P7" s="44" t="s">
        <v>228</v>
      </c>
      <c r="Q7" s="67">
        <f>165+350+140+215+180+200+262</f>
        <v>1512</v>
      </c>
      <c r="R7" s="67"/>
      <c r="S7" s="67"/>
      <c r="T7" s="67"/>
      <c r="U7" s="67"/>
      <c r="V7" s="67"/>
      <c r="W7" s="67"/>
      <c r="X7" s="67"/>
    </row>
    <row r="8" spans="2:25" ht="43.5" customHeight="1" x14ac:dyDescent="0.25">
      <c r="B8" s="93" t="s">
        <v>225</v>
      </c>
      <c r="C8" s="96" t="s">
        <v>236</v>
      </c>
      <c r="D8" s="67"/>
      <c r="E8" s="67"/>
      <c r="F8" s="67"/>
      <c r="G8" s="67">
        <v>155</v>
      </c>
      <c r="H8" s="67"/>
      <c r="I8" s="67"/>
      <c r="J8" s="67"/>
      <c r="K8" s="67"/>
      <c r="L8" s="67"/>
      <c r="M8" s="131"/>
      <c r="N8" s="74"/>
      <c r="O8" s="93" t="s">
        <v>225</v>
      </c>
      <c r="P8" s="271" t="s">
        <v>12</v>
      </c>
      <c r="Q8" s="67"/>
      <c r="R8" s="67"/>
      <c r="S8" s="67"/>
      <c r="T8" s="67"/>
      <c r="U8" s="67">
        <v>905</v>
      </c>
      <c r="V8" s="67">
        <v>0</v>
      </c>
      <c r="W8" s="67"/>
      <c r="X8" s="67"/>
    </row>
    <row r="9" spans="2:25" ht="63" x14ac:dyDescent="0.25">
      <c r="B9" s="93" t="s">
        <v>225</v>
      </c>
      <c r="C9" s="44" t="s">
        <v>237</v>
      </c>
      <c r="D9" s="67"/>
      <c r="E9" s="67"/>
      <c r="F9" s="67"/>
      <c r="G9" s="67"/>
      <c r="H9" s="67"/>
      <c r="I9" s="67">
        <v>449</v>
      </c>
      <c r="J9" s="67"/>
      <c r="K9" s="67"/>
      <c r="L9" s="67"/>
      <c r="M9" s="131"/>
      <c r="N9" s="74"/>
      <c r="O9" s="93" t="s">
        <v>225</v>
      </c>
      <c r="P9" s="44" t="s">
        <v>231</v>
      </c>
      <c r="Q9" s="67"/>
      <c r="R9" s="67"/>
      <c r="S9" s="67"/>
      <c r="T9" s="67"/>
      <c r="U9" s="67"/>
      <c r="V9" s="67"/>
      <c r="W9" s="67">
        <f>127+1495+922</f>
        <v>2544</v>
      </c>
      <c r="X9" s="67"/>
      <c r="Y9" s="272" t="s">
        <v>230</v>
      </c>
    </row>
    <row r="10" spans="2:25" ht="38.25" customHeight="1" x14ac:dyDescent="0.25">
      <c r="B10" s="93" t="s">
        <v>225</v>
      </c>
      <c r="C10" s="44" t="s">
        <v>238</v>
      </c>
      <c r="D10" s="67"/>
      <c r="E10" s="67"/>
      <c r="F10" s="67"/>
      <c r="G10" s="67"/>
      <c r="H10" s="67"/>
      <c r="I10" s="67"/>
      <c r="J10" s="67">
        <f>127+693</f>
        <v>820</v>
      </c>
      <c r="K10" s="67"/>
      <c r="L10" s="67"/>
      <c r="M10" s="131"/>
      <c r="N10" s="74"/>
      <c r="O10" s="93" t="s">
        <v>225</v>
      </c>
      <c r="P10" s="273" t="s">
        <v>232</v>
      </c>
      <c r="Q10" s="72"/>
      <c r="R10" s="72">
        <f>795+76.5+235+363</f>
        <v>1469.5</v>
      </c>
      <c r="S10" s="72"/>
      <c r="T10" s="72"/>
      <c r="U10" s="72"/>
      <c r="V10" s="72"/>
      <c r="W10" s="72"/>
      <c r="X10" s="67"/>
    </row>
    <row r="11" spans="2:25" ht="33" customHeight="1" x14ac:dyDescent="0.25">
      <c r="B11" s="93" t="s">
        <v>225</v>
      </c>
      <c r="C11" s="44" t="s">
        <v>239</v>
      </c>
      <c r="D11" s="67"/>
      <c r="E11" s="67">
        <v>138</v>
      </c>
      <c r="F11" s="67"/>
      <c r="G11" s="67"/>
      <c r="H11" s="67"/>
      <c r="I11" s="67"/>
      <c r="J11" s="94"/>
      <c r="K11" s="67"/>
      <c r="L11" s="67"/>
      <c r="M11" s="131"/>
      <c r="N11" s="74"/>
      <c r="O11" s="93" t="s">
        <v>225</v>
      </c>
      <c r="P11" s="194" t="s">
        <v>217</v>
      </c>
      <c r="Q11" s="72"/>
      <c r="R11" s="72"/>
      <c r="S11" s="72"/>
      <c r="T11" s="72"/>
      <c r="U11" s="72"/>
      <c r="V11" s="72">
        <f>255+170+170+170+170</f>
        <v>935</v>
      </c>
      <c r="W11" s="72"/>
      <c r="X11" s="67"/>
      <c r="Y11" s="129"/>
    </row>
    <row r="12" spans="2:25" ht="37.5" customHeight="1" x14ac:dyDescent="0.25">
      <c r="B12" s="93" t="s">
        <v>225</v>
      </c>
      <c r="C12" s="42" t="s">
        <v>217</v>
      </c>
      <c r="D12" s="67"/>
      <c r="E12" s="67" t="s">
        <v>26</v>
      </c>
      <c r="F12" s="67"/>
      <c r="G12" s="67"/>
      <c r="H12" s="67">
        <f>68+85+68+68+68</f>
        <v>357</v>
      </c>
      <c r="I12" s="67"/>
      <c r="J12" s="67"/>
      <c r="K12" s="67"/>
      <c r="L12" s="67"/>
      <c r="M12" s="131"/>
      <c r="N12" s="74"/>
      <c r="O12" s="93" t="s">
        <v>225</v>
      </c>
      <c r="P12" s="194" t="s">
        <v>140</v>
      </c>
      <c r="Q12" s="72"/>
      <c r="R12" s="72"/>
      <c r="S12" s="72"/>
      <c r="T12" s="72"/>
      <c r="U12" s="72"/>
      <c r="V12" s="72">
        <f>750+664+750+2516.5+205+760</f>
        <v>5645.5</v>
      </c>
      <c r="W12" s="72"/>
      <c r="X12" s="67"/>
    </row>
    <row r="13" spans="2:25" ht="44.25" customHeight="1" x14ac:dyDescent="0.25">
      <c r="B13" s="93" t="s">
        <v>225</v>
      </c>
      <c r="C13" s="95" t="s">
        <v>240</v>
      </c>
      <c r="D13" s="67"/>
      <c r="E13" s="67"/>
      <c r="F13" s="67"/>
      <c r="G13" s="67"/>
      <c r="H13" s="67">
        <f>330+330+420</f>
        <v>1080</v>
      </c>
      <c r="I13" s="67"/>
      <c r="J13" s="67"/>
      <c r="K13" s="67"/>
      <c r="L13" s="67"/>
      <c r="M13" s="131"/>
      <c r="N13" s="74"/>
      <c r="O13" s="93" t="s">
        <v>225</v>
      </c>
      <c r="P13" s="192"/>
      <c r="Q13" s="72"/>
      <c r="R13" s="72"/>
      <c r="S13" s="72"/>
      <c r="T13" s="72"/>
      <c r="U13" s="72"/>
      <c r="V13" s="72"/>
      <c r="W13" s="72"/>
      <c r="X13" s="67"/>
    </row>
    <row r="14" spans="2:25" ht="24" customHeight="1" thickBot="1" x14ac:dyDescent="0.3">
      <c r="B14" s="93" t="s">
        <v>241</v>
      </c>
      <c r="C14" s="42" t="s">
        <v>207</v>
      </c>
      <c r="D14" s="67"/>
      <c r="E14" s="67"/>
      <c r="F14" s="67"/>
      <c r="G14" s="67"/>
      <c r="H14" s="67"/>
      <c r="I14" s="67"/>
      <c r="J14" s="67"/>
      <c r="K14" s="67"/>
      <c r="L14" s="11">
        <f>159+159+500</f>
        <v>818</v>
      </c>
      <c r="M14" s="131"/>
      <c r="N14" s="74"/>
      <c r="O14" s="191"/>
      <c r="P14" s="193"/>
      <c r="Q14" s="72"/>
      <c r="R14" s="72"/>
      <c r="S14" s="72"/>
      <c r="T14" s="72"/>
      <c r="U14" s="72"/>
      <c r="V14" s="72"/>
      <c r="W14" s="72"/>
      <c r="X14" s="67"/>
    </row>
    <row r="15" spans="2:25" ht="15.75" hidden="1" thickBot="1" x14ac:dyDescent="0.3">
      <c r="B15" s="93"/>
      <c r="C15" s="95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88"/>
      <c r="Q15" s="72"/>
      <c r="R15" s="72"/>
      <c r="S15" s="72"/>
      <c r="T15" s="72"/>
      <c r="U15" s="72"/>
      <c r="V15" s="72"/>
      <c r="W15" s="72"/>
      <c r="X15" s="67"/>
    </row>
    <row r="16" spans="2:25" ht="15.75" hidden="1" thickBot="1" x14ac:dyDescent="0.3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hidden="1" thickBot="1" x14ac:dyDescent="0.3">
      <c r="B17" s="93"/>
      <c r="C17" s="10"/>
      <c r="D17" s="67"/>
      <c r="E17" s="67"/>
      <c r="F17" s="67"/>
      <c r="G17" s="67"/>
      <c r="H17" s="67"/>
      <c r="I17" s="67"/>
      <c r="J17" s="67"/>
      <c r="K17" s="67"/>
      <c r="L17" s="11"/>
      <c r="M17" s="131"/>
      <c r="N17" s="74"/>
      <c r="O17" s="93"/>
      <c r="P17" s="91"/>
      <c r="Q17" s="67"/>
      <c r="R17" s="67"/>
      <c r="S17" s="67"/>
      <c r="T17" s="67"/>
      <c r="U17" s="67"/>
      <c r="V17" s="67"/>
      <c r="W17" s="67"/>
      <c r="X17" s="67"/>
    </row>
    <row r="18" spans="2:24" ht="15.75" hidden="1" thickBot="1" x14ac:dyDescent="0.3">
      <c r="B18" s="9"/>
      <c r="C18" s="34"/>
      <c r="D18" s="73"/>
      <c r="E18" s="73"/>
      <c r="F18" s="73"/>
      <c r="G18" s="73"/>
      <c r="H18" s="73"/>
      <c r="I18" s="73"/>
      <c r="J18" s="73"/>
      <c r="K18" s="73"/>
      <c r="L18" s="20"/>
      <c r="M18" s="131"/>
      <c r="N18" s="74"/>
      <c r="O18" s="46"/>
      <c r="P18" s="51"/>
      <c r="Q18" s="73">
        <v>0</v>
      </c>
      <c r="R18" s="73"/>
      <c r="S18" s="73"/>
      <c r="T18" s="73"/>
      <c r="U18" s="73"/>
      <c r="V18" s="73"/>
      <c r="W18" s="73"/>
      <c r="X18" s="73"/>
    </row>
    <row r="19" spans="2:24" ht="24" thickBot="1" x14ac:dyDescent="0.3">
      <c r="B19" s="7"/>
      <c r="C19" s="35" t="s">
        <v>18</v>
      </c>
      <c r="D19" s="30">
        <f>SUM(D5:D18)</f>
        <v>728</v>
      </c>
      <c r="E19" s="30">
        <f t="shared" ref="E19:L19" si="0">SUM(E5:E18)</f>
        <v>138</v>
      </c>
      <c r="F19" s="30">
        <f t="shared" si="0"/>
        <v>2336</v>
      </c>
      <c r="G19" s="30">
        <f t="shared" si="0"/>
        <v>155</v>
      </c>
      <c r="H19" s="30">
        <f t="shared" si="0"/>
        <v>1437</v>
      </c>
      <c r="I19" s="30">
        <f t="shared" si="0"/>
        <v>449</v>
      </c>
      <c r="J19" s="30">
        <f t="shared" si="0"/>
        <v>820</v>
      </c>
      <c r="K19" s="30">
        <f t="shared" si="0"/>
        <v>2460</v>
      </c>
      <c r="L19" s="30">
        <f t="shared" si="0"/>
        <v>818</v>
      </c>
      <c r="M19" s="132"/>
      <c r="N19" s="74"/>
      <c r="O19" s="7"/>
      <c r="P19" s="33" t="s">
        <v>18</v>
      </c>
      <c r="Q19" s="21">
        <f t="shared" ref="Q19:X19" si="1">SUM(Q5:Q18)</f>
        <v>1512</v>
      </c>
      <c r="R19" s="21">
        <f t="shared" si="1"/>
        <v>1469.5</v>
      </c>
      <c r="S19" s="21">
        <f t="shared" si="1"/>
        <v>3801</v>
      </c>
      <c r="T19" s="21">
        <f t="shared" si="1"/>
        <v>0</v>
      </c>
      <c r="U19" s="21">
        <f t="shared" si="1"/>
        <v>905</v>
      </c>
      <c r="V19" s="21">
        <f t="shared" si="1"/>
        <v>6580.5</v>
      </c>
      <c r="W19" s="21">
        <f t="shared" si="1"/>
        <v>2544</v>
      </c>
      <c r="X19" s="21">
        <f t="shared" si="1"/>
        <v>3349</v>
      </c>
    </row>
    <row r="20" spans="2:24" ht="15.75" thickBot="1" x14ac:dyDescent="0.3">
      <c r="B20" s="7"/>
      <c r="C20" s="1"/>
      <c r="D20" s="5"/>
      <c r="E20" s="5"/>
      <c r="F20" s="5"/>
      <c r="G20" s="5"/>
      <c r="H20" s="5"/>
      <c r="I20" s="5"/>
      <c r="J20" s="5"/>
      <c r="K20" s="5"/>
      <c r="L20" s="78"/>
      <c r="M20" s="76"/>
      <c r="N20" s="74"/>
      <c r="O20" s="7"/>
      <c r="Q20" s="5"/>
      <c r="R20" s="5"/>
      <c r="S20" s="5"/>
      <c r="T20" s="5"/>
      <c r="U20" s="5"/>
      <c r="V20" s="5"/>
      <c r="W20" s="5"/>
      <c r="X20" s="5"/>
    </row>
    <row r="21" spans="2:24" ht="21.75" thickBot="1" x14ac:dyDescent="0.4">
      <c r="B21" s="7"/>
      <c r="C21" s="1"/>
      <c r="D21" s="5"/>
      <c r="E21" s="5"/>
      <c r="F21" s="245">
        <f>K19+J19+I19+H19+G19+F19+E19+D19+L19</f>
        <v>9341</v>
      </c>
      <c r="G21" s="246"/>
      <c r="H21" s="247"/>
      <c r="I21" s="5"/>
      <c r="J21" s="5"/>
      <c r="K21" s="5"/>
      <c r="L21" s="71"/>
      <c r="M21" s="74"/>
      <c r="N21" s="74"/>
      <c r="O21" s="7"/>
      <c r="Q21" s="5"/>
      <c r="R21" s="5"/>
      <c r="S21" s="248">
        <f>Q19+R19+S19+T19+U19+V19+W19+X19</f>
        <v>20161</v>
      </c>
      <c r="T21" s="249"/>
      <c r="U21" s="250"/>
      <c r="V21" s="5"/>
      <c r="W21" s="5"/>
      <c r="X21" s="5"/>
    </row>
    <row r="22" spans="2:24" s="80" customFormat="1" ht="21" x14ac:dyDescent="0.35">
      <c r="B22" s="235"/>
      <c r="C22" s="129"/>
      <c r="D22" s="78"/>
      <c r="E22" s="78"/>
      <c r="F22" s="236"/>
      <c r="G22" s="237"/>
      <c r="H22" s="237"/>
      <c r="I22" s="78"/>
      <c r="J22" s="78"/>
      <c r="K22" s="78"/>
      <c r="L22" s="71"/>
      <c r="M22" s="74"/>
      <c r="N22" s="74"/>
      <c r="O22" s="235"/>
      <c r="Q22" s="78"/>
      <c r="R22" s="78"/>
      <c r="S22" s="236"/>
      <c r="T22" s="237"/>
      <c r="U22" s="237"/>
      <c r="V22" s="78"/>
      <c r="W22" s="78"/>
      <c r="X22" s="78"/>
    </row>
    <row r="31" spans="2:24" ht="20.25" customHeight="1" thickBot="1" x14ac:dyDescent="0.3"/>
    <row r="32" spans="2:24" ht="22.5" thickTop="1" thickBot="1" x14ac:dyDescent="0.4">
      <c r="B32" s="7"/>
      <c r="C32" s="238" t="s">
        <v>36</v>
      </c>
      <c r="D32" s="239"/>
      <c r="E32" s="239"/>
      <c r="F32" s="239"/>
      <c r="G32" s="239"/>
      <c r="H32" s="239"/>
      <c r="I32" s="239"/>
      <c r="J32" s="239"/>
      <c r="K32" s="239"/>
      <c r="L32" s="128" t="s">
        <v>208</v>
      </c>
      <c r="M32" s="133"/>
      <c r="N32" s="81"/>
      <c r="O32" s="240" t="s">
        <v>19</v>
      </c>
      <c r="P32" s="241"/>
      <c r="Q32" s="241"/>
      <c r="R32" s="241"/>
      <c r="S32" s="241"/>
      <c r="T32" s="241"/>
      <c r="U32" s="241"/>
      <c r="V32" s="241"/>
      <c r="W32" s="241"/>
      <c r="X32" s="190" t="s">
        <v>208</v>
      </c>
    </row>
    <row r="33" spans="2:25" ht="16.5" thickBot="1" x14ac:dyDescent="0.3">
      <c r="B33" s="7"/>
      <c r="C33" s="1"/>
      <c r="I33" s="242" t="s">
        <v>209</v>
      </c>
      <c r="J33" s="243"/>
      <c r="K33" s="244"/>
      <c r="L33" s="68"/>
      <c r="M33" s="134"/>
      <c r="N33" s="74"/>
      <c r="O33" s="7"/>
      <c r="V33" s="242" t="str">
        <f>I33</f>
        <v>del       14--- al  20    OCTUBRE-2023</v>
      </c>
      <c r="W33" s="243"/>
      <c r="X33" s="244"/>
    </row>
    <row r="34" spans="2:25" ht="64.5" thickTop="1" thickBot="1" x14ac:dyDescent="0.3">
      <c r="B34" s="6" t="s">
        <v>0</v>
      </c>
      <c r="C34" s="24" t="s">
        <v>1</v>
      </c>
      <c r="D34" s="25" t="s">
        <v>2</v>
      </c>
      <c r="E34" s="26" t="s">
        <v>7</v>
      </c>
      <c r="F34" s="56" t="s">
        <v>38</v>
      </c>
      <c r="G34" s="25" t="s">
        <v>3</v>
      </c>
      <c r="H34" s="27" t="s">
        <v>22</v>
      </c>
      <c r="I34" s="184" t="s">
        <v>4</v>
      </c>
      <c r="J34" s="61" t="s">
        <v>8</v>
      </c>
      <c r="K34" s="183" t="s">
        <v>5</v>
      </c>
      <c r="L34" s="99" t="s">
        <v>46</v>
      </c>
      <c r="M34" s="135"/>
      <c r="N34" s="82"/>
      <c r="O34" s="36" t="s">
        <v>0</v>
      </c>
      <c r="P34" s="143" t="s">
        <v>1</v>
      </c>
      <c r="Q34" s="137" t="s">
        <v>2</v>
      </c>
      <c r="R34" s="138" t="s">
        <v>16</v>
      </c>
      <c r="S34" s="138" t="s">
        <v>38</v>
      </c>
      <c r="T34" s="137" t="s">
        <v>3</v>
      </c>
      <c r="U34" s="137" t="s">
        <v>4</v>
      </c>
      <c r="V34" s="141" t="s">
        <v>25</v>
      </c>
      <c r="W34" s="136" t="s">
        <v>8</v>
      </c>
      <c r="X34" s="142" t="s">
        <v>5</v>
      </c>
    </row>
    <row r="35" spans="2:25" ht="48.75" x14ac:dyDescent="0.25">
      <c r="B35" s="93" t="s">
        <v>210</v>
      </c>
      <c r="C35" s="234" t="s">
        <v>218</v>
      </c>
      <c r="D35" s="72"/>
      <c r="E35" s="72"/>
      <c r="F35" s="72"/>
      <c r="G35" s="72"/>
      <c r="H35" s="72"/>
      <c r="I35" s="72"/>
      <c r="J35" s="72"/>
      <c r="K35" s="72">
        <f>1005+1010+294+788+560+1996</f>
        <v>5653</v>
      </c>
      <c r="L35" s="71"/>
      <c r="M35" s="131"/>
      <c r="N35" s="74"/>
      <c r="O35" s="93" t="s">
        <v>210</v>
      </c>
      <c r="P35" s="86" t="s">
        <v>211</v>
      </c>
      <c r="Q35" s="72"/>
      <c r="R35" s="72"/>
      <c r="S35" s="72"/>
      <c r="T35" s="72"/>
      <c r="U35" s="72"/>
      <c r="V35" s="72"/>
      <c r="W35" s="72"/>
      <c r="X35" s="72">
        <f>2155+252+2415+527+2054</f>
        <v>7403</v>
      </c>
    </row>
    <row r="36" spans="2:25" ht="67.5" customHeight="1" x14ac:dyDescent="0.25">
      <c r="B36" s="93" t="s">
        <v>210</v>
      </c>
      <c r="C36" s="44" t="s">
        <v>219</v>
      </c>
      <c r="D36" s="67"/>
      <c r="E36" s="67"/>
      <c r="F36" s="67">
        <f>960+275+300+595+65</f>
        <v>2195</v>
      </c>
      <c r="G36" s="67"/>
      <c r="H36" s="67"/>
      <c r="I36" s="67"/>
      <c r="J36" s="67"/>
      <c r="K36" s="67"/>
      <c r="L36" s="67"/>
      <c r="M36" s="131"/>
      <c r="N36" s="74"/>
      <c r="O36" s="93" t="s">
        <v>210</v>
      </c>
      <c r="P36" s="89" t="s">
        <v>212</v>
      </c>
      <c r="Q36" s="72"/>
      <c r="R36" s="72"/>
      <c r="S36" s="72">
        <f>1030+275+375+23+23+15+480+595</f>
        <v>2816</v>
      </c>
      <c r="T36" s="72"/>
      <c r="U36" s="72"/>
      <c r="V36" s="72"/>
      <c r="W36" s="72"/>
      <c r="X36" s="67"/>
    </row>
    <row r="37" spans="2:25" ht="34.5" customHeight="1" x14ac:dyDescent="0.25">
      <c r="B37" s="93" t="s">
        <v>210</v>
      </c>
      <c r="C37" s="44" t="s">
        <v>220</v>
      </c>
      <c r="D37" s="67">
        <f>200+23+13+212</f>
        <v>448</v>
      </c>
      <c r="E37" s="67"/>
      <c r="F37" s="67"/>
      <c r="G37" s="67"/>
      <c r="H37" s="67"/>
      <c r="I37" s="67"/>
      <c r="J37" s="67"/>
      <c r="K37" s="67"/>
      <c r="L37" s="67"/>
      <c r="M37" s="131"/>
      <c r="N37" s="74"/>
      <c r="O37" s="93" t="s">
        <v>210</v>
      </c>
      <c r="P37" s="87" t="s">
        <v>213</v>
      </c>
      <c r="Q37" s="72"/>
      <c r="R37" s="72"/>
      <c r="S37" s="72"/>
      <c r="T37" s="72">
        <f>105+40+60+5</f>
        <v>210</v>
      </c>
      <c r="U37" s="72"/>
      <c r="V37" s="72"/>
      <c r="W37" s="72"/>
      <c r="X37" s="67"/>
    </row>
    <row r="38" spans="2:25" ht="43.5" customHeight="1" x14ac:dyDescent="0.25">
      <c r="B38" s="93" t="s">
        <v>210</v>
      </c>
      <c r="C38" s="96" t="s">
        <v>221</v>
      </c>
      <c r="D38" s="67"/>
      <c r="E38" s="67"/>
      <c r="F38" s="67">
        <v>66</v>
      </c>
      <c r="G38" s="67"/>
      <c r="H38" s="67"/>
      <c r="I38" s="67"/>
      <c r="J38" s="67"/>
      <c r="K38" s="67"/>
      <c r="L38" s="67"/>
      <c r="M38" s="131"/>
      <c r="N38" s="74"/>
      <c r="O38" s="93" t="s">
        <v>210</v>
      </c>
      <c r="P38" s="89" t="s">
        <v>214</v>
      </c>
      <c r="Q38" s="72"/>
      <c r="R38" s="72"/>
      <c r="S38" s="72"/>
      <c r="T38" s="72"/>
      <c r="U38" s="72"/>
      <c r="V38" s="72"/>
      <c r="W38" s="72">
        <f>664.5+127+26+500+841</f>
        <v>2158.5</v>
      </c>
      <c r="X38" s="67"/>
    </row>
    <row r="39" spans="2:25" ht="39" customHeight="1" x14ac:dyDescent="0.25">
      <c r="B39" s="93" t="s">
        <v>210</v>
      </c>
      <c r="C39" s="44" t="s">
        <v>222</v>
      </c>
      <c r="D39" s="67"/>
      <c r="E39" s="67"/>
      <c r="F39" s="67"/>
      <c r="G39" s="67"/>
      <c r="H39" s="67"/>
      <c r="I39" s="67"/>
      <c r="J39" s="67">
        <f>1004</f>
        <v>1004</v>
      </c>
      <c r="K39" s="67"/>
      <c r="L39" s="67"/>
      <c r="M39" s="131"/>
      <c r="N39" s="74"/>
      <c r="O39" s="93" t="s">
        <v>210</v>
      </c>
      <c r="P39" s="89" t="s">
        <v>215</v>
      </c>
      <c r="Q39" s="72"/>
      <c r="R39" s="72">
        <v>851</v>
      </c>
      <c r="S39" s="72"/>
      <c r="T39" s="72"/>
      <c r="U39" s="72"/>
      <c r="V39" s="72"/>
      <c r="W39" s="72"/>
      <c r="X39" s="67"/>
    </row>
    <row r="40" spans="2:25" ht="38.25" customHeight="1" x14ac:dyDescent="0.25">
      <c r="B40" s="93" t="s">
        <v>210</v>
      </c>
      <c r="C40" s="44" t="s">
        <v>223</v>
      </c>
      <c r="D40" s="67"/>
      <c r="E40" s="67">
        <v>759</v>
      </c>
      <c r="F40" s="67"/>
      <c r="G40" s="67"/>
      <c r="H40" s="67"/>
      <c r="I40" s="67"/>
      <c r="J40" s="67"/>
      <c r="K40" s="67"/>
      <c r="L40" s="67"/>
      <c r="M40" s="131"/>
      <c r="N40" s="74"/>
      <c r="O40" s="93" t="s">
        <v>210</v>
      </c>
      <c r="P40" s="195" t="s">
        <v>4</v>
      </c>
      <c r="Q40" s="72"/>
      <c r="R40" s="72"/>
      <c r="S40" s="72"/>
      <c r="T40" s="72"/>
      <c r="U40" s="72">
        <v>805</v>
      </c>
      <c r="V40" s="72"/>
      <c r="W40" s="72"/>
      <c r="X40" s="67"/>
    </row>
    <row r="41" spans="2:25" ht="33" customHeight="1" x14ac:dyDescent="0.25">
      <c r="B41" s="93" t="s">
        <v>210</v>
      </c>
      <c r="C41" s="44" t="s">
        <v>96</v>
      </c>
      <c r="D41" s="67"/>
      <c r="E41" s="67"/>
      <c r="F41" s="67"/>
      <c r="G41" s="67"/>
      <c r="H41" s="67">
        <f>85+68+255+85</f>
        <v>493</v>
      </c>
      <c r="I41" s="67"/>
      <c r="J41" s="94"/>
      <c r="K41" s="67"/>
      <c r="L41" s="67"/>
      <c r="M41" s="131"/>
      <c r="N41" s="74"/>
      <c r="O41" s="93" t="s">
        <v>210</v>
      </c>
      <c r="P41" s="194" t="s">
        <v>216</v>
      </c>
      <c r="Q41" s="72">
        <f>268+220+240+50+265</f>
        <v>1043</v>
      </c>
      <c r="R41" s="72"/>
      <c r="S41" s="72"/>
      <c r="T41" s="72"/>
      <c r="U41" s="72"/>
      <c r="V41" s="72"/>
      <c r="W41" s="72"/>
      <c r="X41" s="67"/>
      <c r="Y41" s="129"/>
    </row>
    <row r="42" spans="2:25" ht="37.5" customHeight="1" x14ac:dyDescent="0.25">
      <c r="B42" s="93" t="s">
        <v>210</v>
      </c>
      <c r="C42" s="42" t="s">
        <v>11</v>
      </c>
      <c r="D42" s="67"/>
      <c r="E42" s="67"/>
      <c r="F42" s="67"/>
      <c r="G42" s="67"/>
      <c r="H42" s="67">
        <f>330+330+420</f>
        <v>1080</v>
      </c>
      <c r="I42" s="67"/>
      <c r="J42" s="67"/>
      <c r="K42" s="67"/>
      <c r="L42" s="67"/>
      <c r="M42" s="131"/>
      <c r="N42" s="74"/>
      <c r="O42" s="93" t="s">
        <v>210</v>
      </c>
      <c r="P42" s="194" t="s">
        <v>140</v>
      </c>
      <c r="Q42" s="72"/>
      <c r="R42" s="72"/>
      <c r="S42" s="72"/>
      <c r="T42" s="72"/>
      <c r="U42" s="72"/>
      <c r="V42" s="72">
        <f>750+750+750+1532</f>
        <v>3782</v>
      </c>
      <c r="W42" s="72"/>
      <c r="X42" s="67"/>
    </row>
    <row r="43" spans="2:25" ht="44.25" customHeight="1" x14ac:dyDescent="0.25">
      <c r="B43" s="93" t="s">
        <v>210</v>
      </c>
      <c r="C43" s="95" t="s">
        <v>207</v>
      </c>
      <c r="D43" s="67"/>
      <c r="E43" s="67"/>
      <c r="F43" s="67"/>
      <c r="G43" s="67"/>
      <c r="H43" s="67"/>
      <c r="I43" s="67"/>
      <c r="J43" s="67"/>
      <c r="K43" s="67"/>
      <c r="L43" s="67">
        <v>500</v>
      </c>
      <c r="M43" s="131"/>
      <c r="N43" s="74"/>
      <c r="O43" s="93" t="s">
        <v>210</v>
      </c>
      <c r="P43" s="192" t="s">
        <v>217</v>
      </c>
      <c r="Q43" s="72"/>
      <c r="R43" s="72"/>
      <c r="S43" s="72"/>
      <c r="T43" s="72"/>
      <c r="U43" s="72"/>
      <c r="V43" s="72">
        <f>204+170+272+204+204</f>
        <v>1054</v>
      </c>
      <c r="W43" s="72"/>
      <c r="X43" s="67"/>
    </row>
    <row r="44" spans="2:25" ht="24" customHeight="1" thickBot="1" x14ac:dyDescent="0.3">
      <c r="B44" s="93"/>
      <c r="C44" s="42"/>
      <c r="D44" s="67"/>
      <c r="E44" s="67"/>
      <c r="F44" s="67"/>
      <c r="G44" s="67"/>
      <c r="H44" s="67"/>
      <c r="I44" s="67"/>
      <c r="J44" s="67"/>
      <c r="K44" s="67"/>
      <c r="L44" s="11"/>
      <c r="M44" s="131"/>
      <c r="N44" s="74"/>
      <c r="O44" s="191"/>
      <c r="P44" s="193"/>
      <c r="Q44" s="72"/>
      <c r="R44" s="72"/>
      <c r="S44" s="72"/>
      <c r="T44" s="72"/>
      <c r="U44" s="72"/>
      <c r="V44" s="72"/>
      <c r="W44" s="72"/>
      <c r="X44" s="67"/>
    </row>
    <row r="45" spans="2:25" ht="15.75" hidden="1" thickBot="1" x14ac:dyDescent="0.3">
      <c r="B45" s="93"/>
      <c r="C45" s="95"/>
      <c r="D45" s="67"/>
      <c r="E45" s="67"/>
      <c r="F45" s="67"/>
      <c r="G45" s="67"/>
      <c r="H45" s="67"/>
      <c r="I45" s="67"/>
      <c r="J45" s="67"/>
      <c r="K45" s="67"/>
      <c r="L45" s="11"/>
      <c r="M45" s="131"/>
      <c r="N45" s="74"/>
      <c r="O45" s="93"/>
      <c r="P45" s="88"/>
      <c r="Q45" s="72"/>
      <c r="R45" s="72"/>
      <c r="S45" s="72"/>
      <c r="T45" s="72"/>
      <c r="U45" s="72"/>
      <c r="V45" s="72"/>
      <c r="W45" s="72"/>
      <c r="X45" s="67"/>
    </row>
    <row r="46" spans="2:25" ht="15.75" hidden="1" thickBot="1" x14ac:dyDescent="0.3">
      <c r="B46" s="93"/>
      <c r="C46" s="10"/>
      <c r="D46" s="67"/>
      <c r="E46" s="67"/>
      <c r="F46" s="67"/>
      <c r="G46" s="67"/>
      <c r="H46" s="67"/>
      <c r="I46" s="67"/>
      <c r="J46" s="67"/>
      <c r="K46" s="67"/>
      <c r="L46" s="11"/>
      <c r="M46" s="131"/>
      <c r="N46" s="74"/>
      <c r="O46" s="93"/>
      <c r="P46" s="91"/>
      <c r="Q46" s="67"/>
      <c r="R46" s="67"/>
      <c r="S46" s="67"/>
      <c r="T46" s="67"/>
      <c r="U46" s="67"/>
      <c r="V46" s="67"/>
      <c r="W46" s="67"/>
      <c r="X46" s="67"/>
    </row>
    <row r="47" spans="2:25" ht="15.75" hidden="1" thickBot="1" x14ac:dyDescent="0.3">
      <c r="B47" s="93"/>
      <c r="C47" s="10"/>
      <c r="D47" s="67"/>
      <c r="E47" s="67"/>
      <c r="F47" s="67"/>
      <c r="G47" s="67"/>
      <c r="H47" s="67"/>
      <c r="I47" s="67"/>
      <c r="J47" s="67"/>
      <c r="K47" s="67"/>
      <c r="L47" s="11"/>
      <c r="M47" s="131"/>
      <c r="N47" s="74"/>
      <c r="O47" s="93"/>
      <c r="P47" s="91"/>
      <c r="Q47" s="67"/>
      <c r="R47" s="67"/>
      <c r="S47" s="67"/>
      <c r="T47" s="67"/>
      <c r="U47" s="67"/>
      <c r="V47" s="67"/>
      <c r="W47" s="67"/>
      <c r="X47" s="67"/>
    </row>
    <row r="48" spans="2:25" ht="15.75" hidden="1" thickBot="1" x14ac:dyDescent="0.3">
      <c r="B48" s="9"/>
      <c r="C48" s="34"/>
      <c r="D48" s="73"/>
      <c r="E48" s="73"/>
      <c r="F48" s="73"/>
      <c r="G48" s="73"/>
      <c r="H48" s="73"/>
      <c r="I48" s="73"/>
      <c r="J48" s="73"/>
      <c r="K48" s="73"/>
      <c r="L48" s="20"/>
      <c r="M48" s="131"/>
      <c r="N48" s="74"/>
      <c r="O48" s="46"/>
      <c r="P48" s="51"/>
      <c r="Q48" s="73">
        <v>0</v>
      </c>
      <c r="R48" s="73"/>
      <c r="S48" s="73"/>
      <c r="T48" s="73"/>
      <c r="U48" s="73"/>
      <c r="V48" s="73"/>
      <c r="W48" s="73"/>
      <c r="X48" s="73"/>
    </row>
    <row r="49" spans="2:24" ht="24" thickBot="1" x14ac:dyDescent="0.3">
      <c r="B49" s="7"/>
      <c r="C49" s="35" t="s">
        <v>18</v>
      </c>
      <c r="D49" s="30">
        <f>SUM(D35:D48)</f>
        <v>448</v>
      </c>
      <c r="E49" s="30">
        <f t="shared" ref="E49:L49" si="2">SUM(E35:E48)</f>
        <v>759</v>
      </c>
      <c r="F49" s="30">
        <f t="shared" si="2"/>
        <v>2261</v>
      </c>
      <c r="G49" s="30">
        <f t="shared" si="2"/>
        <v>0</v>
      </c>
      <c r="H49" s="30">
        <f t="shared" si="2"/>
        <v>1573</v>
      </c>
      <c r="I49" s="30">
        <f t="shared" si="2"/>
        <v>0</v>
      </c>
      <c r="J49" s="30">
        <f t="shared" si="2"/>
        <v>1004</v>
      </c>
      <c r="K49" s="30">
        <f t="shared" si="2"/>
        <v>5653</v>
      </c>
      <c r="L49" s="30">
        <f t="shared" si="2"/>
        <v>500</v>
      </c>
      <c r="M49" s="132"/>
      <c r="N49" s="74"/>
      <c r="O49" s="7"/>
      <c r="P49" s="33" t="s">
        <v>18</v>
      </c>
      <c r="Q49" s="21">
        <f t="shared" ref="Q49:X49" si="3">SUM(Q35:Q48)</f>
        <v>1043</v>
      </c>
      <c r="R49" s="21">
        <f t="shared" si="3"/>
        <v>851</v>
      </c>
      <c r="S49" s="21">
        <f t="shared" si="3"/>
        <v>2816</v>
      </c>
      <c r="T49" s="21">
        <f t="shared" si="3"/>
        <v>210</v>
      </c>
      <c r="U49" s="21">
        <f t="shared" si="3"/>
        <v>805</v>
      </c>
      <c r="V49" s="21">
        <f t="shared" si="3"/>
        <v>4836</v>
      </c>
      <c r="W49" s="21">
        <f t="shared" si="3"/>
        <v>2158.5</v>
      </c>
      <c r="X49" s="21">
        <f t="shared" si="3"/>
        <v>7403</v>
      </c>
    </row>
    <row r="50" spans="2:24" ht="15.75" thickBot="1" x14ac:dyDescent="0.3">
      <c r="B50" s="7"/>
      <c r="C50" s="1"/>
      <c r="D50" s="5"/>
      <c r="E50" s="5"/>
      <c r="F50" s="5"/>
      <c r="G50" s="5"/>
      <c r="H50" s="5"/>
      <c r="I50" s="5"/>
      <c r="J50" s="5"/>
      <c r="K50" s="5"/>
      <c r="L50" s="78"/>
      <c r="M50" s="76"/>
      <c r="N50" s="74"/>
      <c r="O50" s="7"/>
      <c r="Q50" s="5"/>
      <c r="R50" s="5"/>
      <c r="S50" s="5"/>
      <c r="T50" s="5"/>
      <c r="U50" s="5"/>
      <c r="V50" s="5"/>
      <c r="W50" s="5"/>
      <c r="X50" s="5"/>
    </row>
    <row r="51" spans="2:24" ht="21.75" thickBot="1" x14ac:dyDescent="0.4">
      <c r="B51" s="7"/>
      <c r="C51" s="1"/>
      <c r="D51" s="5"/>
      <c r="E51" s="5"/>
      <c r="F51" s="245">
        <f>K49+J49+I49+H49+G49+F49+E49+D49+L49</f>
        <v>12198</v>
      </c>
      <c r="G51" s="246"/>
      <c r="H51" s="247"/>
      <c r="I51" s="5"/>
      <c r="J51" s="5"/>
      <c r="K51" s="5"/>
      <c r="L51" s="71"/>
      <c r="M51" s="74"/>
      <c r="N51" s="74"/>
      <c r="O51" s="7"/>
      <c r="Q51" s="5"/>
      <c r="R51" s="5"/>
      <c r="S51" s="248">
        <f>Q49+R49+S49+T49+U49+V49+W49+X49</f>
        <v>20122.5</v>
      </c>
      <c r="T51" s="249"/>
      <c r="U51" s="250"/>
      <c r="V51" s="5"/>
      <c r="W51" s="5"/>
      <c r="X51" s="5"/>
    </row>
    <row r="52" spans="2:24" s="80" customFormat="1" ht="21" x14ac:dyDescent="0.35">
      <c r="B52" s="235"/>
      <c r="C52" s="129"/>
      <c r="D52" s="78"/>
      <c r="E52" s="78"/>
      <c r="F52" s="236"/>
      <c r="G52" s="237"/>
      <c r="H52" s="237"/>
      <c r="I52" s="78"/>
      <c r="J52" s="78"/>
      <c r="K52" s="78"/>
      <c r="L52" s="71"/>
      <c r="M52" s="74"/>
      <c r="N52" s="74"/>
      <c r="O52" s="235"/>
      <c r="Q52" s="78"/>
      <c r="R52" s="78"/>
      <c r="S52" s="236"/>
      <c r="T52" s="237"/>
      <c r="U52" s="237"/>
      <c r="V52" s="78"/>
      <c r="W52" s="78"/>
      <c r="X52" s="78"/>
    </row>
    <row r="53" spans="2:24" s="80" customFormat="1" ht="21" x14ac:dyDescent="0.35">
      <c r="B53" s="235"/>
      <c r="C53" s="129"/>
      <c r="D53" s="78"/>
      <c r="E53" s="78"/>
      <c r="F53" s="236"/>
      <c r="G53" s="237"/>
      <c r="H53" s="237"/>
      <c r="I53" s="78"/>
      <c r="J53" s="78"/>
      <c r="K53" s="78"/>
      <c r="L53" s="71"/>
      <c r="M53" s="74"/>
      <c r="N53" s="74"/>
      <c r="O53" s="235"/>
      <c r="Q53" s="78"/>
      <c r="R53" s="78"/>
      <c r="S53" s="236"/>
      <c r="T53" s="237"/>
      <c r="U53" s="237"/>
      <c r="V53" s="78"/>
      <c r="W53" s="78"/>
      <c r="X53" s="78"/>
    </row>
    <row r="54" spans="2:24" s="80" customFormat="1" ht="21" x14ac:dyDescent="0.35">
      <c r="B54" s="235"/>
      <c r="C54" s="129"/>
      <c r="D54" s="78"/>
      <c r="E54" s="78"/>
      <c r="F54" s="236"/>
      <c r="G54" s="237"/>
      <c r="H54" s="237"/>
      <c r="I54" s="78"/>
      <c r="J54" s="78"/>
      <c r="K54" s="78"/>
      <c r="L54" s="71"/>
      <c r="M54" s="74"/>
      <c r="N54" s="74"/>
      <c r="O54" s="235"/>
      <c r="Q54" s="78"/>
      <c r="R54" s="78"/>
      <c r="S54" s="236"/>
      <c r="T54" s="237"/>
      <c r="U54" s="237"/>
      <c r="V54" s="78"/>
      <c r="W54" s="78"/>
      <c r="X54" s="78"/>
    </row>
    <row r="55" spans="2:24" s="80" customFormat="1" ht="21" x14ac:dyDescent="0.35">
      <c r="B55" s="235"/>
      <c r="C55" s="129"/>
      <c r="D55" s="78"/>
      <c r="E55" s="78"/>
      <c r="F55" s="236"/>
      <c r="G55" s="237"/>
      <c r="H55" s="237"/>
      <c r="I55" s="78"/>
      <c r="J55" s="78"/>
      <c r="K55" s="78"/>
      <c r="L55" s="71"/>
      <c r="M55" s="74"/>
      <c r="N55" s="74"/>
      <c r="O55" s="235"/>
      <c r="Q55" s="78"/>
      <c r="R55" s="78"/>
      <c r="S55" s="236"/>
      <c r="T55" s="237"/>
      <c r="U55" s="237"/>
      <c r="V55" s="78"/>
      <c r="W55" s="78"/>
      <c r="X55" s="78"/>
    </row>
    <row r="56" spans="2:24" s="80" customFormat="1" ht="21" x14ac:dyDescent="0.35">
      <c r="B56" s="235"/>
      <c r="C56" s="129"/>
      <c r="D56" s="78"/>
      <c r="E56" s="78"/>
      <c r="F56" s="236"/>
      <c r="G56" s="237"/>
      <c r="H56" s="237"/>
      <c r="I56" s="78"/>
      <c r="J56" s="78"/>
      <c r="K56" s="78"/>
      <c r="L56" s="71"/>
      <c r="M56" s="74"/>
      <c r="N56" s="74"/>
      <c r="O56" s="235"/>
      <c r="Q56" s="78"/>
      <c r="R56" s="78"/>
      <c r="S56" s="236"/>
      <c r="T56" s="237"/>
      <c r="U56" s="237"/>
      <c r="V56" s="78"/>
      <c r="W56" s="78"/>
      <c r="X56" s="78"/>
    </row>
    <row r="57" spans="2:24" x14ac:dyDescent="0.25">
      <c r="B57" s="7"/>
      <c r="C57" s="1"/>
      <c r="D57" s="5"/>
      <c r="E57" s="5"/>
      <c r="F57" s="5"/>
      <c r="G57" s="5"/>
      <c r="H57" s="5"/>
      <c r="J57" s="5"/>
      <c r="K57" s="5"/>
      <c r="L57" s="71"/>
      <c r="M57" s="74"/>
      <c r="N57" s="74"/>
      <c r="O57" s="7"/>
      <c r="Q57" s="5"/>
      <c r="R57" s="5"/>
      <c r="S57" s="5"/>
      <c r="T57" s="5"/>
      <c r="U57" s="5"/>
      <c r="V57" s="5"/>
      <c r="W57" s="5"/>
      <c r="X57" s="5"/>
    </row>
    <row r="62" spans="2:24" ht="6.75" customHeight="1" thickBot="1" x14ac:dyDescent="0.3"/>
    <row r="63" spans="2:24" ht="22.5" thickTop="1" thickBot="1" x14ac:dyDescent="0.4">
      <c r="B63" s="7"/>
      <c r="C63" s="238" t="s">
        <v>36</v>
      </c>
      <c r="D63" s="239"/>
      <c r="E63" s="239"/>
      <c r="F63" s="239"/>
      <c r="G63" s="239"/>
      <c r="H63" s="239"/>
      <c r="I63" s="239"/>
      <c r="J63" s="239"/>
      <c r="K63" s="239"/>
      <c r="L63" s="128" t="s">
        <v>88</v>
      </c>
      <c r="M63" s="133"/>
      <c r="N63" s="81"/>
      <c r="O63" s="240" t="s">
        <v>19</v>
      </c>
      <c r="P63" s="241"/>
      <c r="Q63" s="241"/>
      <c r="R63" s="241"/>
      <c r="S63" s="241"/>
      <c r="T63" s="241"/>
      <c r="U63" s="241"/>
      <c r="V63" s="241"/>
      <c r="W63" s="241"/>
      <c r="X63" s="190" t="s">
        <v>88</v>
      </c>
    </row>
    <row r="64" spans="2:24" ht="16.5" thickBot="1" x14ac:dyDescent="0.3">
      <c r="B64" s="7"/>
      <c r="C64" s="1"/>
      <c r="I64" s="242" t="s">
        <v>194</v>
      </c>
      <c r="J64" s="243"/>
      <c r="K64" s="244"/>
      <c r="L64" s="68"/>
      <c r="M64" s="134"/>
      <c r="N64" s="74"/>
      <c r="O64" s="7"/>
      <c r="V64" s="242" t="str">
        <f>I64</f>
        <v>del       07--- al  13    OCTUBRE-2023</v>
      </c>
      <c r="W64" s="243"/>
      <c r="X64" s="244"/>
    </row>
    <row r="65" spans="2:25" ht="64.5" thickTop="1" thickBot="1" x14ac:dyDescent="0.3">
      <c r="B65" s="6" t="s">
        <v>0</v>
      </c>
      <c r="C65" s="24" t="s">
        <v>1</v>
      </c>
      <c r="D65" s="25" t="s">
        <v>2</v>
      </c>
      <c r="E65" s="26" t="s">
        <v>7</v>
      </c>
      <c r="F65" s="56" t="s">
        <v>38</v>
      </c>
      <c r="G65" s="25" t="s">
        <v>3</v>
      </c>
      <c r="H65" s="27" t="s">
        <v>22</v>
      </c>
      <c r="I65" s="184" t="s">
        <v>4</v>
      </c>
      <c r="J65" s="61" t="s">
        <v>8</v>
      </c>
      <c r="K65" s="183" t="s">
        <v>5</v>
      </c>
      <c r="L65" s="99" t="s">
        <v>46</v>
      </c>
      <c r="M65" s="135"/>
      <c r="N65" s="82"/>
      <c r="O65" s="36" t="s">
        <v>0</v>
      </c>
      <c r="P65" s="143" t="s">
        <v>1</v>
      </c>
      <c r="Q65" s="137" t="s">
        <v>2</v>
      </c>
      <c r="R65" s="138" t="s">
        <v>16</v>
      </c>
      <c r="S65" s="138" t="s">
        <v>38</v>
      </c>
      <c r="T65" s="137" t="s">
        <v>3</v>
      </c>
      <c r="U65" s="137" t="s">
        <v>4</v>
      </c>
      <c r="V65" s="141" t="s">
        <v>25</v>
      </c>
      <c r="W65" s="136" t="s">
        <v>8</v>
      </c>
      <c r="X65" s="142" t="s">
        <v>5</v>
      </c>
    </row>
    <row r="66" spans="2:25" ht="42.75" customHeight="1" x14ac:dyDescent="0.25">
      <c r="B66" s="93" t="s">
        <v>201</v>
      </c>
      <c r="C66" s="234" t="s">
        <v>202</v>
      </c>
      <c r="D66" s="72"/>
      <c r="E66" s="72"/>
      <c r="F66" s="72"/>
      <c r="G66" s="72"/>
      <c r="H66" s="72"/>
      <c r="I66" s="72"/>
      <c r="J66" s="72"/>
      <c r="K66" s="72">
        <f>1358+469+1088+1049</f>
        <v>3964</v>
      </c>
      <c r="L66" s="71"/>
      <c r="M66" s="131"/>
      <c r="N66" s="74"/>
      <c r="O66" s="93" t="s">
        <v>201</v>
      </c>
      <c r="P66" s="86" t="s">
        <v>195</v>
      </c>
      <c r="Q66" s="72"/>
      <c r="R66" s="72"/>
      <c r="S66" s="72"/>
      <c r="T66" s="72"/>
      <c r="U66" s="72"/>
      <c r="V66" s="72"/>
      <c r="W66" s="72"/>
      <c r="X66" s="72">
        <f>1592+544+1586+1136</f>
        <v>4858</v>
      </c>
    </row>
    <row r="67" spans="2:25" ht="67.5" customHeight="1" x14ac:dyDescent="0.25">
      <c r="B67" s="93" t="s">
        <v>201</v>
      </c>
      <c r="C67" s="44" t="s">
        <v>203</v>
      </c>
      <c r="D67" s="67"/>
      <c r="E67" s="67"/>
      <c r="F67" s="67">
        <f>2134+45+70+55+30+90</f>
        <v>2424</v>
      </c>
      <c r="G67" s="67"/>
      <c r="H67" s="67"/>
      <c r="I67" s="67"/>
      <c r="J67" s="67"/>
      <c r="K67" s="67"/>
      <c r="L67" s="67"/>
      <c r="M67" s="131"/>
      <c r="N67" s="74"/>
      <c r="O67" s="93" t="s">
        <v>201</v>
      </c>
      <c r="P67" s="89" t="s">
        <v>196</v>
      </c>
      <c r="Q67" s="72"/>
      <c r="R67" s="72"/>
      <c r="S67" s="72">
        <f>2864+30+45+50+60+20</f>
        <v>3069</v>
      </c>
      <c r="T67" s="72"/>
      <c r="U67" s="72"/>
      <c r="V67" s="72"/>
      <c r="W67" s="72"/>
      <c r="X67" s="67"/>
    </row>
    <row r="68" spans="2:25" ht="34.5" customHeight="1" x14ac:dyDescent="0.25">
      <c r="B68" s="93" t="s">
        <v>201</v>
      </c>
      <c r="C68" s="44" t="s">
        <v>204</v>
      </c>
      <c r="D68" s="67">
        <f>115+195+65+217+150+214</f>
        <v>956</v>
      </c>
      <c r="E68" s="67"/>
      <c r="F68" s="67"/>
      <c r="G68" s="67"/>
      <c r="H68" s="67"/>
      <c r="I68" s="67"/>
      <c r="J68" s="67"/>
      <c r="K68" s="67"/>
      <c r="L68" s="67"/>
      <c r="M68" s="131"/>
      <c r="N68" s="74"/>
      <c r="O68" s="93" t="s">
        <v>201</v>
      </c>
      <c r="P68" s="87" t="s">
        <v>197</v>
      </c>
      <c r="Q68" s="72">
        <f>271+240+310</f>
        <v>821</v>
      </c>
      <c r="R68" s="72"/>
      <c r="S68" s="72"/>
      <c r="T68" s="72"/>
      <c r="U68" s="72"/>
      <c r="V68" s="72"/>
      <c r="W68" s="72"/>
      <c r="X68" s="67"/>
    </row>
    <row r="69" spans="2:25" ht="43.5" customHeight="1" x14ac:dyDescent="0.25">
      <c r="B69" s="93" t="s">
        <v>201</v>
      </c>
      <c r="C69" s="96" t="s">
        <v>205</v>
      </c>
      <c r="D69" s="67"/>
      <c r="E69" s="67"/>
      <c r="F69" s="67"/>
      <c r="G69" s="67"/>
      <c r="H69" s="67"/>
      <c r="I69" s="67"/>
      <c r="J69" s="67">
        <v>112</v>
      </c>
      <c r="K69" s="67"/>
      <c r="L69" s="67"/>
      <c r="M69" s="131"/>
      <c r="N69" s="74"/>
      <c r="O69" s="93" t="s">
        <v>201</v>
      </c>
      <c r="P69" s="89" t="s">
        <v>198</v>
      </c>
      <c r="Q69" s="72"/>
      <c r="R69" s="72"/>
      <c r="S69" s="72"/>
      <c r="T69" s="72"/>
      <c r="U69" s="72"/>
      <c r="V69" s="72"/>
      <c r="W69" s="72">
        <f>393+1291+64.5+360+302</f>
        <v>2410.5</v>
      </c>
      <c r="X69" s="67"/>
    </row>
    <row r="70" spans="2:25" ht="39" customHeight="1" x14ac:dyDescent="0.25">
      <c r="B70" s="93" t="s">
        <v>201</v>
      </c>
      <c r="C70" s="44" t="s">
        <v>172</v>
      </c>
      <c r="D70" s="67"/>
      <c r="E70" s="67"/>
      <c r="F70" s="67"/>
      <c r="G70" s="67"/>
      <c r="H70" s="67"/>
      <c r="I70" s="67">
        <v>704</v>
      </c>
      <c r="J70" s="67"/>
      <c r="K70" s="67"/>
      <c r="L70" s="67"/>
      <c r="M70" s="131"/>
      <c r="N70" s="74"/>
      <c r="O70" s="93" t="s">
        <v>201</v>
      </c>
      <c r="P70" s="89" t="s">
        <v>199</v>
      </c>
      <c r="Q70" s="72"/>
      <c r="R70" s="72">
        <f>941+931</f>
        <v>1872</v>
      </c>
      <c r="S70" s="72"/>
      <c r="T70" s="72"/>
      <c r="U70" s="72"/>
      <c r="V70" s="72"/>
      <c r="W70" s="72"/>
      <c r="X70" s="67"/>
    </row>
    <row r="71" spans="2:25" ht="38.25" customHeight="1" x14ac:dyDescent="0.25">
      <c r="B71" s="93" t="s">
        <v>201</v>
      </c>
      <c r="C71" s="44" t="s">
        <v>206</v>
      </c>
      <c r="D71" s="67"/>
      <c r="E71" s="67"/>
      <c r="F71" s="67"/>
      <c r="G71" s="67"/>
      <c r="H71" s="67"/>
      <c r="I71" s="67"/>
      <c r="J71" s="67">
        <f>266+1719+26+38+264</f>
        <v>2313</v>
      </c>
      <c r="K71" s="67"/>
      <c r="L71" s="67"/>
      <c r="M71" s="131"/>
      <c r="N71" s="74"/>
      <c r="O71" s="93" t="s">
        <v>201</v>
      </c>
      <c r="P71" s="195" t="s">
        <v>164</v>
      </c>
      <c r="Q71" s="72"/>
      <c r="R71" s="72"/>
      <c r="S71" s="72"/>
      <c r="T71" s="72"/>
      <c r="U71" s="72"/>
      <c r="V71" s="72">
        <f>170+204+204+204</f>
        <v>782</v>
      </c>
      <c r="W71" s="72"/>
      <c r="X71" s="67"/>
    </row>
    <row r="72" spans="2:25" ht="33" customHeight="1" x14ac:dyDescent="0.25">
      <c r="B72" s="93" t="s">
        <v>201</v>
      </c>
      <c r="C72" s="44" t="s">
        <v>96</v>
      </c>
      <c r="D72" s="67"/>
      <c r="E72" s="67"/>
      <c r="F72" s="67"/>
      <c r="G72" s="67"/>
      <c r="H72" s="67">
        <f>17+68+68+85+68</f>
        <v>306</v>
      </c>
      <c r="I72" s="67"/>
      <c r="J72" s="94"/>
      <c r="K72" s="67"/>
      <c r="L72" s="67"/>
      <c r="M72" s="131"/>
      <c r="N72" s="74"/>
      <c r="O72" s="93" t="s">
        <v>201</v>
      </c>
      <c r="P72" s="194" t="s">
        <v>4</v>
      </c>
      <c r="Q72" s="72"/>
      <c r="R72" s="72"/>
      <c r="S72" s="72"/>
      <c r="T72" s="72"/>
      <c r="U72" s="72">
        <v>704</v>
      </c>
      <c r="V72" s="72"/>
      <c r="W72" s="72"/>
      <c r="X72" s="67"/>
      <c r="Y72" s="129"/>
    </row>
    <row r="73" spans="2:25" ht="37.5" customHeight="1" x14ac:dyDescent="0.25">
      <c r="B73" s="93" t="s">
        <v>201</v>
      </c>
      <c r="C73" s="42" t="s">
        <v>11</v>
      </c>
      <c r="D73" s="67"/>
      <c r="E73" s="67"/>
      <c r="F73" s="67"/>
      <c r="G73" s="67"/>
      <c r="H73" s="67">
        <f>330+330+420</f>
        <v>1080</v>
      </c>
      <c r="I73" s="67"/>
      <c r="J73" s="67"/>
      <c r="K73" s="67"/>
      <c r="L73" s="67"/>
      <c r="M73" s="131"/>
      <c r="N73" s="74"/>
      <c r="O73" s="93" t="s">
        <v>201</v>
      </c>
      <c r="P73" s="194" t="s">
        <v>140</v>
      </c>
      <c r="Q73" s="72"/>
      <c r="R73" s="72"/>
      <c r="S73" s="72"/>
      <c r="T73" s="72"/>
      <c r="U73" s="72"/>
      <c r="V73" s="72">
        <f>750+750+760+1335</f>
        <v>3595</v>
      </c>
      <c r="W73" s="72"/>
      <c r="X73" s="67"/>
    </row>
    <row r="74" spans="2:25" ht="44.25" customHeight="1" x14ac:dyDescent="0.25">
      <c r="B74" s="93" t="s">
        <v>201</v>
      </c>
      <c r="C74" s="95" t="s">
        <v>207</v>
      </c>
      <c r="D74" s="67"/>
      <c r="E74" s="67"/>
      <c r="F74" s="67"/>
      <c r="G74" s="67"/>
      <c r="H74" s="67"/>
      <c r="I74" s="67"/>
      <c r="J74" s="67"/>
      <c r="K74" s="67"/>
      <c r="L74" s="67">
        <v>500</v>
      </c>
      <c r="M74" s="131"/>
      <c r="N74" s="74"/>
      <c r="O74" s="93" t="s">
        <v>201</v>
      </c>
      <c r="P74" s="192" t="s">
        <v>200</v>
      </c>
      <c r="Q74" s="72"/>
      <c r="R74" s="72"/>
      <c r="S74" s="72"/>
      <c r="T74" s="72">
        <f>115+30</f>
        <v>145</v>
      </c>
      <c r="U74" s="72"/>
      <c r="V74" s="72"/>
      <c r="W74" s="72"/>
      <c r="X74" s="67"/>
    </row>
    <row r="75" spans="2:25" ht="24" customHeight="1" thickBot="1" x14ac:dyDescent="0.3">
      <c r="B75" s="93"/>
      <c r="C75" s="42"/>
      <c r="D75" s="67"/>
      <c r="E75" s="67"/>
      <c r="F75" s="67"/>
      <c r="G75" s="67"/>
      <c r="H75" s="67"/>
      <c r="I75" s="67"/>
      <c r="J75" s="67"/>
      <c r="K75" s="67"/>
      <c r="L75" s="11"/>
      <c r="M75" s="131"/>
      <c r="N75" s="74"/>
      <c r="O75" s="191"/>
      <c r="P75" s="193"/>
      <c r="Q75" s="72"/>
      <c r="R75" s="72"/>
      <c r="S75" s="72"/>
      <c r="T75" s="72"/>
      <c r="U75" s="72"/>
      <c r="V75" s="72"/>
      <c r="W75" s="72"/>
      <c r="X75" s="67"/>
    </row>
    <row r="76" spans="2:25" ht="15.75" hidden="1" thickBot="1" x14ac:dyDescent="0.3">
      <c r="B76" s="93"/>
      <c r="C76" s="95"/>
      <c r="D76" s="67"/>
      <c r="E76" s="67"/>
      <c r="F76" s="67"/>
      <c r="G76" s="67"/>
      <c r="H76" s="67"/>
      <c r="I76" s="67"/>
      <c r="J76" s="67"/>
      <c r="K76" s="67"/>
      <c r="L76" s="11"/>
      <c r="M76" s="131"/>
      <c r="N76" s="74"/>
      <c r="O76" s="93"/>
      <c r="P76" s="88"/>
      <c r="Q76" s="72"/>
      <c r="R76" s="72"/>
      <c r="S76" s="72"/>
      <c r="T76" s="72"/>
      <c r="U76" s="72"/>
      <c r="V76" s="72"/>
      <c r="W76" s="72"/>
      <c r="X76" s="67"/>
    </row>
    <row r="77" spans="2:25" ht="15.75" hidden="1" thickBot="1" x14ac:dyDescent="0.3">
      <c r="B77" s="93"/>
      <c r="C77" s="10"/>
      <c r="D77" s="67"/>
      <c r="E77" s="67"/>
      <c r="F77" s="67"/>
      <c r="G77" s="67"/>
      <c r="H77" s="67"/>
      <c r="I77" s="67"/>
      <c r="J77" s="67"/>
      <c r="K77" s="67"/>
      <c r="L77" s="11"/>
      <c r="M77" s="131"/>
      <c r="N77" s="74"/>
      <c r="O77" s="93"/>
      <c r="P77" s="91"/>
      <c r="Q77" s="67"/>
      <c r="R77" s="67"/>
      <c r="S77" s="67"/>
      <c r="T77" s="67"/>
      <c r="U77" s="67"/>
      <c r="V77" s="67"/>
      <c r="W77" s="67"/>
      <c r="X77" s="67"/>
    </row>
    <row r="78" spans="2:25" ht="15.75" hidden="1" thickBot="1" x14ac:dyDescent="0.3">
      <c r="B78" s="93"/>
      <c r="C78" s="10"/>
      <c r="D78" s="67"/>
      <c r="E78" s="67"/>
      <c r="F78" s="67"/>
      <c r="G78" s="67"/>
      <c r="H78" s="67"/>
      <c r="I78" s="67"/>
      <c r="J78" s="67"/>
      <c r="K78" s="67"/>
      <c r="L78" s="11"/>
      <c r="M78" s="131"/>
      <c r="N78" s="74"/>
      <c r="O78" s="93"/>
      <c r="P78" s="91"/>
      <c r="Q78" s="67"/>
      <c r="R78" s="67"/>
      <c r="S78" s="67"/>
      <c r="T78" s="67"/>
      <c r="U78" s="67"/>
      <c r="V78" s="67"/>
      <c r="W78" s="67"/>
      <c r="X78" s="67"/>
    </row>
    <row r="79" spans="2:25" ht="15.75" hidden="1" thickBot="1" x14ac:dyDescent="0.3">
      <c r="B79" s="9"/>
      <c r="C79" s="34"/>
      <c r="D79" s="73"/>
      <c r="E79" s="73"/>
      <c r="F79" s="73"/>
      <c r="G79" s="73"/>
      <c r="H79" s="73"/>
      <c r="I79" s="73"/>
      <c r="J79" s="73"/>
      <c r="K79" s="73"/>
      <c r="L79" s="20"/>
      <c r="M79" s="131"/>
      <c r="N79" s="74"/>
      <c r="O79" s="46"/>
      <c r="P79" s="51"/>
      <c r="Q79" s="73">
        <v>0</v>
      </c>
      <c r="R79" s="73"/>
      <c r="S79" s="73"/>
      <c r="T79" s="73"/>
      <c r="U79" s="73"/>
      <c r="V79" s="73"/>
      <c r="W79" s="73"/>
      <c r="X79" s="73"/>
    </row>
    <row r="80" spans="2:25" ht="24" thickBot="1" x14ac:dyDescent="0.3">
      <c r="B80" s="7"/>
      <c r="C80" s="35" t="s">
        <v>18</v>
      </c>
      <c r="D80" s="30">
        <f>SUM(D66:D79)</f>
        <v>956</v>
      </c>
      <c r="E80" s="30">
        <f t="shared" ref="E80:L80" si="4">SUM(E66:E79)</f>
        <v>0</v>
      </c>
      <c r="F80" s="30">
        <f t="shared" si="4"/>
        <v>2424</v>
      </c>
      <c r="G80" s="30">
        <f t="shared" si="4"/>
        <v>0</v>
      </c>
      <c r="H80" s="30">
        <f t="shared" si="4"/>
        <v>1386</v>
      </c>
      <c r="I80" s="30">
        <f t="shared" si="4"/>
        <v>704</v>
      </c>
      <c r="J80" s="30">
        <f t="shared" si="4"/>
        <v>2425</v>
      </c>
      <c r="K80" s="30">
        <f t="shared" si="4"/>
        <v>3964</v>
      </c>
      <c r="L80" s="30">
        <f t="shared" si="4"/>
        <v>500</v>
      </c>
      <c r="M80" s="132"/>
      <c r="N80" s="74"/>
      <c r="O80" s="7"/>
      <c r="P80" s="33" t="s">
        <v>18</v>
      </c>
      <c r="Q80" s="21">
        <f t="shared" ref="Q80:X80" si="5">SUM(Q66:Q79)</f>
        <v>821</v>
      </c>
      <c r="R80" s="21">
        <f t="shared" si="5"/>
        <v>1872</v>
      </c>
      <c r="S80" s="21">
        <f t="shared" si="5"/>
        <v>3069</v>
      </c>
      <c r="T80" s="21">
        <f t="shared" si="5"/>
        <v>145</v>
      </c>
      <c r="U80" s="21">
        <f t="shared" si="5"/>
        <v>704</v>
      </c>
      <c r="V80" s="21">
        <f t="shared" si="5"/>
        <v>4377</v>
      </c>
      <c r="W80" s="21">
        <f t="shared" si="5"/>
        <v>2410.5</v>
      </c>
      <c r="X80" s="21">
        <f t="shared" si="5"/>
        <v>4858</v>
      </c>
    </row>
    <row r="81" spans="2:24" ht="15.75" thickBot="1" x14ac:dyDescent="0.3">
      <c r="B81" s="7"/>
      <c r="C81" s="1"/>
      <c r="D81" s="5"/>
      <c r="E81" s="5"/>
      <c r="F81" s="5"/>
      <c r="G81" s="5"/>
      <c r="H81" s="5"/>
      <c r="I81" s="5"/>
      <c r="J81" s="5"/>
      <c r="K81" s="5"/>
      <c r="L81" s="78"/>
      <c r="M81" s="76"/>
      <c r="N81" s="74"/>
      <c r="O81" s="7"/>
      <c r="Q81" s="5"/>
      <c r="R81" s="5"/>
      <c r="S81" s="5"/>
      <c r="T81" s="5"/>
      <c r="U81" s="5"/>
      <c r="V81" s="5"/>
      <c r="W81" s="5"/>
      <c r="X81" s="5"/>
    </row>
    <row r="82" spans="2:24" ht="21.75" thickBot="1" x14ac:dyDescent="0.4">
      <c r="B82" s="7"/>
      <c r="C82" s="1"/>
      <c r="D82" s="5"/>
      <c r="E82" s="5"/>
      <c r="F82" s="245">
        <f>K80+J80+I80+H80+G80+F80+E80+D80+L80</f>
        <v>12359</v>
      </c>
      <c r="G82" s="246"/>
      <c r="H82" s="247"/>
      <c r="I82" s="5"/>
      <c r="J82" s="5"/>
      <c r="K82" s="5"/>
      <c r="L82" s="71"/>
      <c r="M82" s="74"/>
      <c r="N82" s="74"/>
      <c r="O82" s="7"/>
      <c r="Q82" s="5"/>
      <c r="R82" s="5"/>
      <c r="S82" s="248">
        <f>Q80+R80+S80+T80+U80+V80+W80+X80</f>
        <v>18256.5</v>
      </c>
      <c r="T82" s="249"/>
      <c r="U82" s="250"/>
      <c r="V82" s="5"/>
      <c r="W82" s="5"/>
      <c r="X82" s="5"/>
    </row>
    <row r="83" spans="2:24" x14ac:dyDescent="0.25">
      <c r="B83" s="7"/>
      <c r="C83" s="1"/>
      <c r="D83" s="5"/>
      <c r="E83" s="5"/>
      <c r="F83" s="5"/>
      <c r="G83" s="5"/>
      <c r="H83" s="5"/>
      <c r="J83" s="5"/>
      <c r="K83" s="5"/>
      <c r="L83" s="71"/>
      <c r="M83" s="74"/>
      <c r="N83" s="74"/>
      <c r="O83" s="7"/>
      <c r="Q83" s="5"/>
      <c r="R83" s="5"/>
      <c r="S83" s="5"/>
      <c r="T83" s="5"/>
      <c r="U83" s="5"/>
      <c r="V83" s="5"/>
      <c r="W83" s="5"/>
      <c r="X83" s="5"/>
    </row>
    <row r="88" spans="2:24" ht="15.75" thickBot="1" x14ac:dyDescent="0.3"/>
    <row r="89" spans="2:24" ht="22.5" thickTop="1" thickBot="1" x14ac:dyDescent="0.4">
      <c r="B89" s="7"/>
      <c r="C89" s="238" t="s">
        <v>36</v>
      </c>
      <c r="D89" s="239"/>
      <c r="E89" s="239"/>
      <c r="F89" s="239"/>
      <c r="G89" s="239"/>
      <c r="H89" s="239"/>
      <c r="I89" s="239"/>
      <c r="J89" s="239"/>
      <c r="K89" s="239"/>
      <c r="L89" s="128" t="s">
        <v>66</v>
      </c>
      <c r="M89" s="133"/>
      <c r="N89" s="81"/>
      <c r="O89" s="240" t="s">
        <v>19</v>
      </c>
      <c r="P89" s="241"/>
      <c r="Q89" s="241"/>
      <c r="R89" s="241"/>
      <c r="S89" s="241"/>
      <c r="T89" s="241"/>
      <c r="U89" s="241"/>
      <c r="V89" s="241"/>
      <c r="W89" s="241"/>
      <c r="X89" s="190" t="s">
        <v>66</v>
      </c>
    </row>
    <row r="90" spans="2:24" ht="16.5" thickBot="1" x14ac:dyDescent="0.3">
      <c r="B90" s="7"/>
      <c r="C90" s="1"/>
      <c r="I90" s="242" t="s">
        <v>167</v>
      </c>
      <c r="J90" s="243"/>
      <c r="K90" s="244"/>
      <c r="L90" s="68"/>
      <c r="M90" s="134"/>
      <c r="N90" s="74"/>
      <c r="O90" s="7"/>
      <c r="V90" s="242" t="str">
        <f>I90</f>
        <v>del       30--- al  06    OCTUBRE-2023</v>
      </c>
      <c r="W90" s="243"/>
      <c r="X90" s="244"/>
    </row>
    <row r="91" spans="2:24" ht="64.5" thickTop="1" thickBot="1" x14ac:dyDescent="0.3">
      <c r="B91" s="6" t="s">
        <v>0</v>
      </c>
      <c r="C91" s="24" t="s">
        <v>1</v>
      </c>
      <c r="D91" s="25" t="s">
        <v>2</v>
      </c>
      <c r="E91" s="26" t="s">
        <v>7</v>
      </c>
      <c r="F91" s="56" t="s">
        <v>38</v>
      </c>
      <c r="G91" s="25" t="s">
        <v>3</v>
      </c>
      <c r="H91" s="27" t="s">
        <v>22</v>
      </c>
      <c r="I91" s="184" t="s">
        <v>4</v>
      </c>
      <c r="J91" s="61" t="s">
        <v>8</v>
      </c>
      <c r="K91" s="183" t="s">
        <v>5</v>
      </c>
      <c r="L91" s="99" t="s">
        <v>46</v>
      </c>
      <c r="M91" s="135"/>
      <c r="N91" s="82"/>
      <c r="O91" s="36" t="s">
        <v>0</v>
      </c>
      <c r="P91" s="143" t="s">
        <v>1</v>
      </c>
      <c r="Q91" s="137" t="s">
        <v>2</v>
      </c>
      <c r="R91" s="138" t="s">
        <v>16</v>
      </c>
      <c r="S91" s="138" t="s">
        <v>38</v>
      </c>
      <c r="T91" s="137" t="s">
        <v>3</v>
      </c>
      <c r="U91" s="137" t="s">
        <v>4</v>
      </c>
      <c r="V91" s="141" t="s">
        <v>25</v>
      </c>
      <c r="W91" s="136" t="s">
        <v>8</v>
      </c>
      <c r="X91" s="142" t="s">
        <v>5</v>
      </c>
    </row>
    <row r="92" spans="2:24" ht="60" x14ac:dyDescent="0.25">
      <c r="B92" s="93" t="s">
        <v>168</v>
      </c>
      <c r="C92" s="107" t="s">
        <v>169</v>
      </c>
      <c r="D92" s="72"/>
      <c r="E92" s="72"/>
      <c r="F92" s="72"/>
      <c r="G92" s="72"/>
      <c r="H92" s="72"/>
      <c r="I92" s="72"/>
      <c r="J92" s="72"/>
      <c r="K92" s="104">
        <f>1150+1167+1554+234+1684</f>
        <v>5789</v>
      </c>
      <c r="L92" s="70"/>
      <c r="M92" s="131"/>
      <c r="N92" s="74"/>
      <c r="O92" s="93" t="s">
        <v>168</v>
      </c>
      <c r="P92" s="86" t="s">
        <v>174</v>
      </c>
      <c r="Q92" s="72"/>
      <c r="R92" s="72"/>
      <c r="S92" s="72"/>
      <c r="T92" s="72"/>
      <c r="U92" s="72"/>
      <c r="V92" s="72"/>
      <c r="W92" s="72"/>
      <c r="X92" s="104">
        <f>1459+1661+1598+779+1647</f>
        <v>7144</v>
      </c>
    </row>
    <row r="93" spans="2:24" ht="48.75" x14ac:dyDescent="0.25">
      <c r="B93" s="93" t="s">
        <v>168</v>
      </c>
      <c r="C93" s="44" t="s">
        <v>178</v>
      </c>
      <c r="D93" s="67"/>
      <c r="E93" s="67"/>
      <c r="F93" s="105">
        <f>45+18+1601+60+30</f>
        <v>1754</v>
      </c>
      <c r="G93" s="67"/>
      <c r="H93" s="67"/>
      <c r="I93" s="67"/>
      <c r="J93" s="67"/>
      <c r="K93" s="67"/>
      <c r="L93" s="67"/>
      <c r="M93" s="131"/>
      <c r="N93" s="74"/>
      <c r="O93" s="93" t="s">
        <v>168</v>
      </c>
      <c r="P93" s="89" t="s">
        <v>181</v>
      </c>
      <c r="Q93" s="72"/>
      <c r="R93" s="72"/>
      <c r="S93" s="104">
        <f>30+70+56+1967+36+60</f>
        <v>2219</v>
      </c>
      <c r="T93" s="72"/>
      <c r="U93" s="72"/>
      <c r="V93" s="72"/>
      <c r="W93" s="72"/>
      <c r="X93" s="67"/>
    </row>
    <row r="94" spans="2:24" ht="34.5" customHeight="1" x14ac:dyDescent="0.25">
      <c r="B94" s="93" t="s">
        <v>168</v>
      </c>
      <c r="C94" s="44" t="s">
        <v>171</v>
      </c>
      <c r="D94" s="105">
        <f>220+221+100+155+190</f>
        <v>886</v>
      </c>
      <c r="E94" s="67"/>
      <c r="F94" s="67"/>
      <c r="G94" s="67"/>
      <c r="H94" s="67"/>
      <c r="I94" s="67"/>
      <c r="J94" s="67"/>
      <c r="K94" s="67"/>
      <c r="L94" s="11"/>
      <c r="M94" s="131"/>
      <c r="N94" s="74"/>
      <c r="O94" s="93" t="s">
        <v>168</v>
      </c>
      <c r="P94" s="87" t="s">
        <v>179</v>
      </c>
      <c r="Q94" s="104">
        <f>200+100+253+35+215</f>
        <v>803</v>
      </c>
      <c r="R94" s="72"/>
      <c r="S94" s="72"/>
      <c r="T94" s="72"/>
      <c r="U94" s="72"/>
      <c r="V94" s="72"/>
      <c r="W94" s="72"/>
      <c r="X94" s="67"/>
    </row>
    <row r="95" spans="2:24" ht="43.5" customHeight="1" x14ac:dyDescent="0.25">
      <c r="B95" s="93" t="s">
        <v>168</v>
      </c>
      <c r="C95" s="96" t="s">
        <v>170</v>
      </c>
      <c r="D95" s="67"/>
      <c r="E95" s="67"/>
      <c r="F95" s="67"/>
      <c r="G95" s="105">
        <v>15</v>
      </c>
      <c r="H95" s="67"/>
      <c r="I95" s="67"/>
      <c r="J95" s="67"/>
      <c r="K95" s="67"/>
      <c r="L95" s="11"/>
      <c r="M95" s="131"/>
      <c r="N95" s="74"/>
      <c r="O95" s="93" t="s">
        <v>168</v>
      </c>
      <c r="P95" s="89" t="s">
        <v>175</v>
      </c>
      <c r="Q95" s="72"/>
      <c r="R95" s="72"/>
      <c r="S95" s="72"/>
      <c r="T95" s="72"/>
      <c r="U95" s="72"/>
      <c r="V95" s="72"/>
      <c r="W95" s="104">
        <f>1390+343+55+40+88</f>
        <v>1916</v>
      </c>
      <c r="X95" s="67"/>
    </row>
    <row r="96" spans="2:24" ht="39" customHeight="1" x14ac:dyDescent="0.25">
      <c r="B96" s="93" t="s">
        <v>168</v>
      </c>
      <c r="C96" s="44" t="s">
        <v>172</v>
      </c>
      <c r="D96" s="67"/>
      <c r="E96" s="67"/>
      <c r="F96" s="67"/>
      <c r="G96" s="67"/>
      <c r="H96" s="67"/>
      <c r="I96" s="105">
        <v>352</v>
      </c>
      <c r="J96" s="67"/>
      <c r="K96" s="67"/>
      <c r="L96" s="11"/>
      <c r="M96" s="131"/>
      <c r="N96" s="74"/>
      <c r="O96" s="93" t="s">
        <v>168</v>
      </c>
      <c r="P96" s="194" t="s">
        <v>176</v>
      </c>
      <c r="Q96" s="72"/>
      <c r="R96" s="104">
        <v>590</v>
      </c>
      <c r="S96" s="72"/>
      <c r="T96" s="72"/>
      <c r="U96" s="72"/>
      <c r="V96" s="72"/>
      <c r="W96" s="72"/>
      <c r="X96" s="67"/>
    </row>
    <row r="97" spans="2:25" ht="38.25" customHeight="1" x14ac:dyDescent="0.25">
      <c r="B97" s="93" t="s">
        <v>168</v>
      </c>
      <c r="C97" s="44" t="s">
        <v>177</v>
      </c>
      <c r="D97" s="67"/>
      <c r="E97" s="67"/>
      <c r="F97" s="67"/>
      <c r="G97" s="67"/>
      <c r="H97" s="67"/>
      <c r="I97" s="67"/>
      <c r="J97" s="105">
        <f>578+127</f>
        <v>705</v>
      </c>
      <c r="K97" s="67"/>
      <c r="L97" s="11"/>
      <c r="M97" s="131"/>
      <c r="N97" s="74"/>
      <c r="O97" s="93" t="s">
        <v>168</v>
      </c>
      <c r="P97" s="195" t="s">
        <v>164</v>
      </c>
      <c r="Q97" s="72"/>
      <c r="R97" s="72"/>
      <c r="S97" s="72"/>
      <c r="T97" s="72"/>
      <c r="U97" s="72"/>
      <c r="V97" s="104">
        <f>68+238+204+204+270+238</f>
        <v>1222</v>
      </c>
      <c r="W97" s="72"/>
      <c r="X97" s="67"/>
    </row>
    <row r="98" spans="2:25" ht="33" customHeight="1" x14ac:dyDescent="0.25">
      <c r="B98" s="93" t="s">
        <v>168</v>
      </c>
      <c r="C98" s="44" t="s">
        <v>173</v>
      </c>
      <c r="D98" s="67"/>
      <c r="E98" s="105">
        <f>180+641</f>
        <v>821</v>
      </c>
      <c r="F98" s="67"/>
      <c r="G98" s="67"/>
      <c r="H98" s="67"/>
      <c r="I98" s="67"/>
      <c r="J98" s="94"/>
      <c r="K98" s="67"/>
      <c r="L98" s="11"/>
      <c r="M98" s="131"/>
      <c r="N98" s="74"/>
      <c r="O98" s="93" t="s">
        <v>168</v>
      </c>
      <c r="P98" s="194" t="s">
        <v>4</v>
      </c>
      <c r="Q98" s="72"/>
      <c r="R98" s="72"/>
      <c r="S98" s="72"/>
      <c r="T98" s="72"/>
      <c r="U98" s="104">
        <v>714</v>
      </c>
      <c r="V98" s="72"/>
      <c r="W98" s="72"/>
      <c r="X98" s="67"/>
      <c r="Y98" s="129"/>
    </row>
    <row r="99" spans="2:25" ht="37.5" customHeight="1" x14ac:dyDescent="0.25">
      <c r="B99" s="93" t="s">
        <v>168</v>
      </c>
      <c r="C99" s="42" t="s">
        <v>96</v>
      </c>
      <c r="D99" s="67"/>
      <c r="E99" s="67"/>
      <c r="F99" s="67"/>
      <c r="G99" s="67"/>
      <c r="H99" s="105">
        <f>51+204+85+85+68+68</f>
        <v>561</v>
      </c>
      <c r="I99" s="67"/>
      <c r="J99" s="67"/>
      <c r="K99" s="67"/>
      <c r="L99" s="11"/>
      <c r="M99" s="131"/>
      <c r="N99" s="74"/>
      <c r="O99" s="93" t="s">
        <v>168</v>
      </c>
      <c r="P99" s="194" t="s">
        <v>140</v>
      </c>
      <c r="Q99" s="72"/>
      <c r="R99" s="72"/>
      <c r="S99" s="72"/>
      <c r="T99" s="72"/>
      <c r="U99" s="72"/>
      <c r="V99" s="104">
        <f>2650+700+700+710</f>
        <v>4760</v>
      </c>
      <c r="W99" s="72"/>
      <c r="X99" s="67"/>
    </row>
    <row r="100" spans="2:25" ht="44.25" customHeight="1" x14ac:dyDescent="0.25">
      <c r="B100" s="93" t="s">
        <v>168</v>
      </c>
      <c r="C100" s="95" t="s">
        <v>11</v>
      </c>
      <c r="D100" s="67"/>
      <c r="E100" s="67"/>
      <c r="F100" s="67"/>
      <c r="G100" s="67"/>
      <c r="H100" s="105">
        <f>380+380+470</f>
        <v>1230</v>
      </c>
      <c r="I100" s="67"/>
      <c r="J100" s="67"/>
      <c r="K100" s="67"/>
      <c r="L100" s="11"/>
      <c r="M100" s="131"/>
      <c r="N100" s="74"/>
      <c r="O100" s="93" t="s">
        <v>168</v>
      </c>
      <c r="P100" s="192" t="s">
        <v>180</v>
      </c>
      <c r="Q100" s="72"/>
      <c r="R100" s="72"/>
      <c r="S100" s="72"/>
      <c r="T100" s="104">
        <f>40+35</f>
        <v>75</v>
      </c>
      <c r="U100" s="72"/>
      <c r="V100" s="72"/>
      <c r="W100" s="72"/>
      <c r="X100" s="67"/>
    </row>
    <row r="101" spans="2:25" ht="24" customHeight="1" thickBot="1" x14ac:dyDescent="0.3">
      <c r="B101" s="93"/>
      <c r="C101" s="42"/>
      <c r="D101" s="67"/>
      <c r="E101" s="67"/>
      <c r="F101" s="67"/>
      <c r="G101" s="67"/>
      <c r="H101" s="67"/>
      <c r="I101" s="67"/>
      <c r="J101" s="67"/>
      <c r="K101" s="67"/>
      <c r="L101" s="11"/>
      <c r="M101" s="131"/>
      <c r="N101" s="74"/>
      <c r="O101" s="191"/>
      <c r="P101" s="193"/>
      <c r="Q101" s="72"/>
      <c r="R101" s="72"/>
      <c r="S101" s="72"/>
      <c r="T101" s="72"/>
      <c r="U101" s="72"/>
      <c r="V101" s="72"/>
      <c r="W101" s="72"/>
      <c r="X101" s="67"/>
    </row>
    <row r="102" spans="2:25" hidden="1" x14ac:dyDescent="0.25">
      <c r="B102" s="93"/>
      <c r="C102" s="95"/>
      <c r="D102" s="67"/>
      <c r="E102" s="67"/>
      <c r="F102" s="67"/>
      <c r="G102" s="67"/>
      <c r="H102" s="67"/>
      <c r="I102" s="67"/>
      <c r="J102" s="67"/>
      <c r="K102" s="67"/>
      <c r="L102" s="11"/>
      <c r="M102" s="131"/>
      <c r="N102" s="74"/>
      <c r="O102" s="93"/>
      <c r="P102" s="88"/>
      <c r="Q102" s="72"/>
      <c r="R102" s="72"/>
      <c r="S102" s="72"/>
      <c r="T102" s="72"/>
      <c r="U102" s="72"/>
      <c r="V102" s="72"/>
      <c r="W102" s="72"/>
      <c r="X102" s="67"/>
    </row>
    <row r="103" spans="2:25" hidden="1" x14ac:dyDescent="0.25">
      <c r="B103" s="93"/>
      <c r="C103" s="10"/>
      <c r="D103" s="67"/>
      <c r="E103" s="67"/>
      <c r="F103" s="67"/>
      <c r="G103" s="67"/>
      <c r="H103" s="67"/>
      <c r="I103" s="67"/>
      <c r="J103" s="67"/>
      <c r="K103" s="67"/>
      <c r="L103" s="11"/>
      <c r="M103" s="131"/>
      <c r="N103" s="74"/>
      <c r="O103" s="93"/>
      <c r="P103" s="91"/>
      <c r="Q103" s="67"/>
      <c r="R103" s="67"/>
      <c r="S103" s="67"/>
      <c r="T103" s="67"/>
      <c r="U103" s="67"/>
      <c r="V103" s="67"/>
      <c r="W103" s="67"/>
      <c r="X103" s="67"/>
    </row>
    <row r="104" spans="2:25" hidden="1" x14ac:dyDescent="0.25">
      <c r="B104" s="93"/>
      <c r="C104" s="10"/>
      <c r="D104" s="67"/>
      <c r="E104" s="67"/>
      <c r="F104" s="67"/>
      <c r="G104" s="67"/>
      <c r="H104" s="67"/>
      <c r="I104" s="67"/>
      <c r="J104" s="67"/>
      <c r="K104" s="67"/>
      <c r="L104" s="11"/>
      <c r="M104" s="131"/>
      <c r="N104" s="74"/>
      <c r="O104" s="93"/>
      <c r="P104" s="91"/>
      <c r="Q104" s="67"/>
      <c r="R104" s="67"/>
      <c r="S104" s="67"/>
      <c r="T104" s="67"/>
      <c r="U104" s="67"/>
      <c r="V104" s="67"/>
      <c r="W104" s="67"/>
      <c r="X104" s="67"/>
    </row>
    <row r="105" spans="2:25" ht="15.75" hidden="1" thickBot="1" x14ac:dyDescent="0.3">
      <c r="B105" s="9"/>
      <c r="C105" s="34"/>
      <c r="D105" s="73"/>
      <c r="E105" s="73"/>
      <c r="F105" s="73"/>
      <c r="G105" s="73"/>
      <c r="H105" s="73"/>
      <c r="I105" s="73"/>
      <c r="J105" s="73"/>
      <c r="K105" s="73"/>
      <c r="L105" s="20"/>
      <c r="M105" s="131"/>
      <c r="N105" s="74"/>
      <c r="O105" s="46"/>
      <c r="P105" s="51"/>
      <c r="Q105" s="73">
        <v>0</v>
      </c>
      <c r="R105" s="73"/>
      <c r="S105" s="73"/>
      <c r="T105" s="73"/>
      <c r="U105" s="73"/>
      <c r="V105" s="73"/>
      <c r="W105" s="73"/>
      <c r="X105" s="73"/>
    </row>
    <row r="106" spans="2:25" ht="24" thickBot="1" x14ac:dyDescent="0.3">
      <c r="B106" s="7"/>
      <c r="C106" s="35" t="s">
        <v>18</v>
      </c>
      <c r="D106" s="30">
        <f>SUM(D92:D105)</f>
        <v>886</v>
      </c>
      <c r="E106" s="30">
        <f t="shared" ref="E106:L106" si="6">SUM(E92:E105)</f>
        <v>821</v>
      </c>
      <c r="F106" s="30">
        <f t="shared" si="6"/>
        <v>1754</v>
      </c>
      <c r="G106" s="30">
        <f t="shared" si="6"/>
        <v>15</v>
      </c>
      <c r="H106" s="30">
        <f t="shared" si="6"/>
        <v>1791</v>
      </c>
      <c r="I106" s="30">
        <f t="shared" si="6"/>
        <v>352</v>
      </c>
      <c r="J106" s="30">
        <f t="shared" si="6"/>
        <v>705</v>
      </c>
      <c r="K106" s="30">
        <f t="shared" si="6"/>
        <v>5789</v>
      </c>
      <c r="L106" s="30">
        <f t="shared" si="6"/>
        <v>0</v>
      </c>
      <c r="M106" s="132"/>
      <c r="N106" s="74"/>
      <c r="O106" s="7"/>
      <c r="P106" s="33" t="s">
        <v>18</v>
      </c>
      <c r="Q106" s="21">
        <f t="shared" ref="Q106:X106" si="7">SUM(Q92:Q105)</f>
        <v>803</v>
      </c>
      <c r="R106" s="21">
        <f t="shared" si="7"/>
        <v>590</v>
      </c>
      <c r="S106" s="21">
        <f t="shared" si="7"/>
        <v>2219</v>
      </c>
      <c r="T106" s="21">
        <f t="shared" si="7"/>
        <v>75</v>
      </c>
      <c r="U106" s="21">
        <f t="shared" si="7"/>
        <v>714</v>
      </c>
      <c r="V106" s="21">
        <f t="shared" si="7"/>
        <v>5982</v>
      </c>
      <c r="W106" s="21">
        <f t="shared" si="7"/>
        <v>1916</v>
      </c>
      <c r="X106" s="21">
        <f t="shared" si="7"/>
        <v>7144</v>
      </c>
    </row>
    <row r="107" spans="2:25" ht="15.75" thickBot="1" x14ac:dyDescent="0.3">
      <c r="B107" s="7"/>
      <c r="C107" s="1"/>
      <c r="D107" s="5"/>
      <c r="E107" s="5"/>
      <c r="F107" s="5"/>
      <c r="G107" s="5"/>
      <c r="H107" s="5"/>
      <c r="I107" s="5"/>
      <c r="J107" s="5"/>
      <c r="K107" s="5"/>
      <c r="L107" s="78"/>
      <c r="M107" s="76"/>
      <c r="N107" s="74"/>
      <c r="O107" s="7"/>
      <c r="Q107" s="5"/>
      <c r="R107" s="5"/>
      <c r="S107" s="5"/>
      <c r="T107" s="5"/>
      <c r="U107" s="5"/>
      <c r="V107" s="5"/>
      <c r="W107" s="5"/>
      <c r="X107" s="5"/>
    </row>
    <row r="108" spans="2:25" ht="21.75" thickBot="1" x14ac:dyDescent="0.4">
      <c r="B108" s="7"/>
      <c r="C108" s="1"/>
      <c r="D108" s="5"/>
      <c r="E108" s="5"/>
      <c r="F108" s="245">
        <f>K106+J106+I106+H106+G106+F106+E106+D106+L106</f>
        <v>12113</v>
      </c>
      <c r="G108" s="246"/>
      <c r="H108" s="247"/>
      <c r="I108" s="5"/>
      <c r="J108" s="5"/>
      <c r="K108" s="5"/>
      <c r="L108" s="71"/>
      <c r="M108" s="74"/>
      <c r="N108" s="74"/>
      <c r="O108" s="7"/>
      <c r="Q108" s="5"/>
      <c r="R108" s="5"/>
      <c r="S108" s="248">
        <f>Q106+R106+S106+T106+U106+V106+W106+X106</f>
        <v>19443</v>
      </c>
      <c r="T108" s="249"/>
      <c r="U108" s="250"/>
      <c r="V108" s="5"/>
      <c r="W108" s="5"/>
      <c r="X108" s="5"/>
    </row>
    <row r="109" spans="2:25" x14ac:dyDescent="0.25">
      <c r="B109" s="7"/>
      <c r="C109" s="1"/>
      <c r="D109" s="5"/>
      <c r="E109" s="5"/>
      <c r="F109" s="5"/>
      <c r="G109" s="5"/>
      <c r="H109" s="5"/>
      <c r="J109" s="5"/>
      <c r="K109" s="5"/>
      <c r="L109" s="71"/>
      <c r="M109" s="74"/>
      <c r="N109" s="74"/>
      <c r="O109" s="7"/>
      <c r="Q109" s="5"/>
      <c r="R109" s="5"/>
      <c r="S109" s="5"/>
      <c r="T109" s="5"/>
      <c r="U109" s="5"/>
      <c r="V109" s="5"/>
      <c r="W109" s="5"/>
      <c r="X109" s="5"/>
    </row>
    <row r="116" spans="2:25" ht="27.75" customHeight="1" thickBot="1" x14ac:dyDescent="0.3">
      <c r="B116" s="7"/>
      <c r="C116" s="1"/>
      <c r="N116" s="80"/>
      <c r="O116" s="188"/>
      <c r="P116" s="189"/>
      <c r="Q116" s="189"/>
      <c r="R116" s="189"/>
      <c r="S116" s="189"/>
      <c r="T116" s="189"/>
      <c r="U116" s="189"/>
      <c r="V116" s="189"/>
      <c r="W116" s="189"/>
      <c r="X116" s="189"/>
    </row>
    <row r="117" spans="2:25" ht="22.5" thickTop="1" thickBot="1" x14ac:dyDescent="0.4">
      <c r="B117" s="7"/>
      <c r="C117" s="238" t="s">
        <v>36</v>
      </c>
      <c r="D117" s="239"/>
      <c r="E117" s="239"/>
      <c r="F117" s="239"/>
      <c r="G117" s="239"/>
      <c r="H117" s="239"/>
      <c r="I117" s="239"/>
      <c r="J117" s="239"/>
      <c r="K117" s="239"/>
      <c r="L117" s="185" t="s">
        <v>42</v>
      </c>
      <c r="M117" s="133"/>
      <c r="N117" s="81"/>
      <c r="O117" s="240" t="s">
        <v>19</v>
      </c>
      <c r="P117" s="241"/>
      <c r="Q117" s="241"/>
      <c r="R117" s="241"/>
      <c r="S117" s="241"/>
      <c r="T117" s="241"/>
      <c r="U117" s="241"/>
      <c r="V117" s="241"/>
      <c r="W117" s="241"/>
      <c r="X117" s="187" t="s">
        <v>42</v>
      </c>
    </row>
    <row r="118" spans="2:25" ht="16.5" thickBot="1" x14ac:dyDescent="0.3">
      <c r="B118" s="7"/>
      <c r="C118" s="1"/>
      <c r="I118" s="242" t="s">
        <v>148</v>
      </c>
      <c r="J118" s="243"/>
      <c r="K118" s="244"/>
      <c r="L118" s="68"/>
      <c r="M118" s="134"/>
      <c r="N118" s="74"/>
      <c r="O118" s="7"/>
      <c r="V118" s="242" t="s">
        <v>151</v>
      </c>
      <c r="W118" s="243"/>
      <c r="X118" s="244"/>
    </row>
    <row r="119" spans="2:25" ht="64.5" thickTop="1" thickBot="1" x14ac:dyDescent="0.3">
      <c r="B119" s="6" t="s">
        <v>0</v>
      </c>
      <c r="C119" s="24" t="s">
        <v>1</v>
      </c>
      <c r="D119" s="25" t="s">
        <v>2</v>
      </c>
      <c r="E119" s="26" t="s">
        <v>7</v>
      </c>
      <c r="F119" s="56" t="s">
        <v>38</v>
      </c>
      <c r="G119" s="25" t="s">
        <v>3</v>
      </c>
      <c r="H119" s="27" t="s">
        <v>22</v>
      </c>
      <c r="I119" s="184" t="s">
        <v>4</v>
      </c>
      <c r="J119" s="61" t="s">
        <v>8</v>
      </c>
      <c r="K119" s="183" t="s">
        <v>5</v>
      </c>
      <c r="L119" s="99" t="s">
        <v>46</v>
      </c>
      <c r="M119" s="135"/>
      <c r="N119" s="82"/>
      <c r="O119" s="36" t="s">
        <v>0</v>
      </c>
      <c r="P119" s="143" t="s">
        <v>1</v>
      </c>
      <c r="Q119" s="137" t="s">
        <v>2</v>
      </c>
      <c r="R119" s="138" t="s">
        <v>16</v>
      </c>
      <c r="S119" s="139" t="s">
        <v>38</v>
      </c>
      <c r="T119" s="140" t="s">
        <v>3</v>
      </c>
      <c r="U119" s="140" t="s">
        <v>4</v>
      </c>
      <c r="V119" s="141" t="s">
        <v>25</v>
      </c>
      <c r="W119" s="136" t="s">
        <v>8</v>
      </c>
      <c r="X119" s="144" t="s">
        <v>5</v>
      </c>
    </row>
    <row r="120" spans="2:25" ht="45" x14ac:dyDescent="0.25">
      <c r="B120" s="93" t="s">
        <v>149</v>
      </c>
      <c r="C120" s="107" t="s">
        <v>152</v>
      </c>
      <c r="D120" s="72"/>
      <c r="E120" s="72"/>
      <c r="F120" s="72"/>
      <c r="G120" s="72"/>
      <c r="H120" s="72"/>
      <c r="I120" s="72"/>
      <c r="J120" s="72"/>
      <c r="K120" s="72">
        <f>1777+1054+1013+1333+1334</f>
        <v>6511</v>
      </c>
      <c r="L120" s="70"/>
      <c r="M120" s="131"/>
      <c r="N120" s="74"/>
      <c r="O120" s="93" t="s">
        <v>149</v>
      </c>
      <c r="P120" s="86" t="s">
        <v>160</v>
      </c>
      <c r="Q120" s="72"/>
      <c r="R120" s="72"/>
      <c r="S120" s="72"/>
      <c r="T120" s="72"/>
      <c r="U120" s="72"/>
      <c r="V120" s="72"/>
      <c r="W120" s="72"/>
      <c r="X120" s="104">
        <f>1805+1908+939+1193+1386</f>
        <v>7231</v>
      </c>
    </row>
    <row r="121" spans="2:25" ht="48.75" x14ac:dyDescent="0.25">
      <c r="B121" s="93" t="s">
        <v>149</v>
      </c>
      <c r="C121" s="44" t="s">
        <v>153</v>
      </c>
      <c r="D121" s="67"/>
      <c r="E121" s="67"/>
      <c r="F121" s="67">
        <f>1970</f>
        <v>1970</v>
      </c>
      <c r="G121" s="67"/>
      <c r="H121" s="67"/>
      <c r="I121" s="67"/>
      <c r="J121" s="67"/>
      <c r="K121" s="67"/>
      <c r="L121" s="67"/>
      <c r="M121" s="131"/>
      <c r="N121" s="74"/>
      <c r="O121" s="93" t="s">
        <v>149</v>
      </c>
      <c r="P121" s="89" t="s">
        <v>161</v>
      </c>
      <c r="Q121" s="72"/>
      <c r="R121" s="72"/>
      <c r="S121" s="104">
        <f>3020+87+41</f>
        <v>3148</v>
      </c>
      <c r="T121" s="72"/>
      <c r="U121" s="72"/>
      <c r="V121" s="72"/>
      <c r="W121" s="72"/>
      <c r="X121" s="67"/>
    </row>
    <row r="122" spans="2:25" ht="34.5" customHeight="1" x14ac:dyDescent="0.25">
      <c r="B122" s="93" t="s">
        <v>149</v>
      </c>
      <c r="C122" s="43" t="s">
        <v>154</v>
      </c>
      <c r="D122" s="67">
        <f>85+324+280+202</f>
        <v>891</v>
      </c>
      <c r="E122" s="67"/>
      <c r="F122" s="67"/>
      <c r="G122" s="67"/>
      <c r="H122" s="67"/>
      <c r="I122" s="67"/>
      <c r="J122" s="67"/>
      <c r="K122" s="67"/>
      <c r="L122" s="11"/>
      <c r="M122" s="131"/>
      <c r="N122" s="74"/>
      <c r="O122" s="93" t="s">
        <v>149</v>
      </c>
      <c r="P122" s="89" t="s">
        <v>162</v>
      </c>
      <c r="Q122" s="104">
        <f>385+160+285</f>
        <v>830</v>
      </c>
      <c r="R122" s="72"/>
      <c r="S122" s="72"/>
      <c r="T122" s="72"/>
      <c r="U122" s="72"/>
      <c r="V122" s="72"/>
      <c r="W122" s="72"/>
      <c r="X122" s="67"/>
    </row>
    <row r="123" spans="2:25" ht="43.5" customHeight="1" x14ac:dyDescent="0.25">
      <c r="B123" s="93" t="s">
        <v>149</v>
      </c>
      <c r="C123" s="96" t="s">
        <v>155</v>
      </c>
      <c r="D123" s="67"/>
      <c r="E123" s="67"/>
      <c r="F123" s="67"/>
      <c r="G123" s="67">
        <f>55+20</f>
        <v>75</v>
      </c>
      <c r="H123" s="67"/>
      <c r="I123" s="67"/>
      <c r="J123" s="67"/>
      <c r="K123" s="67"/>
      <c r="L123" s="11"/>
      <c r="M123" s="131"/>
      <c r="N123" s="74"/>
      <c r="O123" s="93" t="s">
        <v>149</v>
      </c>
      <c r="P123" s="87" t="s">
        <v>163</v>
      </c>
      <c r="Q123" s="72"/>
      <c r="R123" s="72"/>
      <c r="S123" s="72"/>
      <c r="T123" s="104">
        <f>55+121</f>
        <v>176</v>
      </c>
      <c r="U123" s="72"/>
      <c r="V123" s="72"/>
      <c r="W123" s="72"/>
      <c r="X123" s="67"/>
    </row>
    <row r="124" spans="2:25" ht="39" customHeight="1" x14ac:dyDescent="0.25">
      <c r="B124" s="93" t="s">
        <v>149</v>
      </c>
      <c r="C124" s="44" t="s">
        <v>46</v>
      </c>
      <c r="D124" s="67"/>
      <c r="E124" s="67"/>
      <c r="F124" s="67"/>
      <c r="G124" s="67"/>
      <c r="H124" s="67"/>
      <c r="I124" s="67"/>
      <c r="J124" s="67"/>
      <c r="K124" s="67"/>
      <c r="L124" s="11">
        <v>500</v>
      </c>
      <c r="M124" s="131"/>
      <c r="N124" s="74"/>
      <c r="O124" s="93" t="s">
        <v>149</v>
      </c>
      <c r="P124" s="89" t="s">
        <v>166</v>
      </c>
      <c r="Q124" s="72"/>
      <c r="R124" s="104">
        <f>50+443+432+130</f>
        <v>1055</v>
      </c>
      <c r="S124" s="72"/>
      <c r="T124" s="72"/>
      <c r="U124" s="72"/>
      <c r="V124" s="72"/>
      <c r="W124" s="72"/>
      <c r="X124" s="67"/>
    </row>
    <row r="125" spans="2:25" ht="24" customHeight="1" x14ac:dyDescent="0.25">
      <c r="B125" s="93" t="s">
        <v>149</v>
      </c>
      <c r="C125" s="44" t="s">
        <v>156</v>
      </c>
      <c r="D125" s="67"/>
      <c r="E125" s="67"/>
      <c r="F125" s="67"/>
      <c r="G125" s="67"/>
      <c r="H125" s="67"/>
      <c r="I125" s="67">
        <v>716</v>
      </c>
      <c r="J125" s="67"/>
      <c r="K125" s="67"/>
      <c r="L125" s="11"/>
      <c r="M125" s="131"/>
      <c r="N125" s="74"/>
      <c r="O125" s="93" t="s">
        <v>149</v>
      </c>
      <c r="P125" s="98" t="s">
        <v>164</v>
      </c>
      <c r="Q125" s="72"/>
      <c r="R125" s="72"/>
      <c r="S125" s="72"/>
      <c r="T125" s="72"/>
      <c r="U125" s="72"/>
      <c r="V125" s="104">
        <f>170+170+221+170+204</f>
        <v>935</v>
      </c>
      <c r="W125" s="72"/>
      <c r="X125" s="67"/>
    </row>
    <row r="126" spans="2:25" ht="45" x14ac:dyDescent="0.25">
      <c r="B126" s="93" t="s">
        <v>149</v>
      </c>
      <c r="C126" s="44" t="s">
        <v>158</v>
      </c>
      <c r="D126" s="67"/>
      <c r="E126" s="67"/>
      <c r="F126" s="67"/>
      <c r="G126" s="67"/>
      <c r="H126" s="67"/>
      <c r="I126" s="67"/>
      <c r="J126" s="94">
        <f>440+19+261</f>
        <v>720</v>
      </c>
      <c r="K126" s="67"/>
      <c r="L126" s="11"/>
      <c r="M126" s="131"/>
      <c r="N126" s="74"/>
      <c r="O126" s="93" t="s">
        <v>149</v>
      </c>
      <c r="P126" s="87" t="s">
        <v>165</v>
      </c>
      <c r="Q126" s="72"/>
      <c r="R126" s="72"/>
      <c r="S126" s="72"/>
      <c r="T126" s="72"/>
      <c r="U126" s="72"/>
      <c r="V126" s="72"/>
      <c r="W126" s="104">
        <f>805+473+669</f>
        <v>1947</v>
      </c>
      <c r="X126" s="67"/>
      <c r="Y126" s="129"/>
    </row>
    <row r="127" spans="2:25" ht="24" customHeight="1" x14ac:dyDescent="0.25">
      <c r="B127" s="93" t="s">
        <v>149</v>
      </c>
      <c r="C127" s="204" t="s">
        <v>157</v>
      </c>
      <c r="D127" s="67"/>
      <c r="E127" s="67"/>
      <c r="F127" s="67"/>
      <c r="G127" s="67"/>
      <c r="H127" s="67"/>
      <c r="I127" s="67"/>
      <c r="J127" s="67">
        <v>1500</v>
      </c>
      <c r="K127" s="67"/>
      <c r="L127" s="11"/>
      <c r="M127" s="131"/>
      <c r="N127" s="74"/>
      <c r="O127" s="93" t="s">
        <v>149</v>
      </c>
      <c r="P127" s="90" t="s">
        <v>4</v>
      </c>
      <c r="Q127" s="72"/>
      <c r="R127" s="72"/>
      <c r="S127" s="72"/>
      <c r="T127" s="72"/>
      <c r="U127" s="72"/>
      <c r="V127" s="104">
        <v>688</v>
      </c>
      <c r="W127" s="72"/>
      <c r="X127" s="67"/>
    </row>
    <row r="128" spans="2:25" ht="44.25" customHeight="1" x14ac:dyDescent="0.25">
      <c r="B128" s="93" t="s">
        <v>149</v>
      </c>
      <c r="C128" s="95" t="s">
        <v>96</v>
      </c>
      <c r="D128" s="67"/>
      <c r="E128" s="67"/>
      <c r="F128" s="67"/>
      <c r="G128" s="67"/>
      <c r="H128" s="67">
        <f>102+68+238+85+204</f>
        <v>697</v>
      </c>
      <c r="I128" s="67"/>
      <c r="J128" s="67"/>
      <c r="K128" s="67"/>
      <c r="L128" s="11"/>
      <c r="M128" s="131"/>
      <c r="N128" s="74"/>
      <c r="O128" s="93" t="s">
        <v>149</v>
      </c>
      <c r="P128" s="186" t="s">
        <v>188</v>
      </c>
      <c r="Q128" s="72"/>
      <c r="R128" s="72"/>
      <c r="S128" s="72"/>
      <c r="T128" s="72"/>
      <c r="U128" s="72"/>
      <c r="V128" s="104">
        <v>1440</v>
      </c>
      <c r="W128" s="72"/>
      <c r="X128" s="67"/>
    </row>
    <row r="129" spans="2:24" ht="24" customHeight="1" x14ac:dyDescent="0.25">
      <c r="B129" s="93" t="s">
        <v>149</v>
      </c>
      <c r="C129" s="42" t="s">
        <v>11</v>
      </c>
      <c r="D129" s="67"/>
      <c r="E129" s="67"/>
      <c r="F129" s="67"/>
      <c r="G129" s="67"/>
      <c r="H129" s="67">
        <f>380+380+470</f>
        <v>1230</v>
      </c>
      <c r="I129" s="67"/>
      <c r="J129" s="67"/>
      <c r="K129" s="67"/>
      <c r="L129" s="11"/>
      <c r="M129" s="131"/>
      <c r="N129" s="74"/>
      <c r="O129" s="93" t="s">
        <v>149</v>
      </c>
      <c r="P129" s="88" t="s">
        <v>140</v>
      </c>
      <c r="Q129" s="72"/>
      <c r="R129" s="72"/>
      <c r="S129" s="72"/>
      <c r="T129" s="72"/>
      <c r="U129" s="72"/>
      <c r="V129" s="104">
        <f>700+700+710+3464</f>
        <v>5574</v>
      </c>
      <c r="W129" s="72"/>
      <c r="X129" s="67"/>
    </row>
    <row r="130" spans="2:24" ht="24" x14ac:dyDescent="0.25">
      <c r="B130" s="93" t="s">
        <v>149</v>
      </c>
      <c r="C130" s="95" t="s">
        <v>159</v>
      </c>
      <c r="D130" s="67"/>
      <c r="E130" s="67">
        <v>212</v>
      </c>
      <c r="F130" s="67"/>
      <c r="G130" s="67"/>
      <c r="H130" s="67"/>
      <c r="I130" s="67"/>
      <c r="J130" s="67"/>
      <c r="K130" s="67"/>
      <c r="L130" s="11"/>
      <c r="M130" s="131"/>
      <c r="N130" s="74"/>
      <c r="O130" s="93"/>
      <c r="P130" s="88"/>
      <c r="Q130" s="72"/>
      <c r="R130" s="72"/>
      <c r="S130" s="72"/>
      <c r="T130" s="72"/>
      <c r="U130" s="72"/>
      <c r="V130" s="72"/>
      <c r="W130" s="72"/>
      <c r="X130" s="67"/>
    </row>
    <row r="131" spans="2:24" x14ac:dyDescent="0.25">
      <c r="B131" s="93"/>
      <c r="C131" s="10"/>
      <c r="D131" s="67"/>
      <c r="E131" s="67"/>
      <c r="F131" s="67"/>
      <c r="G131" s="67"/>
      <c r="H131" s="67"/>
      <c r="I131" s="67"/>
      <c r="J131" s="67"/>
      <c r="K131" s="67"/>
      <c r="L131" s="11"/>
      <c r="M131" s="131"/>
      <c r="N131" s="74"/>
      <c r="O131" s="93"/>
      <c r="P131" s="91"/>
      <c r="Q131" s="67"/>
      <c r="R131" s="67"/>
      <c r="S131" s="67"/>
      <c r="T131" s="67"/>
      <c r="U131" s="67"/>
      <c r="V131" s="67"/>
      <c r="W131" s="67"/>
      <c r="X131" s="67"/>
    </row>
    <row r="132" spans="2:24" x14ac:dyDescent="0.25">
      <c r="B132" s="93"/>
      <c r="C132" s="10"/>
      <c r="D132" s="67"/>
      <c r="E132" s="67"/>
      <c r="F132" s="67"/>
      <c r="G132" s="67"/>
      <c r="H132" s="67"/>
      <c r="I132" s="67"/>
      <c r="J132" s="67"/>
      <c r="K132" s="67"/>
      <c r="L132" s="11"/>
      <c r="M132" s="131"/>
      <c r="N132" s="74"/>
      <c r="O132" s="93"/>
      <c r="P132" s="91"/>
      <c r="Q132" s="67"/>
      <c r="R132" s="67"/>
      <c r="S132" s="67"/>
      <c r="T132" s="67"/>
      <c r="U132" s="67"/>
      <c r="V132" s="67"/>
      <c r="W132" s="67"/>
      <c r="X132" s="67"/>
    </row>
    <row r="133" spans="2:24" ht="15.75" thickBot="1" x14ac:dyDescent="0.3">
      <c r="B133" s="9"/>
      <c r="C133" s="34"/>
      <c r="D133" s="73">
        <v>0</v>
      </c>
      <c r="E133" s="73"/>
      <c r="F133" s="73"/>
      <c r="G133" s="73"/>
      <c r="H133" s="73"/>
      <c r="I133" s="73"/>
      <c r="J133" s="73"/>
      <c r="K133" s="73"/>
      <c r="L133" s="20"/>
      <c r="M133" s="131"/>
      <c r="N133" s="74"/>
      <c r="O133" s="46"/>
      <c r="P133" s="51"/>
      <c r="Q133" s="73">
        <v>0</v>
      </c>
      <c r="R133" s="73"/>
      <c r="S133" s="73"/>
      <c r="T133" s="73"/>
      <c r="U133" s="73"/>
      <c r="V133" s="73"/>
      <c r="W133" s="73"/>
      <c r="X133" s="73"/>
    </row>
    <row r="134" spans="2:24" ht="24" thickBot="1" x14ac:dyDescent="0.3">
      <c r="B134" s="7"/>
      <c r="C134" s="35" t="s">
        <v>18</v>
      </c>
      <c r="D134" s="30">
        <f t="shared" ref="D134:L134" si="8">SUM(D120:D133)</f>
        <v>891</v>
      </c>
      <c r="E134" s="31">
        <f t="shared" si="8"/>
        <v>212</v>
      </c>
      <c r="F134" s="31">
        <f t="shared" si="8"/>
        <v>1970</v>
      </c>
      <c r="G134" s="31">
        <f t="shared" si="8"/>
        <v>75</v>
      </c>
      <c r="H134" s="31">
        <f t="shared" si="8"/>
        <v>1927</v>
      </c>
      <c r="I134" s="31">
        <f t="shared" si="8"/>
        <v>716</v>
      </c>
      <c r="J134" s="22">
        <f t="shared" si="8"/>
        <v>2220</v>
      </c>
      <c r="K134" s="32">
        <f t="shared" si="8"/>
        <v>6511</v>
      </c>
      <c r="L134" s="100">
        <f t="shared" si="8"/>
        <v>500</v>
      </c>
      <c r="M134" s="132"/>
      <c r="N134" s="74"/>
      <c r="O134" s="7"/>
      <c r="P134" s="33" t="s">
        <v>18</v>
      </c>
      <c r="Q134" s="21">
        <f t="shared" ref="Q134:X134" si="9">SUM(Q120:Q133)</f>
        <v>830</v>
      </c>
      <c r="R134" s="21">
        <f t="shared" si="9"/>
        <v>1055</v>
      </c>
      <c r="S134" s="21">
        <f t="shared" si="9"/>
        <v>3148</v>
      </c>
      <c r="T134" s="21">
        <f t="shared" si="9"/>
        <v>176</v>
      </c>
      <c r="U134" s="21">
        <f t="shared" si="9"/>
        <v>0</v>
      </c>
      <c r="V134" s="21">
        <f t="shared" si="9"/>
        <v>8637</v>
      </c>
      <c r="W134" s="21">
        <f t="shared" si="9"/>
        <v>1947</v>
      </c>
      <c r="X134" s="21">
        <f t="shared" si="9"/>
        <v>7231</v>
      </c>
    </row>
    <row r="135" spans="2:24" ht="15.75" thickBot="1" x14ac:dyDescent="0.3">
      <c r="B135" s="7"/>
      <c r="C135" s="1"/>
      <c r="D135" s="5"/>
      <c r="E135" s="5"/>
      <c r="F135" s="5"/>
      <c r="G135" s="5"/>
      <c r="H135" s="5"/>
      <c r="I135" s="5"/>
      <c r="J135" s="5"/>
      <c r="K135" s="5"/>
      <c r="L135" s="78"/>
      <c r="M135" s="76"/>
      <c r="N135" s="74"/>
      <c r="O135" s="7"/>
      <c r="Q135" s="5"/>
      <c r="R135" s="5"/>
      <c r="S135" s="5"/>
      <c r="T135" s="5"/>
      <c r="U135" s="5"/>
      <c r="V135" s="5"/>
      <c r="W135" s="5"/>
      <c r="X135" s="5"/>
    </row>
    <row r="136" spans="2:24" ht="21.75" thickBot="1" x14ac:dyDescent="0.4">
      <c r="B136" s="7"/>
      <c r="C136" s="1"/>
      <c r="D136" s="5"/>
      <c r="E136" s="5"/>
      <c r="F136" s="245">
        <f>K134+J134+I134+H134+G134+F134+E134+D134+L134</f>
        <v>15022</v>
      </c>
      <c r="G136" s="246"/>
      <c r="H136" s="247"/>
      <c r="I136" s="5"/>
      <c r="J136" s="5"/>
      <c r="K136" s="5"/>
      <c r="L136" s="71"/>
      <c r="M136" s="74"/>
      <c r="N136" s="74"/>
      <c r="O136" s="7"/>
      <c r="Q136" s="5"/>
      <c r="R136" s="5"/>
      <c r="S136" s="248">
        <f>Q134+R134+S134+T134+U134+V134+W134+X134</f>
        <v>23024</v>
      </c>
      <c r="T136" s="249"/>
      <c r="U136" s="250"/>
      <c r="V136" s="5"/>
      <c r="W136" s="5"/>
      <c r="X136" s="5"/>
    </row>
    <row r="137" spans="2:24" x14ac:dyDescent="0.25">
      <c r="B137" s="7"/>
      <c r="C137" s="1"/>
      <c r="D137" s="5"/>
      <c r="E137" s="5"/>
      <c r="F137" s="5"/>
      <c r="G137" s="5"/>
      <c r="H137" s="5"/>
      <c r="J137" s="5"/>
      <c r="K137" s="5"/>
      <c r="L137" s="71"/>
      <c r="M137" s="74"/>
      <c r="N137" s="74"/>
      <c r="O137" s="7"/>
      <c r="Q137" s="5"/>
      <c r="R137" s="5"/>
      <c r="S137" s="5"/>
      <c r="T137" s="5"/>
      <c r="U137" s="5"/>
      <c r="V137" s="5"/>
      <c r="W137" s="5"/>
      <c r="X137" s="5"/>
    </row>
    <row r="138" spans="2:24" x14ac:dyDescent="0.25">
      <c r="B138" s="7"/>
      <c r="C138" s="1"/>
      <c r="D138" s="5"/>
      <c r="E138" s="5"/>
      <c r="F138" s="5"/>
      <c r="G138" s="5"/>
      <c r="H138" s="5"/>
      <c r="I138" s="5"/>
      <c r="J138" s="5"/>
      <c r="K138" s="5"/>
      <c r="L138" s="71"/>
      <c r="M138" s="74"/>
      <c r="N138" s="74"/>
      <c r="O138" s="7"/>
    </row>
    <row r="139" spans="2:24" x14ac:dyDescent="0.25">
      <c r="B139" s="7"/>
      <c r="C139" s="1"/>
      <c r="D139" s="5"/>
      <c r="E139" s="5"/>
      <c r="F139" s="5"/>
      <c r="G139" s="5"/>
      <c r="H139" s="5"/>
      <c r="I139" s="5"/>
      <c r="J139" s="5"/>
      <c r="K139" s="5"/>
      <c r="L139" s="71"/>
      <c r="M139" s="74"/>
      <c r="N139" s="74"/>
      <c r="O139" s="7"/>
    </row>
    <row r="140" spans="2:24" x14ac:dyDescent="0.25">
      <c r="B140" s="7"/>
      <c r="C140" s="1"/>
      <c r="N140" s="80"/>
      <c r="O140" s="7"/>
    </row>
    <row r="141" spans="2:24" x14ac:dyDescent="0.25">
      <c r="B141" s="7"/>
      <c r="C141" s="1"/>
      <c r="N141" s="80"/>
      <c r="O141" s="7"/>
    </row>
    <row r="142" spans="2:24" x14ac:dyDescent="0.25">
      <c r="B142" s="7"/>
      <c r="C142" s="1"/>
      <c r="N142" s="80"/>
      <c r="O142" s="7"/>
    </row>
    <row r="143" spans="2:24" x14ac:dyDescent="0.25">
      <c r="B143" s="7"/>
      <c r="C143" s="1"/>
      <c r="N143" s="80"/>
      <c r="O143" s="7"/>
    </row>
    <row r="144" spans="2:24" ht="15.75" thickBot="1" x14ac:dyDescent="0.3">
      <c r="B144" s="7"/>
      <c r="C144" s="1"/>
      <c r="N144" s="80"/>
      <c r="O144" s="7"/>
    </row>
    <row r="145" spans="2:27" ht="22.5" thickTop="1" thickBot="1" x14ac:dyDescent="0.4">
      <c r="B145" s="7"/>
      <c r="C145" s="238" t="s">
        <v>36</v>
      </c>
      <c r="D145" s="239"/>
      <c r="E145" s="239"/>
      <c r="F145" s="239"/>
      <c r="G145" s="239"/>
      <c r="H145" s="239"/>
      <c r="I145" s="239"/>
      <c r="J145" s="239"/>
      <c r="K145" s="239"/>
      <c r="L145" s="185" t="s">
        <v>41</v>
      </c>
      <c r="M145" s="133"/>
      <c r="N145" s="81"/>
      <c r="O145" s="251" t="s">
        <v>19</v>
      </c>
      <c r="P145" s="252"/>
      <c r="Q145" s="252"/>
      <c r="R145" s="252"/>
      <c r="S145" s="252"/>
      <c r="T145" s="252"/>
      <c r="U145" s="252"/>
      <c r="V145" s="252"/>
      <c r="W145" s="252"/>
      <c r="X145" s="128" t="s">
        <v>41</v>
      </c>
    </row>
    <row r="146" spans="2:27" ht="16.5" thickBot="1" x14ac:dyDescent="0.3">
      <c r="B146" s="7"/>
      <c r="C146" s="1"/>
      <c r="I146" s="242" t="s">
        <v>129</v>
      </c>
      <c r="J146" s="243"/>
      <c r="K146" s="244"/>
      <c r="L146" s="68"/>
      <c r="M146" s="134"/>
      <c r="N146" s="74"/>
      <c r="O146" s="7"/>
      <c r="V146" s="242" t="s">
        <v>150</v>
      </c>
      <c r="W146" s="243"/>
      <c r="X146" s="244"/>
    </row>
    <row r="147" spans="2:27" ht="64.5" thickTop="1" thickBot="1" x14ac:dyDescent="0.3">
      <c r="B147" s="6" t="s">
        <v>0</v>
      </c>
      <c r="C147" s="24" t="s">
        <v>1</v>
      </c>
      <c r="D147" s="25" t="s">
        <v>2</v>
      </c>
      <c r="E147" s="26" t="s">
        <v>7</v>
      </c>
      <c r="F147" s="56" t="s">
        <v>38</v>
      </c>
      <c r="G147" s="25" t="s">
        <v>3</v>
      </c>
      <c r="H147" s="27" t="s">
        <v>22</v>
      </c>
      <c r="I147" s="60" t="s">
        <v>4</v>
      </c>
      <c r="J147" s="61" t="s">
        <v>8</v>
      </c>
      <c r="K147" s="62" t="s">
        <v>5</v>
      </c>
      <c r="L147" s="99" t="s">
        <v>46</v>
      </c>
      <c r="M147" s="135"/>
      <c r="N147" s="82"/>
      <c r="O147" s="36" t="s">
        <v>0</v>
      </c>
      <c r="P147" s="143" t="s">
        <v>1</v>
      </c>
      <c r="Q147" s="137" t="s">
        <v>2</v>
      </c>
      <c r="R147" s="138" t="s">
        <v>16</v>
      </c>
      <c r="S147" s="139" t="s">
        <v>38</v>
      </c>
      <c r="T147" s="140" t="s">
        <v>3</v>
      </c>
      <c r="U147" s="140" t="s">
        <v>4</v>
      </c>
      <c r="V147" s="141" t="s">
        <v>25</v>
      </c>
      <c r="W147" s="136" t="s">
        <v>8</v>
      </c>
      <c r="X147" s="144" t="s">
        <v>5</v>
      </c>
    </row>
    <row r="148" spans="2:27" ht="60" x14ac:dyDescent="0.25">
      <c r="B148" s="93" t="s">
        <v>123</v>
      </c>
      <c r="C148" s="107" t="s">
        <v>130</v>
      </c>
      <c r="D148" s="72"/>
      <c r="E148" s="72"/>
      <c r="F148" s="72"/>
      <c r="G148" s="72"/>
      <c r="H148" s="72"/>
      <c r="I148" s="72"/>
      <c r="J148" s="72"/>
      <c r="K148" s="72">
        <f>2361+1550+386+1883+642+964</f>
        <v>7786</v>
      </c>
      <c r="L148" s="70"/>
      <c r="M148" s="131"/>
      <c r="N148" s="74"/>
      <c r="O148" s="93" t="s">
        <v>133</v>
      </c>
      <c r="P148" s="86" t="s">
        <v>134</v>
      </c>
      <c r="Q148" s="72"/>
      <c r="R148" s="72"/>
      <c r="S148" s="72"/>
      <c r="T148" s="72"/>
      <c r="U148" s="72"/>
      <c r="V148" s="72"/>
      <c r="W148" s="72"/>
      <c r="X148" s="72">
        <f>2377+2781+1874+429+754</f>
        <v>8215</v>
      </c>
    </row>
    <row r="149" spans="2:27" ht="51.75" customHeight="1" x14ac:dyDescent="0.25">
      <c r="B149" s="93" t="s">
        <v>123</v>
      </c>
      <c r="C149" s="44" t="s">
        <v>131</v>
      </c>
      <c r="D149" s="67"/>
      <c r="E149" s="67"/>
      <c r="F149" s="67">
        <f>1380+370+88+238</f>
        <v>2076</v>
      </c>
      <c r="G149" s="67"/>
      <c r="H149" s="67"/>
      <c r="I149" s="67"/>
      <c r="J149" s="67"/>
      <c r="K149" s="67"/>
      <c r="L149" s="67"/>
      <c r="M149" s="131"/>
      <c r="N149" s="74"/>
      <c r="O149" s="93" t="s">
        <v>133</v>
      </c>
      <c r="P149" s="89" t="s">
        <v>136</v>
      </c>
      <c r="Q149" s="72"/>
      <c r="R149" s="72"/>
      <c r="S149" s="72">
        <f>180+148+36+2475</f>
        <v>2839</v>
      </c>
      <c r="T149" s="72"/>
      <c r="U149" s="72"/>
      <c r="V149" s="72"/>
      <c r="W149" s="72"/>
      <c r="X149" s="67"/>
    </row>
    <row r="150" spans="2:27" ht="29.25" customHeight="1" x14ac:dyDescent="0.25">
      <c r="B150" s="93" t="s">
        <v>123</v>
      </c>
      <c r="C150" s="43" t="s">
        <v>124</v>
      </c>
      <c r="D150" s="67">
        <f>47+72.5+247+54+245</f>
        <v>665.5</v>
      </c>
      <c r="E150" s="67"/>
      <c r="F150" s="67"/>
      <c r="G150" s="67"/>
      <c r="H150" s="67"/>
      <c r="I150" s="67"/>
      <c r="J150" s="67"/>
      <c r="K150" s="67"/>
      <c r="L150" s="11"/>
      <c r="M150" s="131"/>
      <c r="N150" s="74"/>
      <c r="O150" s="93" t="s">
        <v>133</v>
      </c>
      <c r="P150" s="89" t="s">
        <v>137</v>
      </c>
      <c r="Q150" s="72">
        <f>330+158+288+87</f>
        <v>863</v>
      </c>
      <c r="R150" s="72"/>
      <c r="S150" s="72"/>
      <c r="T150" s="72"/>
      <c r="U150" s="72"/>
      <c r="V150" s="72"/>
      <c r="W150" s="72"/>
      <c r="X150" s="67"/>
    </row>
    <row r="151" spans="2:27" ht="60" x14ac:dyDescent="0.25">
      <c r="B151" s="93" t="s">
        <v>123</v>
      </c>
      <c r="C151" s="96" t="s">
        <v>125</v>
      </c>
      <c r="D151" s="67"/>
      <c r="E151" s="67"/>
      <c r="F151" s="67"/>
      <c r="G151" s="67">
        <v>140</v>
      </c>
      <c r="H151" s="67"/>
      <c r="I151" s="67"/>
      <c r="J151" s="67"/>
      <c r="K151" s="67"/>
      <c r="L151" s="11"/>
      <c r="M151" s="131"/>
      <c r="N151" s="74"/>
      <c r="O151" s="93" t="s">
        <v>133</v>
      </c>
      <c r="P151" s="87" t="s">
        <v>135</v>
      </c>
      <c r="Q151" s="72"/>
      <c r="R151" s="72"/>
      <c r="S151" s="72"/>
      <c r="T151" s="72">
        <v>145</v>
      </c>
      <c r="U151" s="72"/>
      <c r="V151" s="72"/>
      <c r="W151" s="72"/>
      <c r="X151" s="67"/>
    </row>
    <row r="152" spans="2:27" ht="36" customHeight="1" x14ac:dyDescent="0.25">
      <c r="B152" s="93" t="s">
        <v>123</v>
      </c>
      <c r="C152" s="44" t="s">
        <v>46</v>
      </c>
      <c r="D152" s="67"/>
      <c r="E152" s="67"/>
      <c r="F152" s="67"/>
      <c r="G152" s="67"/>
      <c r="H152" s="67"/>
      <c r="I152" s="67"/>
      <c r="J152" s="67"/>
      <c r="K152" s="67"/>
      <c r="L152" s="11">
        <v>500</v>
      </c>
      <c r="M152" s="131"/>
      <c r="N152" s="74"/>
      <c r="O152" s="93" t="s">
        <v>133</v>
      </c>
      <c r="P152" s="89" t="s">
        <v>138</v>
      </c>
      <c r="Q152" s="72"/>
      <c r="R152" s="72">
        <v>1081</v>
      </c>
      <c r="S152" s="72"/>
      <c r="T152" s="72"/>
      <c r="U152" s="72"/>
      <c r="V152" s="72"/>
      <c r="W152" s="72"/>
      <c r="X152" s="67"/>
    </row>
    <row r="153" spans="2:27" ht="28.5" customHeight="1" x14ac:dyDescent="0.25">
      <c r="B153" s="93" t="s">
        <v>123</v>
      </c>
      <c r="C153" s="44" t="s">
        <v>126</v>
      </c>
      <c r="D153" s="67"/>
      <c r="E153" s="67">
        <v>68</v>
      </c>
      <c r="F153" s="67"/>
      <c r="G153" s="67"/>
      <c r="H153" s="67"/>
      <c r="I153" s="67"/>
      <c r="J153" s="67"/>
      <c r="K153" s="67"/>
      <c r="L153" s="11"/>
      <c r="M153" s="131"/>
      <c r="N153" s="74"/>
      <c r="O153" s="93" t="s">
        <v>133</v>
      </c>
      <c r="P153" s="89"/>
      <c r="Q153" s="72"/>
      <c r="R153" s="72"/>
      <c r="S153" s="72"/>
      <c r="T153" s="72"/>
      <c r="U153" s="72"/>
      <c r="V153" s="72"/>
      <c r="W153" s="72"/>
      <c r="X153" s="67"/>
    </row>
    <row r="154" spans="2:27" ht="31.5" customHeight="1" x14ac:dyDescent="0.25">
      <c r="B154" s="93" t="s">
        <v>123</v>
      </c>
      <c r="C154" s="44" t="s">
        <v>128</v>
      </c>
      <c r="D154" s="67"/>
      <c r="E154" s="67"/>
      <c r="F154" s="67"/>
      <c r="G154" s="67"/>
      <c r="H154" s="67"/>
      <c r="I154" s="67"/>
      <c r="J154" s="94">
        <f>155+626</f>
        <v>781</v>
      </c>
      <c r="K154" s="67"/>
      <c r="L154" s="11"/>
      <c r="M154" s="131"/>
      <c r="N154" s="74"/>
      <c r="O154" s="93" t="s">
        <v>133</v>
      </c>
      <c r="P154" s="87" t="s">
        <v>139</v>
      </c>
      <c r="Q154" s="72"/>
      <c r="R154" s="72"/>
      <c r="S154" s="72"/>
      <c r="T154" s="72"/>
      <c r="U154" s="72"/>
      <c r="V154" s="72"/>
      <c r="W154" s="72">
        <f>900+345</f>
        <v>1245</v>
      </c>
      <c r="X154" s="67"/>
      <c r="Y154" s="129"/>
      <c r="Z154" s="80"/>
      <c r="AA154" s="80"/>
    </row>
    <row r="155" spans="2:27" ht="24" x14ac:dyDescent="0.25">
      <c r="B155" s="93" t="s">
        <v>123</v>
      </c>
      <c r="C155" s="42" t="s">
        <v>127</v>
      </c>
      <c r="D155" s="67"/>
      <c r="E155" s="67"/>
      <c r="F155" s="67"/>
      <c r="G155" s="67"/>
      <c r="H155" s="67"/>
      <c r="I155" s="67">
        <v>850</v>
      </c>
      <c r="J155" s="67"/>
      <c r="K155" s="67"/>
      <c r="L155" s="11"/>
      <c r="M155" s="131"/>
      <c r="N155" s="74"/>
      <c r="O155" s="93" t="s">
        <v>133</v>
      </c>
      <c r="P155" s="90" t="s">
        <v>4</v>
      </c>
      <c r="Q155" s="72"/>
      <c r="R155" s="72"/>
      <c r="S155" s="72"/>
      <c r="T155" s="72"/>
      <c r="U155" s="72">
        <v>729</v>
      </c>
      <c r="V155" s="72"/>
      <c r="W155" s="72"/>
      <c r="X155" s="67"/>
    </row>
    <row r="156" spans="2:27" ht="22.5" customHeight="1" x14ac:dyDescent="0.25">
      <c r="B156" s="93" t="s">
        <v>123</v>
      </c>
      <c r="C156" s="95" t="s">
        <v>96</v>
      </c>
      <c r="D156" s="67"/>
      <c r="E156" s="67"/>
      <c r="F156" s="67"/>
      <c r="G156" s="67"/>
      <c r="H156" s="67">
        <f>119+51+68+68+102+68</f>
        <v>476</v>
      </c>
      <c r="I156" s="67"/>
      <c r="J156" s="67"/>
      <c r="K156" s="67"/>
      <c r="L156" s="11"/>
      <c r="M156" s="131"/>
      <c r="N156" s="74"/>
      <c r="O156" s="93" t="s">
        <v>133</v>
      </c>
      <c r="P156" s="98" t="s">
        <v>132</v>
      </c>
      <c r="Q156" s="72"/>
      <c r="R156" s="72"/>
      <c r="S156" s="72"/>
      <c r="T156" s="72"/>
      <c r="U156" s="72"/>
      <c r="V156" s="72">
        <f>270+153+170+204+170+204</f>
        <v>1171</v>
      </c>
      <c r="W156" s="72"/>
      <c r="X156" s="67"/>
    </row>
    <row r="157" spans="2:27" ht="18.75" customHeight="1" x14ac:dyDescent="0.25">
      <c r="B157" s="93" t="s">
        <v>123</v>
      </c>
      <c r="C157" s="42" t="s">
        <v>11</v>
      </c>
      <c r="D157" s="67"/>
      <c r="E157" s="67"/>
      <c r="F157" s="67"/>
      <c r="G157" s="67"/>
      <c r="H157" s="67">
        <f>380+380+470</f>
        <v>1230</v>
      </c>
      <c r="I157" s="67"/>
      <c r="J157" s="67"/>
      <c r="K157" s="67"/>
      <c r="L157" s="11"/>
      <c r="M157" s="131"/>
      <c r="N157" s="74"/>
      <c r="O157" s="93"/>
      <c r="P157" s="88" t="s">
        <v>140</v>
      </c>
      <c r="Q157" s="72"/>
      <c r="R157" s="72"/>
      <c r="S157" s="72"/>
      <c r="T157" s="72"/>
      <c r="U157" s="72"/>
      <c r="V157" s="72">
        <f>700+700+710+2566+310</f>
        <v>4986</v>
      </c>
      <c r="W157" s="72"/>
      <c r="X157" s="67"/>
    </row>
    <row r="158" spans="2:27" ht="18.75" customHeight="1" x14ac:dyDescent="0.25">
      <c r="B158" s="93" t="s">
        <v>123</v>
      </c>
      <c r="C158" s="95"/>
      <c r="D158" s="67"/>
      <c r="E158" s="67"/>
      <c r="F158" s="67"/>
      <c r="G158" s="67"/>
      <c r="H158" s="67"/>
      <c r="I158" s="67"/>
      <c r="J158" s="67"/>
      <c r="K158" s="67"/>
      <c r="L158" s="11"/>
      <c r="M158" s="131"/>
      <c r="N158" s="74"/>
      <c r="O158" s="93"/>
      <c r="P158" s="88"/>
      <c r="Q158" s="72"/>
      <c r="R158" s="72"/>
      <c r="S158" s="72"/>
      <c r="T158" s="72"/>
      <c r="U158" s="72"/>
      <c r="V158" s="72"/>
      <c r="W158" s="72"/>
      <c r="X158" s="67"/>
    </row>
    <row r="159" spans="2:27" ht="18.75" customHeight="1" x14ac:dyDescent="0.25">
      <c r="B159" s="93"/>
      <c r="C159" s="10"/>
      <c r="D159" s="67"/>
      <c r="E159" s="67"/>
      <c r="F159" s="67"/>
      <c r="G159" s="67"/>
      <c r="H159" s="67"/>
      <c r="I159" s="67"/>
      <c r="J159" s="67"/>
      <c r="K159" s="67"/>
      <c r="L159" s="11"/>
      <c r="M159" s="131"/>
      <c r="N159" s="74"/>
      <c r="O159" s="93"/>
      <c r="P159" s="91"/>
      <c r="Q159" s="67"/>
      <c r="R159" s="67"/>
      <c r="S159" s="67"/>
      <c r="T159" s="67"/>
      <c r="U159" s="67"/>
      <c r="V159" s="67"/>
      <c r="W159" s="67"/>
      <c r="X159" s="67"/>
    </row>
    <row r="160" spans="2:27" x14ac:dyDescent="0.25">
      <c r="B160" s="93"/>
      <c r="C160" s="10"/>
      <c r="D160" s="67"/>
      <c r="E160" s="67"/>
      <c r="F160" s="67"/>
      <c r="G160" s="67"/>
      <c r="H160" s="67"/>
      <c r="I160" s="67"/>
      <c r="J160" s="67"/>
      <c r="K160" s="67"/>
      <c r="L160" s="11"/>
      <c r="M160" s="131"/>
      <c r="N160" s="74"/>
      <c r="O160" s="93"/>
      <c r="P160" s="91"/>
      <c r="Q160" s="67"/>
      <c r="R160" s="67"/>
      <c r="S160" s="67"/>
      <c r="T160" s="67"/>
      <c r="U160" s="67"/>
      <c r="V160" s="67"/>
      <c r="W160" s="67"/>
      <c r="X160" s="67"/>
    </row>
    <row r="161" spans="2:24" ht="15.75" thickBot="1" x14ac:dyDescent="0.3">
      <c r="B161" s="9"/>
      <c r="C161" s="34"/>
      <c r="D161" s="73">
        <v>0</v>
      </c>
      <c r="E161" s="73"/>
      <c r="F161" s="73"/>
      <c r="G161" s="73"/>
      <c r="H161" s="73"/>
      <c r="I161" s="73"/>
      <c r="J161" s="73"/>
      <c r="K161" s="73"/>
      <c r="L161" s="20"/>
      <c r="M161" s="131"/>
      <c r="N161" s="74"/>
      <c r="O161" s="46"/>
      <c r="P161" s="51"/>
      <c r="Q161" s="73">
        <v>0</v>
      </c>
      <c r="R161" s="73"/>
      <c r="S161" s="73"/>
      <c r="T161" s="73"/>
      <c r="U161" s="73"/>
      <c r="V161" s="73"/>
      <c r="W161" s="73"/>
      <c r="X161" s="73"/>
    </row>
    <row r="162" spans="2:24" ht="24" thickBot="1" x14ac:dyDescent="0.3">
      <c r="B162" s="7"/>
      <c r="C162" s="35" t="s">
        <v>18</v>
      </c>
      <c r="D162" s="30">
        <f t="shared" ref="D162" si="10">SUM(D148:D161)</f>
        <v>665.5</v>
      </c>
      <c r="E162" s="31">
        <f t="shared" ref="E162:L162" si="11">SUM(E148:E161)</f>
        <v>68</v>
      </c>
      <c r="F162" s="31">
        <f t="shared" si="11"/>
        <v>2076</v>
      </c>
      <c r="G162" s="31">
        <f t="shared" si="11"/>
        <v>140</v>
      </c>
      <c r="H162" s="31">
        <f t="shared" si="11"/>
        <v>1706</v>
      </c>
      <c r="I162" s="31">
        <f t="shared" si="11"/>
        <v>850</v>
      </c>
      <c r="J162" s="22">
        <f t="shared" si="11"/>
        <v>781</v>
      </c>
      <c r="K162" s="32">
        <f t="shared" si="11"/>
        <v>7786</v>
      </c>
      <c r="L162" s="100">
        <f t="shared" si="11"/>
        <v>500</v>
      </c>
      <c r="M162" s="132"/>
      <c r="N162" s="74"/>
      <c r="O162" s="7"/>
      <c r="P162" s="33" t="s">
        <v>18</v>
      </c>
      <c r="Q162" s="21">
        <f t="shared" ref="Q162:X162" si="12">SUM(Q148:Q161)</f>
        <v>863</v>
      </c>
      <c r="R162" s="21">
        <f t="shared" si="12"/>
        <v>1081</v>
      </c>
      <c r="S162" s="21">
        <f t="shared" si="12"/>
        <v>2839</v>
      </c>
      <c r="T162" s="21">
        <f t="shared" si="12"/>
        <v>145</v>
      </c>
      <c r="U162" s="21">
        <f t="shared" si="12"/>
        <v>729</v>
      </c>
      <c r="V162" s="21">
        <f t="shared" si="12"/>
        <v>6157</v>
      </c>
      <c r="W162" s="21">
        <f t="shared" si="12"/>
        <v>1245</v>
      </c>
      <c r="X162" s="21">
        <f t="shared" si="12"/>
        <v>8215</v>
      </c>
    </row>
    <row r="163" spans="2:24" ht="15.75" thickBot="1" x14ac:dyDescent="0.3">
      <c r="B163" s="7"/>
      <c r="C163" s="1"/>
      <c r="D163" s="5"/>
      <c r="E163" s="5"/>
      <c r="F163" s="5"/>
      <c r="G163" s="5"/>
      <c r="H163" s="5"/>
      <c r="I163" s="5"/>
      <c r="J163" s="5"/>
      <c r="K163" s="5"/>
      <c r="L163" s="78"/>
      <c r="M163" s="76"/>
      <c r="N163" s="74"/>
      <c r="O163" s="7"/>
      <c r="Q163" s="5"/>
      <c r="R163" s="5"/>
      <c r="S163" s="5"/>
      <c r="T163" s="5"/>
      <c r="U163" s="5"/>
      <c r="V163" s="5"/>
      <c r="W163" s="5"/>
      <c r="X163" s="5"/>
    </row>
    <row r="164" spans="2:24" ht="21.75" thickBot="1" x14ac:dyDescent="0.4">
      <c r="B164" s="7"/>
      <c r="C164" s="1"/>
      <c r="D164" s="5"/>
      <c r="E164" s="5"/>
      <c r="F164" s="245">
        <f>K162+J162+I162+H162+G162+F162+E162+D162+L162</f>
        <v>14572.5</v>
      </c>
      <c r="G164" s="246"/>
      <c r="H164" s="247"/>
      <c r="I164" s="5"/>
      <c r="J164" s="5"/>
      <c r="K164" s="5"/>
      <c r="L164" s="71"/>
      <c r="M164" s="74"/>
      <c r="N164" s="74"/>
      <c r="O164" s="7"/>
      <c r="Q164" s="5"/>
      <c r="R164" s="5"/>
      <c r="S164" s="248">
        <f>Q162+R162+S162+T162+U162+V162+W162+X162</f>
        <v>21274</v>
      </c>
      <c r="T164" s="249"/>
      <c r="U164" s="250"/>
      <c r="V164" s="5"/>
      <c r="W164" s="5"/>
      <c r="X164" s="5"/>
    </row>
    <row r="165" spans="2:24" x14ac:dyDescent="0.25">
      <c r="B165" s="7"/>
      <c r="C165" s="1"/>
      <c r="D165" s="5"/>
      <c r="E165" s="5"/>
      <c r="F165" s="5"/>
      <c r="G165" s="5"/>
      <c r="H165" s="5"/>
      <c r="J165" s="5"/>
      <c r="K165" s="5"/>
      <c r="L165" s="71"/>
      <c r="M165" s="74"/>
      <c r="N165" s="74"/>
      <c r="O165" s="7"/>
      <c r="Q165" s="5"/>
      <c r="R165" s="5"/>
      <c r="S165" s="5"/>
      <c r="T165" s="5"/>
      <c r="U165" s="5"/>
      <c r="V165" s="5"/>
      <c r="W165" s="5"/>
      <c r="X165" s="5"/>
    </row>
    <row r="166" spans="2:24" x14ac:dyDescent="0.25">
      <c r="B166" s="7"/>
      <c r="C166" s="1"/>
      <c r="D166" s="5"/>
      <c r="E166" s="5"/>
      <c r="F166" s="5"/>
      <c r="G166" s="5"/>
      <c r="H166" s="5"/>
      <c r="I166" s="5"/>
      <c r="J166" s="5"/>
      <c r="K166" s="5"/>
      <c r="L166" s="71"/>
      <c r="M166" s="74"/>
      <c r="N166" s="74"/>
      <c r="O166" s="7"/>
    </row>
    <row r="167" spans="2:24" x14ac:dyDescent="0.25">
      <c r="B167" s="7"/>
      <c r="C167" s="1"/>
      <c r="D167" s="5"/>
      <c r="E167" s="5"/>
      <c r="F167" s="5"/>
      <c r="G167" s="5"/>
      <c r="H167" s="5"/>
      <c r="I167" s="5"/>
      <c r="J167" s="5"/>
      <c r="K167" s="5"/>
      <c r="L167" s="71"/>
      <c r="M167" s="74"/>
      <c r="N167" s="74"/>
      <c r="O167" s="7"/>
    </row>
  </sheetData>
  <mergeCells count="36">
    <mergeCell ref="C2:K2"/>
    <mergeCell ref="O2:W2"/>
    <mergeCell ref="I3:K3"/>
    <mergeCell ref="V3:X3"/>
    <mergeCell ref="F21:H21"/>
    <mergeCell ref="S21:U21"/>
    <mergeCell ref="C63:K63"/>
    <mergeCell ref="O63:W63"/>
    <mergeCell ref="I64:K64"/>
    <mergeCell ref="V64:X64"/>
    <mergeCell ref="F82:H82"/>
    <mergeCell ref="S82:U82"/>
    <mergeCell ref="C117:K117"/>
    <mergeCell ref="O117:W117"/>
    <mergeCell ref="I118:K118"/>
    <mergeCell ref="V118:X118"/>
    <mergeCell ref="F136:H136"/>
    <mergeCell ref="S136:U136"/>
    <mergeCell ref="C145:K145"/>
    <mergeCell ref="O145:W145"/>
    <mergeCell ref="I146:K146"/>
    <mergeCell ref="V146:X146"/>
    <mergeCell ref="F164:H164"/>
    <mergeCell ref="S164:U164"/>
    <mergeCell ref="C89:K89"/>
    <mergeCell ref="O89:W89"/>
    <mergeCell ref="I90:K90"/>
    <mergeCell ref="V90:X90"/>
    <mergeCell ref="F108:H108"/>
    <mergeCell ref="S108:U108"/>
    <mergeCell ref="C32:K32"/>
    <mergeCell ref="O32:W32"/>
    <mergeCell ref="I33:K33"/>
    <mergeCell ref="V33:X33"/>
    <mergeCell ref="F51:H51"/>
    <mergeCell ref="S51:U51"/>
  </mergeCells>
  <pageMargins left="0.23622047244094491" right="0.16" top="0.74803149606299213" bottom="0.74803149606299213" header="0.31496062992125984" footer="0.31496062992125984"/>
  <pageSetup scale="8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129"/>
  <sheetViews>
    <sheetView zoomScaleNormal="100" workbookViewId="0">
      <pane xSplit="2" ySplit="1" topLeftCell="I71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baseColWidth="10" defaultRowHeight="15" x14ac:dyDescent="0.25"/>
  <cols>
    <col min="1" max="1" width="11.42578125" customWidth="1"/>
    <col min="2" max="2" width="13.7109375" style="7" customWidth="1"/>
    <col min="3" max="3" width="25" style="1" customWidth="1"/>
    <col min="4" max="4" width="9.85546875" bestFit="1" customWidth="1"/>
    <col min="5" max="5" width="11.7109375" bestFit="1" customWidth="1"/>
    <col min="6" max="6" width="12.5703125" bestFit="1" customWidth="1"/>
    <col min="7" max="7" width="10.28515625" bestFit="1" customWidth="1"/>
    <col min="8" max="8" width="11.7109375" bestFit="1" customWidth="1"/>
    <col min="9" max="9" width="11" customWidth="1"/>
    <col min="10" max="10" width="13.42578125" customWidth="1"/>
    <col min="11" max="11" width="11.5703125" customWidth="1"/>
    <col min="12" max="12" width="13.140625" customWidth="1"/>
    <col min="13" max="13" width="5.140625" customWidth="1"/>
    <col min="14" max="14" width="11.28515625" style="80" customWidth="1"/>
    <col min="15" max="15" width="13.5703125" style="7" customWidth="1"/>
    <col min="16" max="16" width="25" customWidth="1"/>
    <col min="17" max="17" width="13.28515625" customWidth="1"/>
    <col min="18" max="18" width="11.5703125" bestFit="1" customWidth="1"/>
    <col min="19" max="19" width="12.42578125" bestFit="1" customWidth="1"/>
    <col min="20" max="20" width="10.140625" bestFit="1" customWidth="1"/>
    <col min="21" max="21" width="9.7109375" bestFit="1" customWidth="1"/>
    <col min="22" max="22" width="12.85546875" customWidth="1"/>
    <col min="23" max="23" width="13.140625" customWidth="1"/>
    <col min="24" max="24" width="11.5703125" bestFit="1" customWidth="1"/>
  </cols>
  <sheetData>
    <row r="1" spans="2:27" ht="27.75" customHeight="1" x14ac:dyDescent="0.25">
      <c r="O1" s="188"/>
      <c r="P1" s="189"/>
      <c r="Q1" s="189"/>
      <c r="R1" s="189"/>
      <c r="S1" s="189"/>
      <c r="T1" s="189"/>
      <c r="U1" s="189"/>
      <c r="V1" s="189"/>
      <c r="W1" s="189"/>
      <c r="X1" s="189"/>
    </row>
    <row r="3" spans="2:27" ht="15.75" thickBot="1" x14ac:dyDescent="0.3"/>
    <row r="4" spans="2:27" ht="22.5" thickTop="1" thickBot="1" x14ac:dyDescent="0.4">
      <c r="C4" s="238" t="s">
        <v>36</v>
      </c>
      <c r="D4" s="239"/>
      <c r="E4" s="239"/>
      <c r="F4" s="239"/>
      <c r="G4" s="239"/>
      <c r="H4" s="239"/>
      <c r="I4" s="239"/>
      <c r="J4" s="239"/>
      <c r="K4" s="239"/>
      <c r="L4" s="84" t="s">
        <v>88</v>
      </c>
      <c r="M4" s="83"/>
      <c r="N4" s="81"/>
      <c r="O4" s="251" t="s">
        <v>19</v>
      </c>
      <c r="P4" s="252"/>
      <c r="Q4" s="252"/>
      <c r="R4" s="252"/>
      <c r="S4" s="252"/>
      <c r="T4" s="252"/>
      <c r="U4" s="252"/>
      <c r="V4" s="252"/>
      <c r="W4" s="252"/>
      <c r="X4" s="85" t="s">
        <v>88</v>
      </c>
    </row>
    <row r="5" spans="2:27" ht="16.5" thickBot="1" x14ac:dyDescent="0.3">
      <c r="I5" s="242" t="s">
        <v>107</v>
      </c>
      <c r="J5" s="243"/>
      <c r="K5" s="244"/>
      <c r="L5" s="68"/>
      <c r="M5" s="59"/>
      <c r="N5" s="74"/>
      <c r="V5" s="242" t="s">
        <v>107</v>
      </c>
      <c r="W5" s="243"/>
      <c r="X5" s="244"/>
    </row>
    <row r="6" spans="2:27" ht="64.5" thickTop="1" thickBot="1" x14ac:dyDescent="0.3">
      <c r="B6" s="6" t="s">
        <v>0</v>
      </c>
      <c r="C6" s="24" t="s">
        <v>1</v>
      </c>
      <c r="D6" s="25" t="s">
        <v>2</v>
      </c>
      <c r="E6" s="26" t="s">
        <v>7</v>
      </c>
      <c r="F6" s="56" t="s">
        <v>38</v>
      </c>
      <c r="G6" s="25" t="s">
        <v>3</v>
      </c>
      <c r="H6" s="27" t="s">
        <v>22</v>
      </c>
      <c r="I6" s="60" t="s">
        <v>4</v>
      </c>
      <c r="J6" s="61" t="s">
        <v>8</v>
      </c>
      <c r="K6" s="62" t="s">
        <v>5</v>
      </c>
      <c r="L6" s="99" t="s">
        <v>46</v>
      </c>
      <c r="M6" s="38"/>
      <c r="N6" s="82"/>
      <c r="O6" s="36" t="s">
        <v>0</v>
      </c>
      <c r="P6" s="18" t="s">
        <v>1</v>
      </c>
      <c r="Q6" s="64" t="s">
        <v>2</v>
      </c>
      <c r="R6" s="19" t="s">
        <v>16</v>
      </c>
      <c r="S6" s="54" t="s">
        <v>38</v>
      </c>
      <c r="T6" s="14" t="s">
        <v>3</v>
      </c>
      <c r="U6" s="14" t="s">
        <v>4</v>
      </c>
      <c r="V6" s="55" t="s">
        <v>25</v>
      </c>
      <c r="W6" s="57" t="s">
        <v>8</v>
      </c>
      <c r="X6" s="58" t="s">
        <v>5</v>
      </c>
    </row>
    <row r="7" spans="2:27" ht="30" x14ac:dyDescent="0.25">
      <c r="B7" s="93" t="s">
        <v>89</v>
      </c>
      <c r="C7" s="107" t="s">
        <v>90</v>
      </c>
      <c r="D7" s="72"/>
      <c r="E7" s="72"/>
      <c r="F7" s="72"/>
      <c r="G7" s="72"/>
      <c r="H7" s="72"/>
      <c r="I7" s="72"/>
      <c r="J7" s="72"/>
      <c r="K7" s="72">
        <f>899+759+1031</f>
        <v>2689</v>
      </c>
      <c r="L7" s="70"/>
      <c r="M7" s="74"/>
      <c r="N7" s="74"/>
      <c r="O7" s="93" t="s">
        <v>89</v>
      </c>
      <c r="P7" s="86" t="s">
        <v>97</v>
      </c>
      <c r="Q7" s="72"/>
      <c r="R7" s="72"/>
      <c r="S7" s="72"/>
      <c r="T7" s="72"/>
      <c r="U7" s="72"/>
      <c r="V7" s="72"/>
      <c r="W7" s="72"/>
      <c r="X7" s="72">
        <f>1196+1463</f>
        <v>2659</v>
      </c>
    </row>
    <row r="8" spans="2:27" ht="51.75" customHeight="1" x14ac:dyDescent="0.25">
      <c r="B8" s="93" t="s">
        <v>89</v>
      </c>
      <c r="C8" s="44" t="s">
        <v>93</v>
      </c>
      <c r="D8" s="67"/>
      <c r="E8" s="67"/>
      <c r="F8" s="67">
        <f>2439+120+100+72+45</f>
        <v>2776</v>
      </c>
      <c r="G8" s="67"/>
      <c r="H8" s="67"/>
      <c r="I8" s="67"/>
      <c r="J8" s="67"/>
      <c r="K8" s="67"/>
      <c r="L8" s="67"/>
      <c r="M8" s="74"/>
      <c r="N8" s="74"/>
      <c r="O8" s="93" t="s">
        <v>89</v>
      </c>
      <c r="P8" s="89" t="s">
        <v>99</v>
      </c>
      <c r="Q8" s="72"/>
      <c r="R8" s="72"/>
      <c r="S8" s="72">
        <f>79+3580</f>
        <v>3659</v>
      </c>
      <c r="T8" s="72"/>
      <c r="U8" s="72"/>
      <c r="V8" s="72"/>
      <c r="W8" s="72"/>
      <c r="X8" s="67"/>
    </row>
    <row r="9" spans="2:27" ht="36.75" x14ac:dyDescent="0.25">
      <c r="B9" s="93" t="s">
        <v>89</v>
      </c>
      <c r="C9" s="43" t="s">
        <v>91</v>
      </c>
      <c r="D9" s="67">
        <f>131+221</f>
        <v>352</v>
      </c>
      <c r="E9" s="67"/>
      <c r="F9" s="67"/>
      <c r="G9" s="67"/>
      <c r="H9" s="67"/>
      <c r="I9" s="67"/>
      <c r="J9" s="67"/>
      <c r="K9" s="67"/>
      <c r="L9" s="11"/>
      <c r="M9" s="74"/>
      <c r="N9" s="74"/>
      <c r="O9" s="93" t="s">
        <v>89</v>
      </c>
      <c r="P9" s="89" t="s">
        <v>98</v>
      </c>
      <c r="Q9" s="72"/>
      <c r="R9" s="72"/>
      <c r="S9" s="72"/>
      <c r="T9" s="72">
        <f>40+85</f>
        <v>125</v>
      </c>
      <c r="U9" s="72"/>
      <c r="V9" s="72"/>
      <c r="W9" s="72"/>
      <c r="X9" s="67"/>
    </row>
    <row r="10" spans="2:27" ht="30" customHeight="1" x14ac:dyDescent="0.25">
      <c r="B10" s="93" t="s">
        <v>89</v>
      </c>
      <c r="C10" s="96" t="s">
        <v>92</v>
      </c>
      <c r="D10" s="67"/>
      <c r="E10" s="67"/>
      <c r="F10" s="67"/>
      <c r="G10" s="67">
        <v>45</v>
      </c>
      <c r="H10" s="67" t="s">
        <v>26</v>
      </c>
      <c r="I10" s="67"/>
      <c r="J10" s="67"/>
      <c r="K10" s="67"/>
      <c r="L10" s="11"/>
      <c r="M10" s="74"/>
      <c r="N10" s="74"/>
      <c r="O10" s="93" t="s">
        <v>89</v>
      </c>
      <c r="P10" s="87" t="s">
        <v>100</v>
      </c>
      <c r="Q10" s="72">
        <f>144+460+166</f>
        <v>770</v>
      </c>
      <c r="R10" s="72"/>
      <c r="S10" s="72"/>
      <c r="T10" s="72"/>
      <c r="U10" s="72"/>
      <c r="V10" s="72"/>
      <c r="W10" s="72"/>
      <c r="X10" s="67"/>
    </row>
    <row r="11" spans="2:27" ht="48.75" x14ac:dyDescent="0.25">
      <c r="B11" s="93" t="s">
        <v>89</v>
      </c>
      <c r="C11" s="44" t="s">
        <v>46</v>
      </c>
      <c r="D11" s="67"/>
      <c r="E11" s="67"/>
      <c r="F11" s="67"/>
      <c r="G11" s="67"/>
      <c r="H11" s="67"/>
      <c r="I11" s="67"/>
      <c r="J11" s="67"/>
      <c r="K11" s="67"/>
      <c r="L11" s="11">
        <v>500</v>
      </c>
      <c r="M11" s="74"/>
      <c r="N11" s="74"/>
      <c r="O11" s="93" t="s">
        <v>89</v>
      </c>
      <c r="P11" s="89" t="s">
        <v>104</v>
      </c>
      <c r="Q11" s="72"/>
      <c r="R11" s="72"/>
      <c r="S11" s="72"/>
      <c r="T11" s="72"/>
      <c r="U11" s="72"/>
      <c r="V11" s="72"/>
      <c r="W11" s="72">
        <f>610+60.5+856+50+1164</f>
        <v>2740.5</v>
      </c>
      <c r="X11" s="67"/>
    </row>
    <row r="12" spans="2:27" x14ac:dyDescent="0.25">
      <c r="B12" s="93" t="s">
        <v>89</v>
      </c>
      <c r="C12" s="44" t="s">
        <v>12</v>
      </c>
      <c r="D12" s="67"/>
      <c r="E12" s="67"/>
      <c r="F12" s="67"/>
      <c r="G12" s="67"/>
      <c r="H12" s="67"/>
      <c r="I12" s="67">
        <v>381</v>
      </c>
      <c r="J12" s="67"/>
      <c r="K12" s="67"/>
      <c r="L12" s="11"/>
      <c r="M12" s="74"/>
      <c r="N12" s="74"/>
      <c r="O12" s="93" t="s">
        <v>89</v>
      </c>
      <c r="P12" s="89" t="s">
        <v>4</v>
      </c>
      <c r="Q12" s="72"/>
      <c r="R12" s="72"/>
      <c r="S12" s="72"/>
      <c r="T12" s="72"/>
      <c r="U12" s="72">
        <v>728</v>
      </c>
      <c r="V12" s="72"/>
      <c r="W12" s="72"/>
      <c r="X12" s="67"/>
    </row>
    <row r="13" spans="2:27" ht="24" x14ac:dyDescent="0.25">
      <c r="B13" s="93" t="s">
        <v>89</v>
      </c>
      <c r="C13" s="44" t="s">
        <v>94</v>
      </c>
      <c r="D13" s="67"/>
      <c r="E13" s="67"/>
      <c r="F13" s="67"/>
      <c r="G13" s="67"/>
      <c r="H13" s="67"/>
      <c r="I13" s="67"/>
      <c r="J13" s="94">
        <v>1223</v>
      </c>
      <c r="K13" s="67"/>
      <c r="L13" s="11"/>
      <c r="M13" s="74"/>
      <c r="N13" s="74"/>
      <c r="O13" s="93" t="s">
        <v>89</v>
      </c>
      <c r="P13" s="87" t="s">
        <v>101</v>
      </c>
      <c r="Q13" s="72"/>
      <c r="R13" s="72"/>
      <c r="S13" s="72"/>
      <c r="T13" s="72"/>
      <c r="U13" s="72"/>
      <c r="V13" s="72"/>
      <c r="W13" s="72">
        <v>1390</v>
      </c>
      <c r="X13" s="67"/>
      <c r="Y13" s="109" t="s">
        <v>102</v>
      </c>
      <c r="Z13" s="110"/>
      <c r="AA13" s="80"/>
    </row>
    <row r="14" spans="2:27" ht="26.25" x14ac:dyDescent="0.25">
      <c r="B14" s="93" t="s">
        <v>89</v>
      </c>
      <c r="C14" s="42" t="s">
        <v>95</v>
      </c>
      <c r="D14" s="67"/>
      <c r="E14" s="67">
        <v>180</v>
      </c>
      <c r="F14" s="67"/>
      <c r="G14" s="67"/>
      <c r="H14" s="67"/>
      <c r="I14" s="67"/>
      <c r="J14" s="67"/>
      <c r="K14" s="67"/>
      <c r="L14" s="11"/>
      <c r="M14" s="74"/>
      <c r="N14" s="74"/>
      <c r="O14" s="93" t="s">
        <v>89</v>
      </c>
      <c r="P14" s="90" t="s">
        <v>103</v>
      </c>
      <c r="Q14" s="72"/>
      <c r="R14" s="72">
        <v>1462</v>
      </c>
      <c r="S14" s="72"/>
      <c r="T14" s="72"/>
      <c r="U14" s="72"/>
      <c r="V14" s="72"/>
      <c r="W14" s="72"/>
      <c r="X14" s="67"/>
    </row>
    <row r="15" spans="2:27" ht="22.5" customHeight="1" x14ac:dyDescent="0.25">
      <c r="B15" s="93" t="s">
        <v>89</v>
      </c>
      <c r="C15" s="95" t="s">
        <v>96</v>
      </c>
      <c r="D15" s="67"/>
      <c r="E15" s="67"/>
      <c r="F15" s="67"/>
      <c r="G15" s="67"/>
      <c r="H15" s="67">
        <f>85+85+102+68+68</f>
        <v>408</v>
      </c>
      <c r="I15" s="67"/>
      <c r="J15" s="67"/>
      <c r="K15" s="67"/>
      <c r="L15" s="11"/>
      <c r="M15" s="74"/>
      <c r="N15" s="74"/>
      <c r="O15" s="93" t="s">
        <v>89</v>
      </c>
      <c r="P15" s="98" t="s">
        <v>105</v>
      </c>
      <c r="Q15" s="72"/>
      <c r="R15" s="72"/>
      <c r="S15" s="72"/>
      <c r="T15" s="72"/>
      <c r="U15" s="72"/>
      <c r="V15" s="72">
        <f>700+710+700+669+1754</f>
        <v>4533</v>
      </c>
      <c r="W15" s="72"/>
      <c r="X15" s="67"/>
    </row>
    <row r="16" spans="2:27" ht="18.75" customHeight="1" x14ac:dyDescent="0.25">
      <c r="B16" s="93" t="s">
        <v>89</v>
      </c>
      <c r="C16" s="42" t="s">
        <v>11</v>
      </c>
      <c r="D16" s="67"/>
      <c r="E16" s="67"/>
      <c r="F16" s="67"/>
      <c r="G16" s="67"/>
      <c r="H16" s="67">
        <f>380+380+470</f>
        <v>1230</v>
      </c>
      <c r="I16" s="67"/>
      <c r="J16" s="67"/>
      <c r="K16" s="67"/>
      <c r="L16" s="11"/>
      <c r="M16" s="74"/>
      <c r="N16" s="74"/>
      <c r="O16" s="93" t="s">
        <v>89</v>
      </c>
      <c r="P16" s="88" t="s">
        <v>106</v>
      </c>
      <c r="Q16" s="72"/>
      <c r="R16" s="72"/>
      <c r="S16" s="72"/>
      <c r="T16" s="72"/>
      <c r="U16" s="72"/>
      <c r="V16" s="72">
        <f>170+170+204+204+170</f>
        <v>918</v>
      </c>
      <c r="W16" s="72"/>
      <c r="X16" s="67"/>
    </row>
    <row r="17" spans="2:24" ht="18.75" customHeight="1" x14ac:dyDescent="0.25">
      <c r="B17" s="93" t="s">
        <v>89</v>
      </c>
      <c r="C17" s="95"/>
      <c r="D17" s="67"/>
      <c r="E17" s="67"/>
      <c r="F17" s="67"/>
      <c r="G17" s="67"/>
      <c r="H17" s="67"/>
      <c r="I17" s="67"/>
      <c r="J17" s="67"/>
      <c r="K17" s="67"/>
      <c r="L17" s="11"/>
      <c r="M17" s="74"/>
      <c r="N17" s="74"/>
      <c r="O17" s="93" t="s">
        <v>89</v>
      </c>
      <c r="P17" s="88"/>
      <c r="Q17" s="72"/>
      <c r="R17" s="72"/>
      <c r="S17" s="72"/>
      <c r="T17" s="72"/>
      <c r="U17" s="72"/>
      <c r="V17" s="72"/>
      <c r="W17" s="72"/>
      <c r="X17" s="67"/>
    </row>
    <row r="18" spans="2:24" ht="18.75" customHeight="1" x14ac:dyDescent="0.25">
      <c r="B18" s="93" t="s">
        <v>89</v>
      </c>
      <c r="C18" s="10"/>
      <c r="D18" s="67"/>
      <c r="E18" s="67"/>
      <c r="F18" s="67"/>
      <c r="G18" s="67"/>
      <c r="H18" s="67"/>
      <c r="I18" s="67"/>
      <c r="J18" s="67"/>
      <c r="K18" s="67"/>
      <c r="L18" s="11"/>
      <c r="M18" s="74"/>
      <c r="N18" s="74"/>
      <c r="O18" s="93" t="s">
        <v>89</v>
      </c>
      <c r="P18" s="91"/>
      <c r="Q18" s="67"/>
      <c r="R18" s="67"/>
      <c r="S18" s="67"/>
      <c r="T18" s="67"/>
      <c r="U18" s="67"/>
      <c r="V18" s="67"/>
      <c r="W18" s="67"/>
      <c r="X18" s="67"/>
    </row>
    <row r="19" spans="2:24" x14ac:dyDescent="0.25">
      <c r="B19" s="93" t="s">
        <v>89</v>
      </c>
      <c r="C19" s="10"/>
      <c r="D19" s="67"/>
      <c r="E19" s="67"/>
      <c r="F19" s="67"/>
      <c r="G19" s="67"/>
      <c r="H19" s="67"/>
      <c r="I19" s="67"/>
      <c r="J19" s="67"/>
      <c r="K19" s="67"/>
      <c r="L19" s="11"/>
      <c r="M19" s="74"/>
      <c r="N19" s="74"/>
      <c r="O19" s="93" t="s">
        <v>89</v>
      </c>
      <c r="P19" s="91"/>
      <c r="Q19" s="67"/>
      <c r="R19" s="67"/>
      <c r="S19" s="67"/>
      <c r="T19" s="67"/>
      <c r="U19" s="67"/>
      <c r="V19" s="67"/>
      <c r="W19" s="67"/>
      <c r="X19" s="67"/>
    </row>
    <row r="20" spans="2:24" ht="15.75" thickBot="1" x14ac:dyDescent="0.3">
      <c r="B20" s="9"/>
      <c r="C20" s="34"/>
      <c r="D20" s="73">
        <v>0</v>
      </c>
      <c r="E20" s="73"/>
      <c r="F20" s="73"/>
      <c r="G20" s="73"/>
      <c r="H20" s="73"/>
      <c r="I20" s="73"/>
      <c r="J20" s="73"/>
      <c r="K20" s="73"/>
      <c r="L20" s="20"/>
      <c r="M20" s="74"/>
      <c r="N20" s="74"/>
      <c r="O20" s="46"/>
      <c r="P20" s="51"/>
      <c r="Q20" s="73">
        <v>0</v>
      </c>
      <c r="R20" s="73"/>
      <c r="S20" s="73"/>
      <c r="T20" s="73"/>
      <c r="U20" s="73"/>
      <c r="V20" s="73"/>
      <c r="W20" s="73"/>
      <c r="X20" s="73"/>
    </row>
    <row r="21" spans="2:24" ht="24" thickBot="1" x14ac:dyDescent="0.3">
      <c r="C21" s="35" t="s">
        <v>18</v>
      </c>
      <c r="D21" s="30">
        <f t="shared" ref="D21" si="0">SUM(D7:D20)</f>
        <v>352</v>
      </c>
      <c r="E21" s="31">
        <f t="shared" ref="E21" si="1">SUM(E7:E20)</f>
        <v>180</v>
      </c>
      <c r="F21" s="31">
        <f t="shared" ref="F21" si="2">SUM(F7:F20)</f>
        <v>2776</v>
      </c>
      <c r="G21" s="31">
        <f t="shared" ref="G21" si="3">SUM(G7:G20)</f>
        <v>45</v>
      </c>
      <c r="H21" s="31">
        <f t="shared" ref="H21" si="4">SUM(H7:H20)</f>
        <v>1638</v>
      </c>
      <c r="I21" s="31">
        <f t="shared" ref="I21" si="5">SUM(I7:I20)</f>
        <v>381</v>
      </c>
      <c r="J21" s="22">
        <f t="shared" ref="J21" si="6">SUM(J7:J20)</f>
        <v>1223</v>
      </c>
      <c r="K21" s="32">
        <f t="shared" ref="K21" si="7">SUM(K7:K20)</f>
        <v>2689</v>
      </c>
      <c r="L21" s="100">
        <f t="shared" ref="L21" si="8">SUM(L7:L20)</f>
        <v>500</v>
      </c>
      <c r="M21" s="75"/>
      <c r="N21" s="74"/>
      <c r="P21" s="33" t="s">
        <v>18</v>
      </c>
      <c r="Q21" s="21">
        <f t="shared" ref="Q21" si="9">SUM(Q7:Q20)</f>
        <v>770</v>
      </c>
      <c r="R21" s="21">
        <f t="shared" ref="R21" si="10">SUM(R7:R20)</f>
        <v>1462</v>
      </c>
      <c r="S21" s="21">
        <f t="shared" ref="S21" si="11">SUM(S7:S20)</f>
        <v>3659</v>
      </c>
      <c r="T21" s="21">
        <f t="shared" ref="T21" si="12">SUM(T7:T20)</f>
        <v>125</v>
      </c>
      <c r="U21" s="21">
        <f t="shared" ref="U21" si="13">SUM(U7:U20)</f>
        <v>728</v>
      </c>
      <c r="V21" s="21">
        <f t="shared" ref="V21" si="14">SUM(V7:V20)</f>
        <v>5451</v>
      </c>
      <c r="W21" s="21">
        <f t="shared" ref="W21" si="15">SUM(W7:W20)</f>
        <v>4130.5</v>
      </c>
      <c r="X21" s="21">
        <f t="shared" ref="X21" si="16">SUM(X7:X20)</f>
        <v>2659</v>
      </c>
    </row>
    <row r="22" spans="2:24" ht="15.75" thickBot="1" x14ac:dyDescent="0.3">
      <c r="D22" s="5"/>
      <c r="E22" s="5"/>
      <c r="F22" s="5"/>
      <c r="G22" s="5"/>
      <c r="H22" s="5"/>
      <c r="I22" s="5"/>
      <c r="J22" s="5"/>
      <c r="K22" s="5"/>
      <c r="L22" s="78"/>
      <c r="M22" s="76"/>
      <c r="N22" s="74"/>
      <c r="Q22" s="5"/>
      <c r="R22" s="5"/>
      <c r="S22" s="5"/>
      <c r="T22" s="5"/>
      <c r="U22" s="5"/>
      <c r="V22" s="5"/>
      <c r="W22" s="5"/>
      <c r="X22" s="5"/>
    </row>
    <row r="23" spans="2:24" ht="21.75" thickBot="1" x14ac:dyDescent="0.4">
      <c r="D23" s="5"/>
      <c r="E23" s="5"/>
      <c r="F23" s="245">
        <f>K21+J21+I21+H21+G21+F21+E21+D21+L21</f>
        <v>9784</v>
      </c>
      <c r="G23" s="246"/>
      <c r="H23" s="247"/>
      <c r="I23" s="5"/>
      <c r="J23" s="5"/>
      <c r="K23" s="5"/>
      <c r="L23" s="78"/>
      <c r="M23" s="76"/>
      <c r="N23" s="74"/>
      <c r="Q23" s="5"/>
      <c r="R23" s="5"/>
      <c r="S23" s="248">
        <f>Q21+R21+S21+T21+U21+V21+W21+X21</f>
        <v>18984.5</v>
      </c>
      <c r="T23" s="249"/>
      <c r="U23" s="250"/>
      <c r="V23" s="5"/>
      <c r="W23" s="5"/>
      <c r="X23" s="5"/>
    </row>
    <row r="24" spans="2:24" x14ac:dyDescent="0.25">
      <c r="D24" s="5"/>
      <c r="E24" s="5"/>
      <c r="F24" s="5"/>
      <c r="G24" s="5"/>
      <c r="H24" s="5"/>
      <c r="J24" s="5"/>
      <c r="K24" s="5"/>
      <c r="L24" s="78"/>
      <c r="M24" s="76"/>
      <c r="N24" s="74"/>
      <c r="Q24" s="5"/>
      <c r="R24" s="5"/>
      <c r="S24" s="5"/>
      <c r="T24" s="5"/>
      <c r="U24" s="5"/>
      <c r="V24" s="5"/>
      <c r="W24" s="5"/>
      <c r="X24" s="5"/>
    </row>
    <row r="25" spans="2:24" x14ac:dyDescent="0.25">
      <c r="D25" s="5"/>
      <c r="E25" s="5"/>
      <c r="F25" s="5"/>
      <c r="G25" s="5"/>
      <c r="H25" s="5"/>
      <c r="I25" s="5"/>
      <c r="J25" s="5"/>
      <c r="K25" s="5"/>
      <c r="L25" s="78"/>
      <c r="M25" s="76"/>
      <c r="N25" s="74"/>
    </row>
    <row r="26" spans="2:24" ht="15.75" thickBot="1" x14ac:dyDescent="0.3">
      <c r="D26" s="5"/>
      <c r="E26" s="5"/>
      <c r="F26" s="5"/>
      <c r="G26" s="5"/>
      <c r="H26" s="5"/>
      <c r="I26" s="5"/>
      <c r="J26" s="5"/>
      <c r="K26" s="5"/>
      <c r="L26" s="78"/>
      <c r="M26" s="79"/>
      <c r="N26" s="74"/>
    </row>
    <row r="34" spans="2:24" ht="15.75" thickBot="1" x14ac:dyDescent="0.3"/>
    <row r="35" spans="2:24" ht="22.5" thickTop="1" thickBot="1" x14ac:dyDescent="0.4">
      <c r="C35" s="238" t="s">
        <v>36</v>
      </c>
      <c r="D35" s="239"/>
      <c r="E35" s="239"/>
      <c r="F35" s="239"/>
      <c r="G35" s="239"/>
      <c r="H35" s="239"/>
      <c r="I35" s="239"/>
      <c r="J35" s="239"/>
      <c r="K35" s="239"/>
      <c r="L35" s="84" t="s">
        <v>66</v>
      </c>
      <c r="M35" s="83"/>
      <c r="N35" s="81"/>
      <c r="O35" s="251" t="s">
        <v>19</v>
      </c>
      <c r="P35" s="252"/>
      <c r="Q35" s="252"/>
      <c r="R35" s="252"/>
      <c r="S35" s="252"/>
      <c r="T35" s="252"/>
      <c r="U35" s="252"/>
      <c r="V35" s="252"/>
      <c r="W35" s="252"/>
      <c r="X35" s="85" t="s">
        <v>66</v>
      </c>
    </row>
    <row r="36" spans="2:24" ht="16.5" thickBot="1" x14ac:dyDescent="0.3">
      <c r="I36" s="242" t="s">
        <v>68</v>
      </c>
      <c r="J36" s="243"/>
      <c r="K36" s="244"/>
      <c r="L36" s="68"/>
      <c r="M36" s="59"/>
      <c r="N36" s="74"/>
      <c r="V36" s="242" t="s">
        <v>68</v>
      </c>
      <c r="W36" s="243"/>
      <c r="X36" s="244"/>
    </row>
    <row r="37" spans="2:24" ht="64.5" thickTop="1" thickBot="1" x14ac:dyDescent="0.3">
      <c r="B37" s="6" t="s">
        <v>0</v>
      </c>
      <c r="C37" s="24" t="s">
        <v>1</v>
      </c>
      <c r="D37" s="25" t="s">
        <v>2</v>
      </c>
      <c r="E37" s="26" t="s">
        <v>7</v>
      </c>
      <c r="F37" s="56" t="s">
        <v>38</v>
      </c>
      <c r="G37" s="25" t="s">
        <v>3</v>
      </c>
      <c r="H37" s="27" t="s">
        <v>22</v>
      </c>
      <c r="I37" s="60" t="s">
        <v>4</v>
      </c>
      <c r="J37" s="61" t="s">
        <v>8</v>
      </c>
      <c r="K37" s="62" t="s">
        <v>5</v>
      </c>
      <c r="L37" s="99" t="s">
        <v>46</v>
      </c>
      <c r="M37" s="38"/>
      <c r="N37" s="82"/>
      <c r="O37" s="36" t="s">
        <v>0</v>
      </c>
      <c r="P37" s="18" t="s">
        <v>1</v>
      </c>
      <c r="Q37" s="64" t="s">
        <v>2</v>
      </c>
      <c r="R37" s="19" t="s">
        <v>16</v>
      </c>
      <c r="S37" s="54" t="s">
        <v>38</v>
      </c>
      <c r="T37" s="14" t="s">
        <v>3</v>
      </c>
      <c r="U37" s="14" t="s">
        <v>4</v>
      </c>
      <c r="V37" s="55" t="s">
        <v>25</v>
      </c>
      <c r="W37" s="57" t="s">
        <v>8</v>
      </c>
      <c r="X37" s="58" t="s">
        <v>5</v>
      </c>
    </row>
    <row r="38" spans="2:24" ht="36.75" x14ac:dyDescent="0.25">
      <c r="B38" s="93" t="s">
        <v>69</v>
      </c>
      <c r="C38" s="107" t="s">
        <v>70</v>
      </c>
      <c r="D38" s="72">
        <f>121+213+135</f>
        <v>469</v>
      </c>
      <c r="E38" s="72"/>
      <c r="F38" s="72"/>
      <c r="G38" s="72"/>
      <c r="H38" s="72"/>
      <c r="I38" s="72"/>
      <c r="J38" s="72"/>
      <c r="K38" s="72"/>
      <c r="L38" s="70"/>
      <c r="M38" s="74"/>
      <c r="N38" s="74"/>
      <c r="O38" s="93" t="s">
        <v>69</v>
      </c>
      <c r="P38" s="86" t="s">
        <v>84</v>
      </c>
      <c r="Q38" s="72"/>
      <c r="R38" s="72"/>
      <c r="S38" s="72"/>
      <c r="T38" s="72"/>
      <c r="U38" s="72"/>
      <c r="V38" s="72"/>
      <c r="W38" s="72"/>
      <c r="X38" s="72">
        <f>69+2445+1943+325+1621</f>
        <v>6403</v>
      </c>
    </row>
    <row r="39" spans="2:24" ht="36" x14ac:dyDescent="0.25">
      <c r="B39" s="93" t="s">
        <v>69</v>
      </c>
      <c r="C39" s="44" t="s">
        <v>79</v>
      </c>
      <c r="D39" s="67"/>
      <c r="E39" s="67"/>
      <c r="F39" s="67"/>
      <c r="G39" s="67"/>
      <c r="H39" s="67"/>
      <c r="I39" s="67"/>
      <c r="J39" s="67"/>
      <c r="K39" s="67">
        <f>1031+1026+1603+547+2029</f>
        <v>6236</v>
      </c>
      <c r="L39" s="67"/>
      <c r="M39" s="74"/>
      <c r="N39" s="74"/>
      <c r="O39" s="93" t="s">
        <v>69</v>
      </c>
      <c r="P39" s="89" t="s">
        <v>86</v>
      </c>
      <c r="Q39" s="72"/>
      <c r="R39" s="72"/>
      <c r="S39" s="72"/>
      <c r="T39" s="72"/>
      <c r="U39" s="72"/>
      <c r="V39" s="72"/>
      <c r="W39" s="72">
        <f>1500+380</f>
        <v>1880</v>
      </c>
      <c r="X39" s="67"/>
    </row>
    <row r="40" spans="2:24" ht="30" x14ac:dyDescent="0.25">
      <c r="B40" s="93" t="s">
        <v>69</v>
      </c>
      <c r="C40" s="43" t="s">
        <v>76</v>
      </c>
      <c r="D40" s="67"/>
      <c r="E40" s="67">
        <v>188</v>
      </c>
      <c r="F40" s="67"/>
      <c r="G40" s="67"/>
      <c r="H40" s="67"/>
      <c r="I40" s="67"/>
      <c r="J40" s="67"/>
      <c r="K40" s="67"/>
      <c r="L40" s="11"/>
      <c r="M40" s="74"/>
      <c r="N40" s="74"/>
      <c r="O40" s="93" t="s">
        <v>69</v>
      </c>
      <c r="P40" s="87" t="s">
        <v>81</v>
      </c>
      <c r="Q40" s="72">
        <f>78+342+635</f>
        <v>1055</v>
      </c>
      <c r="R40" s="72"/>
      <c r="S40" s="72"/>
      <c r="T40" s="72"/>
      <c r="U40" s="72"/>
      <c r="V40" s="72"/>
      <c r="W40" s="72"/>
      <c r="X40" s="67"/>
    </row>
    <row r="41" spans="2:24" ht="30" customHeight="1" x14ac:dyDescent="0.25">
      <c r="B41" s="93" t="s">
        <v>69</v>
      </c>
      <c r="C41" s="96" t="s">
        <v>74</v>
      </c>
      <c r="D41" s="67"/>
      <c r="E41" s="67"/>
      <c r="F41" s="67"/>
      <c r="G41" s="67"/>
      <c r="H41" s="67"/>
      <c r="I41" s="67">
        <v>829</v>
      </c>
      <c r="J41" s="67"/>
      <c r="K41" s="67"/>
      <c r="L41" s="11"/>
      <c r="M41" s="74"/>
      <c r="N41" s="74"/>
      <c r="O41" s="93" t="s">
        <v>69</v>
      </c>
      <c r="P41" s="88" t="s">
        <v>12</v>
      </c>
      <c r="Q41" s="72"/>
      <c r="R41" s="72"/>
      <c r="S41" s="72"/>
      <c r="T41" s="72"/>
      <c r="U41" s="72">
        <v>400</v>
      </c>
      <c r="V41" s="72"/>
      <c r="W41" s="72"/>
      <c r="X41" s="67"/>
    </row>
    <row r="42" spans="2:24" ht="24.75" x14ac:dyDescent="0.25">
      <c r="B42" s="93" t="s">
        <v>69</v>
      </c>
      <c r="C42" s="44" t="s">
        <v>72</v>
      </c>
      <c r="D42" s="67"/>
      <c r="E42" s="67"/>
      <c r="F42" s="67">
        <v>95</v>
      </c>
      <c r="G42" s="67"/>
      <c r="H42" s="67"/>
      <c r="I42" s="67"/>
      <c r="J42" s="67"/>
      <c r="K42" s="67"/>
      <c r="L42" s="11"/>
      <c r="M42" s="74"/>
      <c r="N42" s="74"/>
      <c r="O42" s="93" t="s">
        <v>69</v>
      </c>
      <c r="P42" s="89" t="s">
        <v>80</v>
      </c>
      <c r="Q42" s="72"/>
      <c r="R42" s="72">
        <v>776</v>
      </c>
      <c r="S42" s="72"/>
      <c r="T42" s="72"/>
      <c r="U42" s="72"/>
      <c r="V42" s="72"/>
      <c r="W42" s="72"/>
      <c r="X42" s="67"/>
    </row>
    <row r="43" spans="2:24" x14ac:dyDescent="0.25">
      <c r="B43" s="93" t="s">
        <v>69</v>
      </c>
      <c r="C43" s="44" t="s">
        <v>73</v>
      </c>
      <c r="D43" s="67"/>
      <c r="E43" s="67"/>
      <c r="F43" s="67"/>
      <c r="G43" s="67"/>
      <c r="H43" s="67"/>
      <c r="I43" s="67"/>
      <c r="J43" s="67">
        <v>624</v>
      </c>
      <c r="K43" s="67"/>
      <c r="L43" s="11"/>
      <c r="M43" s="74"/>
      <c r="N43" s="74"/>
      <c r="O43" s="93" t="s">
        <v>69</v>
      </c>
      <c r="P43" s="89" t="s">
        <v>82</v>
      </c>
      <c r="Q43" s="72"/>
      <c r="R43" s="72"/>
      <c r="S43" s="72"/>
      <c r="T43" s="72">
        <v>40</v>
      </c>
      <c r="U43" s="72"/>
      <c r="V43" s="72"/>
      <c r="W43" s="72"/>
      <c r="X43" s="67"/>
    </row>
    <row r="44" spans="2:24" ht="60.75" x14ac:dyDescent="0.25">
      <c r="B44" s="93" t="s">
        <v>69</v>
      </c>
      <c r="C44" s="44" t="s">
        <v>78</v>
      </c>
      <c r="D44" s="67"/>
      <c r="E44" s="67"/>
      <c r="F44" s="67"/>
      <c r="G44" s="67"/>
      <c r="H44" s="67"/>
      <c r="I44" s="67"/>
      <c r="J44" s="94">
        <f>413+68+84</f>
        <v>565</v>
      </c>
      <c r="K44" s="67"/>
      <c r="L44" s="11"/>
      <c r="M44" s="74"/>
      <c r="N44" s="74"/>
      <c r="O44" s="93" t="s">
        <v>69</v>
      </c>
      <c r="P44" s="89" t="s">
        <v>83</v>
      </c>
      <c r="Q44" s="72"/>
      <c r="R44" s="72"/>
      <c r="S44" s="72">
        <f>20+90+375+2010+280+252</f>
        <v>3027</v>
      </c>
      <c r="T44" s="72"/>
      <c r="U44" s="72"/>
      <c r="V44" s="72"/>
      <c r="W44" s="72"/>
      <c r="X44" s="67"/>
    </row>
    <row r="45" spans="2:24" ht="33" customHeight="1" x14ac:dyDescent="0.25">
      <c r="B45" s="93" t="s">
        <v>69</v>
      </c>
      <c r="C45" s="42" t="s">
        <v>75</v>
      </c>
      <c r="D45" s="67"/>
      <c r="E45" s="67"/>
      <c r="F45" s="67"/>
      <c r="G45" s="67"/>
      <c r="H45" s="67"/>
      <c r="I45" s="67"/>
      <c r="J45" s="67">
        <f>116+35.5</f>
        <v>151.5</v>
      </c>
      <c r="K45" s="67"/>
      <c r="L45" s="11"/>
      <c r="M45" s="74"/>
      <c r="N45" s="74"/>
      <c r="O45" s="93" t="s">
        <v>69</v>
      </c>
      <c r="P45" s="90" t="s">
        <v>87</v>
      </c>
      <c r="Q45" s="72"/>
      <c r="R45" s="72">
        <v>400</v>
      </c>
      <c r="S45" s="72"/>
      <c r="T45" s="72"/>
      <c r="U45" s="72"/>
      <c r="V45" s="72"/>
      <c r="W45" s="72"/>
      <c r="X45" s="67"/>
    </row>
    <row r="46" spans="2:24" ht="48" x14ac:dyDescent="0.25">
      <c r="B46" s="93" t="s">
        <v>69</v>
      </c>
      <c r="C46" s="44" t="s">
        <v>71</v>
      </c>
      <c r="D46" s="67"/>
      <c r="E46" s="67"/>
      <c r="F46" s="67">
        <f>1489+350+300+25</f>
        <v>2164</v>
      </c>
      <c r="G46" s="67"/>
      <c r="H46" s="67"/>
      <c r="I46" s="67"/>
      <c r="J46" s="67"/>
      <c r="K46" s="67"/>
      <c r="L46" s="11"/>
      <c r="M46" s="74"/>
      <c r="N46" s="74"/>
      <c r="O46" s="93" t="s">
        <v>69</v>
      </c>
      <c r="P46" s="98" t="s">
        <v>85</v>
      </c>
      <c r="Q46" s="72"/>
      <c r="R46" s="72"/>
      <c r="S46" s="72"/>
      <c r="T46" s="72"/>
      <c r="U46" s="72"/>
      <c r="V46" s="72">
        <f>700+700+700+2224</f>
        <v>4324</v>
      </c>
      <c r="W46" s="72"/>
      <c r="X46" s="67"/>
    </row>
    <row r="47" spans="2:24" ht="18.75" customHeight="1" thickBot="1" x14ac:dyDescent="0.3">
      <c r="B47" s="93" t="s">
        <v>69</v>
      </c>
      <c r="C47" s="42" t="s">
        <v>11</v>
      </c>
      <c r="D47" s="67"/>
      <c r="E47" s="67"/>
      <c r="F47" s="67"/>
      <c r="G47" s="67"/>
      <c r="H47" s="67">
        <f>380+380+470</f>
        <v>1230</v>
      </c>
      <c r="I47" s="67"/>
      <c r="J47" s="67"/>
      <c r="K47" s="67"/>
      <c r="L47" s="11"/>
      <c r="M47" s="74"/>
      <c r="N47" s="74"/>
      <c r="O47" s="93" t="s">
        <v>69</v>
      </c>
      <c r="P47" s="88" t="s">
        <v>34</v>
      </c>
      <c r="Q47" s="72"/>
      <c r="R47" s="72"/>
      <c r="S47" s="72"/>
      <c r="T47" s="72"/>
      <c r="U47" s="72"/>
      <c r="V47" s="72">
        <f>170+136+238+204+170+360</f>
        <v>1278</v>
      </c>
      <c r="W47" s="72"/>
      <c r="X47" s="67"/>
    </row>
    <row r="48" spans="2:24" ht="18.75" customHeight="1" x14ac:dyDescent="0.25">
      <c r="B48" s="93" t="s">
        <v>69</v>
      </c>
      <c r="C48" s="95" t="s">
        <v>46</v>
      </c>
      <c r="D48" s="67"/>
      <c r="E48" s="67"/>
      <c r="F48" s="67"/>
      <c r="G48" s="67"/>
      <c r="H48" s="67"/>
      <c r="I48" s="67"/>
      <c r="J48" s="67"/>
      <c r="K48" s="67"/>
      <c r="L48" s="11">
        <v>500</v>
      </c>
      <c r="M48" s="74"/>
      <c r="N48" s="74"/>
      <c r="O48" s="97"/>
      <c r="P48" s="88"/>
      <c r="Q48" s="72"/>
      <c r="R48" s="72"/>
      <c r="S48" s="72"/>
      <c r="T48" s="72"/>
      <c r="U48" s="72"/>
      <c r="V48" s="72"/>
      <c r="W48" s="72"/>
      <c r="X48" s="67"/>
    </row>
    <row r="49" spans="2:24" ht="18.75" customHeight="1" x14ac:dyDescent="0.25">
      <c r="B49" s="108" t="s">
        <v>69</v>
      </c>
      <c r="C49" s="10" t="s">
        <v>77</v>
      </c>
      <c r="D49" s="67"/>
      <c r="E49" s="67"/>
      <c r="F49" s="67"/>
      <c r="G49" s="67"/>
      <c r="H49" s="67">
        <f>102+68+102+204+85+90</f>
        <v>651</v>
      </c>
      <c r="I49" s="67"/>
      <c r="J49" s="67"/>
      <c r="K49" s="67"/>
      <c r="L49" s="11"/>
      <c r="M49" s="74"/>
      <c r="N49" s="74"/>
      <c r="O49" s="92"/>
      <c r="P49" s="91"/>
      <c r="Q49" s="67"/>
      <c r="R49" s="67"/>
      <c r="S49" s="67"/>
      <c r="T49" s="67"/>
      <c r="U49" s="67"/>
      <c r="V49" s="67"/>
      <c r="W49" s="67"/>
      <c r="X49" s="67"/>
    </row>
    <row r="50" spans="2:24" x14ac:dyDescent="0.25">
      <c r="B50" s="9"/>
      <c r="C50" s="10"/>
      <c r="D50" s="67">
        <v>0</v>
      </c>
      <c r="E50" s="67"/>
      <c r="F50" s="67"/>
      <c r="G50" s="67"/>
      <c r="H50" s="67"/>
      <c r="I50" s="67"/>
      <c r="J50" s="67"/>
      <c r="K50" s="67"/>
      <c r="L50" s="11"/>
      <c r="M50" s="74"/>
      <c r="N50" s="74"/>
      <c r="O50" s="92"/>
      <c r="P50" s="91"/>
      <c r="Q50" s="67"/>
      <c r="R50" s="67"/>
      <c r="S50" s="67"/>
      <c r="T50" s="67"/>
      <c r="U50" s="67"/>
      <c r="V50" s="67"/>
      <c r="W50" s="67"/>
      <c r="X50" s="67"/>
    </row>
    <row r="51" spans="2:24" ht="15.75" thickBot="1" x14ac:dyDescent="0.3">
      <c r="B51" s="9"/>
      <c r="C51" s="34"/>
      <c r="D51" s="73">
        <v>0</v>
      </c>
      <c r="E51" s="73"/>
      <c r="F51" s="73"/>
      <c r="G51" s="73"/>
      <c r="H51" s="73"/>
      <c r="I51" s="73"/>
      <c r="J51" s="73"/>
      <c r="K51" s="73"/>
      <c r="L51" s="20"/>
      <c r="M51" s="74"/>
      <c r="N51" s="74"/>
      <c r="O51" s="46"/>
      <c r="P51" s="51"/>
      <c r="Q51" s="73">
        <v>0</v>
      </c>
      <c r="R51" s="73"/>
      <c r="S51" s="73"/>
      <c r="T51" s="73"/>
      <c r="U51" s="73"/>
      <c r="V51" s="73"/>
      <c r="W51" s="73"/>
      <c r="X51" s="73"/>
    </row>
    <row r="52" spans="2:24" ht="24" thickBot="1" x14ac:dyDescent="0.3">
      <c r="C52" s="35" t="s">
        <v>18</v>
      </c>
      <c r="D52" s="30">
        <f t="shared" ref="D52:L52" si="17">SUM(D38:D51)</f>
        <v>469</v>
      </c>
      <c r="E52" s="31">
        <f t="shared" si="17"/>
        <v>188</v>
      </c>
      <c r="F52" s="31">
        <f t="shared" si="17"/>
        <v>2259</v>
      </c>
      <c r="G52" s="31">
        <f t="shared" si="17"/>
        <v>0</v>
      </c>
      <c r="H52" s="31">
        <f t="shared" si="17"/>
        <v>1881</v>
      </c>
      <c r="I52" s="31">
        <f t="shared" si="17"/>
        <v>829</v>
      </c>
      <c r="J52" s="22">
        <f t="shared" si="17"/>
        <v>1340.5</v>
      </c>
      <c r="K52" s="32">
        <f t="shared" si="17"/>
        <v>6236</v>
      </c>
      <c r="L52" s="100">
        <f t="shared" si="17"/>
        <v>500</v>
      </c>
      <c r="M52" s="75"/>
      <c r="N52" s="74"/>
      <c r="P52" s="33" t="s">
        <v>18</v>
      </c>
      <c r="Q52" s="21">
        <f t="shared" ref="Q52:X52" si="18">SUM(Q38:Q51)</f>
        <v>1055</v>
      </c>
      <c r="R52" s="21">
        <f t="shared" si="18"/>
        <v>1176</v>
      </c>
      <c r="S52" s="21">
        <f t="shared" si="18"/>
        <v>3027</v>
      </c>
      <c r="T52" s="21">
        <f t="shared" si="18"/>
        <v>40</v>
      </c>
      <c r="U52" s="21">
        <f t="shared" si="18"/>
        <v>400</v>
      </c>
      <c r="V52" s="21">
        <f t="shared" si="18"/>
        <v>5602</v>
      </c>
      <c r="W52" s="21">
        <f t="shared" si="18"/>
        <v>1880</v>
      </c>
      <c r="X52" s="21">
        <f t="shared" si="18"/>
        <v>6403</v>
      </c>
    </row>
    <row r="53" spans="2:24" ht="15.75" thickBot="1" x14ac:dyDescent="0.3">
      <c r="D53" s="5"/>
      <c r="E53" s="5"/>
      <c r="F53" s="5"/>
      <c r="G53" s="5"/>
      <c r="H53" s="5"/>
      <c r="I53" s="5"/>
      <c r="J53" s="5"/>
      <c r="K53" s="5"/>
      <c r="L53" s="78"/>
      <c r="M53" s="76"/>
      <c r="N53" s="74"/>
      <c r="Q53" s="5"/>
      <c r="R53" s="5"/>
      <c r="S53" s="5"/>
      <c r="T53" s="5"/>
      <c r="U53" s="5"/>
      <c r="V53" s="5"/>
      <c r="W53" s="5"/>
      <c r="X53" s="5"/>
    </row>
    <row r="54" spans="2:24" ht="21.75" thickBot="1" x14ac:dyDescent="0.4">
      <c r="D54" s="5"/>
      <c r="E54" s="5"/>
      <c r="F54" s="245">
        <f>K52+J52+I52+H52+G52+F52+E52+D52+L52</f>
        <v>13702.5</v>
      </c>
      <c r="G54" s="246"/>
      <c r="H54" s="247"/>
      <c r="I54" s="5"/>
      <c r="J54" s="5"/>
      <c r="K54" s="5"/>
      <c r="L54" s="78"/>
      <c r="M54" s="76"/>
      <c r="N54" s="74"/>
      <c r="Q54" s="5"/>
      <c r="R54" s="5"/>
      <c r="S54" s="248">
        <f>Q52+R52+S52+T52+U52+V52+W52+X52</f>
        <v>19583</v>
      </c>
      <c r="T54" s="249"/>
      <c r="U54" s="250"/>
      <c r="V54" s="5">
        <v>19583</v>
      </c>
      <c r="W54" s="5"/>
      <c r="X54" s="5"/>
    </row>
    <row r="55" spans="2:24" x14ac:dyDescent="0.25">
      <c r="D55" s="5"/>
      <c r="E55" s="5"/>
      <c r="F55" s="5"/>
      <c r="G55" s="5"/>
      <c r="H55" s="5"/>
      <c r="J55" s="5"/>
      <c r="K55" s="5"/>
      <c r="L55" s="78"/>
      <c r="M55" s="76"/>
      <c r="N55" s="74"/>
      <c r="Q55" s="5"/>
      <c r="R55" s="5"/>
      <c r="S55" s="5"/>
      <c r="T55" s="5"/>
      <c r="U55" s="5"/>
      <c r="V55" s="5"/>
      <c r="W55" s="5"/>
      <c r="X55" s="5"/>
    </row>
    <row r="56" spans="2:24" x14ac:dyDescent="0.25">
      <c r="D56" s="5"/>
      <c r="E56" s="5"/>
      <c r="F56" s="5"/>
      <c r="G56" s="5"/>
      <c r="H56" s="5"/>
      <c r="I56" s="5"/>
      <c r="J56" s="5"/>
      <c r="K56" s="5"/>
      <c r="L56" s="78"/>
      <c r="M56" s="76"/>
      <c r="N56" s="74"/>
    </row>
    <row r="57" spans="2:24" ht="15.75" thickBot="1" x14ac:dyDescent="0.3">
      <c r="D57" s="5"/>
      <c r="E57" s="5"/>
      <c r="F57" s="5"/>
      <c r="G57" s="5"/>
      <c r="H57" s="5"/>
      <c r="I57" s="5"/>
      <c r="J57" s="5"/>
      <c r="K57" s="5"/>
      <c r="L57" s="78"/>
      <c r="M57" s="79"/>
      <c r="N57" s="74"/>
    </row>
    <row r="67" spans="2:24" ht="15.75" thickBot="1" x14ac:dyDescent="0.3"/>
    <row r="68" spans="2:24" ht="22.5" thickTop="1" thickBot="1" x14ac:dyDescent="0.4">
      <c r="C68" s="238" t="s">
        <v>36</v>
      </c>
      <c r="D68" s="239"/>
      <c r="E68" s="239"/>
      <c r="F68" s="239"/>
      <c r="G68" s="239"/>
      <c r="H68" s="239"/>
      <c r="I68" s="239"/>
      <c r="J68" s="239"/>
      <c r="K68" s="239"/>
      <c r="L68" s="84" t="s">
        <v>42</v>
      </c>
      <c r="M68" s="83"/>
      <c r="N68" s="81"/>
      <c r="O68" s="251" t="s">
        <v>19</v>
      </c>
      <c r="P68" s="252"/>
      <c r="Q68" s="252"/>
      <c r="R68" s="252"/>
      <c r="S68" s="252"/>
      <c r="T68" s="252"/>
      <c r="U68" s="252"/>
      <c r="V68" s="252"/>
      <c r="W68" s="252"/>
      <c r="X68" s="85" t="s">
        <v>42</v>
      </c>
    </row>
    <row r="69" spans="2:24" ht="16.5" thickBot="1" x14ac:dyDescent="0.3">
      <c r="I69" s="242" t="s">
        <v>67</v>
      </c>
      <c r="J69" s="243"/>
      <c r="K69" s="244"/>
      <c r="L69" s="68"/>
      <c r="M69" s="59"/>
      <c r="N69" s="74"/>
      <c r="W69" s="243"/>
      <c r="X69" s="244"/>
    </row>
    <row r="70" spans="2:24" ht="64.5" thickTop="1" thickBot="1" x14ac:dyDescent="0.3">
      <c r="B70" s="6" t="s">
        <v>0</v>
      </c>
      <c r="C70" s="24" t="s">
        <v>1</v>
      </c>
      <c r="D70" s="25" t="s">
        <v>2</v>
      </c>
      <c r="E70" s="26" t="s">
        <v>7</v>
      </c>
      <c r="F70" s="56" t="s">
        <v>38</v>
      </c>
      <c r="G70" s="25" t="s">
        <v>3</v>
      </c>
      <c r="H70" s="27" t="s">
        <v>22</v>
      </c>
      <c r="I70" s="60" t="s">
        <v>4</v>
      </c>
      <c r="J70" s="61" t="s">
        <v>8</v>
      </c>
      <c r="K70" s="62" t="s">
        <v>5</v>
      </c>
      <c r="L70" s="99" t="s">
        <v>46</v>
      </c>
      <c r="M70" s="38"/>
      <c r="N70" s="82"/>
      <c r="O70" s="36" t="s">
        <v>0</v>
      </c>
      <c r="P70" s="18" t="s">
        <v>1</v>
      </c>
      <c r="Q70" s="64" t="s">
        <v>2</v>
      </c>
      <c r="R70" s="19" t="s">
        <v>16</v>
      </c>
      <c r="S70" s="54" t="s">
        <v>38</v>
      </c>
      <c r="T70" s="14" t="s">
        <v>3</v>
      </c>
      <c r="U70" s="14" t="s">
        <v>4</v>
      </c>
      <c r="V70" s="55" t="s">
        <v>25</v>
      </c>
      <c r="W70" s="57" t="s">
        <v>8</v>
      </c>
      <c r="X70" s="58" t="s">
        <v>5</v>
      </c>
    </row>
    <row r="71" spans="2:24" ht="37.5" thickBot="1" x14ac:dyDescent="0.3">
      <c r="B71" s="93" t="s">
        <v>43</v>
      </c>
      <c r="C71" s="41" t="s">
        <v>6</v>
      </c>
      <c r="D71" s="72">
        <f>170</f>
        <v>170</v>
      </c>
      <c r="E71" s="72"/>
      <c r="F71" s="72"/>
      <c r="G71" s="72"/>
      <c r="H71" s="72"/>
      <c r="I71" s="72"/>
      <c r="J71" s="72"/>
      <c r="K71" s="72"/>
      <c r="L71" s="70"/>
      <c r="M71" s="74"/>
      <c r="N71" s="74"/>
      <c r="O71" s="97" t="s">
        <v>43</v>
      </c>
      <c r="P71" s="86" t="s">
        <v>63</v>
      </c>
      <c r="Q71" s="72"/>
      <c r="R71" s="72"/>
      <c r="S71" s="72"/>
      <c r="T71" s="72"/>
      <c r="U71" s="72"/>
      <c r="V71" s="72"/>
      <c r="W71" s="72"/>
      <c r="X71" s="72">
        <f>725+922+1369+794+1333</f>
        <v>5143</v>
      </c>
    </row>
    <row r="72" spans="2:24" ht="61.5" thickBot="1" x14ac:dyDescent="0.3">
      <c r="B72" s="93" t="s">
        <v>43</v>
      </c>
      <c r="C72" s="44" t="s">
        <v>59</v>
      </c>
      <c r="D72" s="67"/>
      <c r="E72" s="67"/>
      <c r="F72" s="67"/>
      <c r="G72" s="67"/>
      <c r="H72" s="67"/>
      <c r="I72" s="67"/>
      <c r="J72" s="67"/>
      <c r="K72" s="67">
        <f>636+788+1081+941+1337</f>
        <v>4783</v>
      </c>
      <c r="L72" s="67"/>
      <c r="M72" s="74"/>
      <c r="N72" s="74"/>
      <c r="O72" s="97" t="s">
        <v>43</v>
      </c>
      <c r="P72" s="89" t="s">
        <v>64</v>
      </c>
      <c r="Q72" s="72"/>
      <c r="R72" s="72"/>
      <c r="S72" s="72"/>
      <c r="T72" s="72"/>
      <c r="U72" s="72"/>
      <c r="V72" s="72"/>
      <c r="W72" s="72">
        <f>1900+239+144+218+805+355+251.5+250+287</f>
        <v>4449.5</v>
      </c>
      <c r="X72" s="67"/>
    </row>
    <row r="73" spans="2:24" ht="30.75" thickBot="1" x14ac:dyDescent="0.3">
      <c r="B73" s="93" t="s">
        <v>43</v>
      </c>
      <c r="C73" s="43" t="s">
        <v>56</v>
      </c>
      <c r="D73" s="67"/>
      <c r="E73" s="67"/>
      <c r="F73" s="67"/>
      <c r="G73" s="67"/>
      <c r="H73" s="67">
        <f>51+68+68+140+84+90+68</f>
        <v>569</v>
      </c>
      <c r="I73" s="67"/>
      <c r="J73" s="67"/>
      <c r="K73" s="67"/>
      <c r="L73" s="11"/>
      <c r="M73" s="74"/>
      <c r="N73" s="74"/>
      <c r="O73" s="97" t="s">
        <v>43</v>
      </c>
      <c r="P73" s="87" t="s">
        <v>48</v>
      </c>
      <c r="Q73" s="72">
        <f>117+540+250</f>
        <v>907</v>
      </c>
      <c r="R73" s="72"/>
      <c r="S73" s="72"/>
      <c r="T73" s="72"/>
      <c r="U73" s="72"/>
      <c r="V73" s="72"/>
      <c r="W73" s="72"/>
      <c r="X73" s="67"/>
    </row>
    <row r="74" spans="2:24" ht="26.25" thickBot="1" x14ac:dyDescent="0.3">
      <c r="B74" s="93" t="s">
        <v>43</v>
      </c>
      <c r="C74" s="96" t="s">
        <v>45</v>
      </c>
      <c r="D74" s="67"/>
      <c r="E74" s="67">
        <v>369</v>
      </c>
      <c r="F74" s="67"/>
      <c r="G74" s="67"/>
      <c r="H74" s="67"/>
      <c r="I74" s="67">
        <f>403</f>
        <v>403</v>
      </c>
      <c r="J74" s="67"/>
      <c r="K74" s="67"/>
      <c r="L74" s="11"/>
      <c r="M74" s="74"/>
      <c r="N74" s="74"/>
      <c r="O74" s="97" t="s">
        <v>43</v>
      </c>
      <c r="P74" s="88" t="s">
        <v>12</v>
      </c>
      <c r="Q74" s="72"/>
      <c r="R74" s="72"/>
      <c r="S74" s="72"/>
      <c r="T74" s="72"/>
      <c r="U74" s="72">
        <v>403</v>
      </c>
      <c r="V74" s="72"/>
      <c r="W74" s="72"/>
      <c r="X74" s="67"/>
    </row>
    <row r="75" spans="2:24" ht="25.5" thickBot="1" x14ac:dyDescent="0.3">
      <c r="B75" s="93" t="s">
        <v>43</v>
      </c>
      <c r="C75" s="43" t="s">
        <v>27</v>
      </c>
      <c r="D75" s="67"/>
      <c r="E75" s="67"/>
      <c r="F75" s="67"/>
      <c r="G75" s="67"/>
      <c r="H75" s="67"/>
      <c r="I75" s="67"/>
      <c r="J75" s="67"/>
      <c r="K75" s="67"/>
      <c r="L75" s="11"/>
      <c r="M75" s="74"/>
      <c r="N75" s="74"/>
      <c r="O75" s="97" t="s">
        <v>43</v>
      </c>
      <c r="P75" s="89" t="s">
        <v>62</v>
      </c>
      <c r="Q75" s="72"/>
      <c r="R75" s="72">
        <f>38+42+9</f>
        <v>89</v>
      </c>
      <c r="S75" s="72"/>
      <c r="T75" s="72"/>
      <c r="U75" s="72"/>
      <c r="V75" s="72"/>
      <c r="W75" s="72"/>
      <c r="X75" s="67"/>
    </row>
    <row r="76" spans="2:24" ht="36.75" thickBot="1" x14ac:dyDescent="0.3">
      <c r="B76" s="93" t="s">
        <v>43</v>
      </c>
      <c r="C76" s="44" t="s">
        <v>31</v>
      </c>
      <c r="D76" s="67"/>
      <c r="E76" s="67"/>
      <c r="F76" s="67"/>
      <c r="G76" s="67"/>
      <c r="H76" s="67"/>
      <c r="I76" s="67"/>
      <c r="J76" s="67"/>
      <c r="K76" s="67"/>
      <c r="L76" s="11"/>
      <c r="M76" s="74"/>
      <c r="N76" s="74"/>
      <c r="O76" s="97" t="s">
        <v>43</v>
      </c>
      <c r="P76" s="89" t="s">
        <v>47</v>
      </c>
      <c r="Q76" s="72"/>
      <c r="R76" s="72"/>
      <c r="S76" s="72"/>
      <c r="T76" s="72">
        <v>58</v>
      </c>
      <c r="U76" s="72"/>
      <c r="V76" s="72"/>
      <c r="W76" s="72"/>
      <c r="X76" s="67"/>
    </row>
    <row r="77" spans="2:24" ht="49.5" thickBot="1" x14ac:dyDescent="0.3">
      <c r="B77" s="93" t="s">
        <v>43</v>
      </c>
      <c r="C77" s="44" t="s">
        <v>58</v>
      </c>
      <c r="D77" s="67"/>
      <c r="E77" s="67"/>
      <c r="F77" s="67"/>
      <c r="G77" s="67"/>
      <c r="H77" s="67"/>
      <c r="I77" s="67"/>
      <c r="J77" s="94">
        <f>1511+444+20+287+262.5</f>
        <v>2524.5</v>
      </c>
      <c r="K77" s="67"/>
      <c r="L77" s="11"/>
      <c r="M77" s="74"/>
      <c r="N77" s="74"/>
      <c r="O77" s="97" t="s">
        <v>43</v>
      </c>
      <c r="P77" s="89" t="s">
        <v>65</v>
      </c>
      <c r="Q77" s="72"/>
      <c r="R77" s="72"/>
      <c r="S77" s="72">
        <f>50+45+14+2300+35</f>
        <v>2444</v>
      </c>
      <c r="T77" s="72"/>
      <c r="U77" s="72"/>
      <c r="V77" s="72"/>
      <c r="W77" s="72"/>
      <c r="X77" s="67"/>
    </row>
    <row r="78" spans="2:24" ht="27" thickBot="1" x14ac:dyDescent="0.3">
      <c r="B78" s="93" t="s">
        <v>43</v>
      </c>
      <c r="C78" s="42" t="s">
        <v>44</v>
      </c>
      <c r="D78" s="67"/>
      <c r="E78" s="67"/>
      <c r="F78" s="67"/>
      <c r="G78" s="67"/>
      <c r="H78" s="67"/>
      <c r="I78" s="67"/>
      <c r="J78" s="67">
        <f>127</f>
        <v>127</v>
      </c>
      <c r="K78" s="67"/>
      <c r="L78" s="11"/>
      <c r="M78" s="74"/>
      <c r="N78" s="74"/>
      <c r="O78" s="97" t="s">
        <v>43</v>
      </c>
      <c r="P78" s="90" t="s">
        <v>15</v>
      </c>
      <c r="Q78" s="72"/>
      <c r="R78" s="72"/>
      <c r="S78" s="72"/>
      <c r="T78" s="72"/>
      <c r="U78" s="72"/>
      <c r="V78" s="72"/>
      <c r="W78" s="72"/>
      <c r="X78" s="67"/>
    </row>
    <row r="79" spans="2:24" ht="48.75" thickBot="1" x14ac:dyDescent="0.3">
      <c r="B79" s="93" t="s">
        <v>43</v>
      </c>
      <c r="C79" s="44" t="s">
        <v>57</v>
      </c>
      <c r="D79" s="67"/>
      <c r="E79" s="67"/>
      <c r="F79" s="67">
        <f>40+70+2070+30+54</f>
        <v>2264</v>
      </c>
      <c r="G79" s="67"/>
      <c r="H79" s="67"/>
      <c r="I79" s="67"/>
      <c r="J79" s="67"/>
      <c r="K79" s="67"/>
      <c r="L79" s="11"/>
      <c r="M79" s="74"/>
      <c r="N79" s="74"/>
      <c r="O79" s="97" t="s">
        <v>43</v>
      </c>
      <c r="P79" s="98" t="s">
        <v>49</v>
      </c>
      <c r="Q79" s="72"/>
      <c r="R79" s="72"/>
      <c r="S79" s="72"/>
      <c r="T79" s="72"/>
      <c r="U79" s="72"/>
      <c r="V79" s="72">
        <f>700+700+710+2258+140</f>
        <v>4508</v>
      </c>
      <c r="W79" s="72"/>
      <c r="X79" s="67"/>
    </row>
    <row r="80" spans="2:24" ht="24.75" thickBot="1" x14ac:dyDescent="0.3">
      <c r="B80" s="93" t="s">
        <v>43</v>
      </c>
      <c r="C80" s="42" t="s">
        <v>11</v>
      </c>
      <c r="D80" s="67"/>
      <c r="E80" s="67"/>
      <c r="F80" s="67"/>
      <c r="G80" s="67"/>
      <c r="H80" s="67">
        <f>380+380+470</f>
        <v>1230</v>
      </c>
      <c r="I80" s="67"/>
      <c r="J80" s="67"/>
      <c r="K80" s="67"/>
      <c r="L80" s="11"/>
      <c r="M80" s="74"/>
      <c r="N80" s="74"/>
      <c r="O80" s="97" t="s">
        <v>43</v>
      </c>
      <c r="P80" s="88" t="s">
        <v>34</v>
      </c>
      <c r="Q80" s="72"/>
      <c r="R80" s="72"/>
      <c r="S80" s="72"/>
      <c r="T80" s="72"/>
      <c r="U80" s="72"/>
      <c r="V80" s="72">
        <f>68+170+170+170+280+221</f>
        <v>1079</v>
      </c>
      <c r="W80" s="72"/>
      <c r="X80" s="67"/>
    </row>
    <row r="81" spans="2:24" ht="24" x14ac:dyDescent="0.25">
      <c r="B81" s="93" t="s">
        <v>43</v>
      </c>
      <c r="C81" s="95" t="s">
        <v>46</v>
      </c>
      <c r="D81" s="67"/>
      <c r="E81" s="67"/>
      <c r="F81" s="67"/>
      <c r="G81" s="67"/>
      <c r="H81" s="67"/>
      <c r="I81" s="67"/>
      <c r="J81" s="67"/>
      <c r="K81" s="67"/>
      <c r="L81" s="11">
        <f>765+243</f>
        <v>1008</v>
      </c>
      <c r="M81" s="74"/>
      <c r="N81" s="74"/>
      <c r="O81" s="97" t="s">
        <v>43</v>
      </c>
      <c r="P81" s="88"/>
      <c r="Q81" s="72"/>
      <c r="R81" s="72"/>
      <c r="S81" s="72"/>
      <c r="T81" s="72"/>
      <c r="U81" s="72"/>
      <c r="V81" s="72"/>
      <c r="W81" s="72"/>
      <c r="X81" s="67"/>
    </row>
    <row r="82" spans="2:24" x14ac:dyDescent="0.25">
      <c r="B82" s="9"/>
      <c r="C82" s="10"/>
      <c r="D82" s="67"/>
      <c r="E82" s="67"/>
      <c r="F82" s="67"/>
      <c r="G82" s="67"/>
      <c r="H82" s="67"/>
      <c r="I82" s="67"/>
      <c r="J82" s="67"/>
      <c r="K82" s="67"/>
      <c r="L82" s="11"/>
      <c r="M82" s="74"/>
      <c r="N82" s="74"/>
      <c r="O82" s="92"/>
      <c r="P82" s="91"/>
      <c r="Q82" s="67"/>
      <c r="R82" s="67"/>
      <c r="S82" s="67"/>
      <c r="T82" s="67"/>
      <c r="U82" s="67"/>
      <c r="V82" s="67"/>
      <c r="W82" s="67"/>
      <c r="X82" s="67"/>
    </row>
    <row r="83" spans="2:24" x14ac:dyDescent="0.25">
      <c r="B83" s="9"/>
      <c r="C83" s="10"/>
      <c r="D83" s="67">
        <v>0</v>
      </c>
      <c r="E83" s="67"/>
      <c r="F83" s="67"/>
      <c r="G83" s="67"/>
      <c r="H83" s="67"/>
      <c r="I83" s="67"/>
      <c r="J83" s="67"/>
      <c r="K83" s="67"/>
      <c r="L83" s="11"/>
      <c r="M83" s="74"/>
      <c r="N83" s="74"/>
      <c r="O83" s="92"/>
      <c r="P83" s="91"/>
      <c r="Q83" s="67"/>
      <c r="R83" s="67"/>
      <c r="S83" s="67"/>
      <c r="T83" s="67"/>
      <c r="U83" s="67"/>
      <c r="V83" s="67"/>
      <c r="W83" s="67"/>
      <c r="X83" s="67"/>
    </row>
    <row r="84" spans="2:24" ht="15.75" thickBot="1" x14ac:dyDescent="0.3">
      <c r="B84" s="9"/>
      <c r="C84" s="34"/>
      <c r="D84" s="73">
        <v>0</v>
      </c>
      <c r="E84" s="73"/>
      <c r="F84" s="73"/>
      <c r="G84" s="73"/>
      <c r="H84" s="73"/>
      <c r="I84" s="73"/>
      <c r="J84" s="73"/>
      <c r="K84" s="73"/>
      <c r="L84" s="20"/>
      <c r="M84" s="74"/>
      <c r="N84" s="74"/>
      <c r="O84" s="46"/>
      <c r="P84" s="51"/>
      <c r="Q84" s="73">
        <v>0</v>
      </c>
      <c r="R84" s="73"/>
      <c r="S84" s="73"/>
      <c r="T84" s="73"/>
      <c r="U84" s="73"/>
      <c r="V84" s="73"/>
      <c r="W84" s="73"/>
      <c r="X84" s="73"/>
    </row>
    <row r="85" spans="2:24" ht="24" thickBot="1" x14ac:dyDescent="0.3">
      <c r="C85" s="35" t="s">
        <v>18</v>
      </c>
      <c r="D85" s="30">
        <f t="shared" ref="D85:L85" si="19">SUM(D71:D84)</f>
        <v>170</v>
      </c>
      <c r="E85" s="31">
        <f t="shared" si="19"/>
        <v>369</v>
      </c>
      <c r="F85" s="31">
        <f t="shared" si="19"/>
        <v>2264</v>
      </c>
      <c r="G85" s="31">
        <f t="shared" si="19"/>
        <v>0</v>
      </c>
      <c r="H85" s="31">
        <f t="shared" si="19"/>
        <v>1799</v>
      </c>
      <c r="I85" s="31">
        <f t="shared" si="19"/>
        <v>403</v>
      </c>
      <c r="J85" s="22">
        <f t="shared" si="19"/>
        <v>2651.5</v>
      </c>
      <c r="K85" s="32">
        <f t="shared" si="19"/>
        <v>4783</v>
      </c>
      <c r="L85" s="100">
        <f t="shared" si="19"/>
        <v>1008</v>
      </c>
      <c r="M85" s="75"/>
      <c r="N85" s="74"/>
      <c r="P85" s="33" t="s">
        <v>18</v>
      </c>
      <c r="Q85" s="21">
        <f t="shared" ref="Q85:X85" si="20">SUM(Q71:Q84)</f>
        <v>907</v>
      </c>
      <c r="R85" s="22">
        <f t="shared" si="20"/>
        <v>89</v>
      </c>
      <c r="S85" s="22">
        <f t="shared" si="20"/>
        <v>2444</v>
      </c>
      <c r="T85" s="22">
        <f t="shared" si="20"/>
        <v>58</v>
      </c>
      <c r="U85" s="22">
        <f t="shared" si="20"/>
        <v>403</v>
      </c>
      <c r="V85" s="22">
        <f t="shared" si="20"/>
        <v>5587</v>
      </c>
      <c r="W85" s="22">
        <f t="shared" si="20"/>
        <v>4449.5</v>
      </c>
      <c r="X85" s="23">
        <f t="shared" si="20"/>
        <v>5143</v>
      </c>
    </row>
    <row r="86" spans="2:24" ht="15.75" thickBot="1" x14ac:dyDescent="0.3">
      <c r="D86" s="5"/>
      <c r="E86" s="5"/>
      <c r="F86" s="5"/>
      <c r="G86" s="5"/>
      <c r="H86" s="5"/>
      <c r="I86" s="5"/>
      <c r="J86" s="5"/>
      <c r="K86" s="5"/>
      <c r="L86" s="78"/>
      <c r="M86" s="76"/>
      <c r="N86" s="74"/>
      <c r="Q86" s="5"/>
      <c r="R86" s="5"/>
      <c r="S86" s="5"/>
      <c r="T86" s="5"/>
      <c r="U86" s="5"/>
      <c r="V86" s="5"/>
      <c r="W86" s="5"/>
      <c r="X86" s="5"/>
    </row>
    <row r="87" spans="2:24" ht="21.75" thickBot="1" x14ac:dyDescent="0.4">
      <c r="D87" s="5"/>
      <c r="E87" s="5"/>
      <c r="F87" s="245">
        <f>K85+J85+I85+H85+G85+F85+E85+D85+L85</f>
        <v>13447.5</v>
      </c>
      <c r="G87" s="246"/>
      <c r="H87" s="247"/>
      <c r="I87" s="5"/>
      <c r="J87" s="5">
        <v>13447.5</v>
      </c>
      <c r="K87" s="5"/>
      <c r="L87" s="78"/>
      <c r="M87" s="76"/>
      <c r="N87" s="74"/>
      <c r="Q87" s="5"/>
      <c r="R87" s="5"/>
      <c r="S87" s="248">
        <f>Q85+R85+S85+T85+U85+V85+W85+X85</f>
        <v>19080.5</v>
      </c>
      <c r="T87" s="249"/>
      <c r="U87" s="250"/>
      <c r="V87" s="5">
        <v>19080.5</v>
      </c>
      <c r="W87" s="5"/>
      <c r="X87" s="5"/>
    </row>
    <row r="88" spans="2:24" x14ac:dyDescent="0.25">
      <c r="D88" s="5"/>
      <c r="E88" s="5"/>
      <c r="F88" s="5"/>
      <c r="G88" s="5"/>
      <c r="H88" s="5"/>
      <c r="J88" s="5"/>
      <c r="K88" s="5"/>
      <c r="L88" s="78"/>
      <c r="M88" s="76"/>
      <c r="N88" s="74"/>
      <c r="Q88" s="5"/>
      <c r="R88" s="5"/>
      <c r="S88" s="5"/>
      <c r="T88" s="5"/>
      <c r="U88" s="5"/>
      <c r="V88" s="5"/>
      <c r="W88" s="5"/>
      <c r="X88" s="5"/>
    </row>
    <row r="89" spans="2:24" x14ac:dyDescent="0.25">
      <c r="D89" s="5"/>
      <c r="E89" s="5"/>
      <c r="F89" s="5"/>
      <c r="G89" s="5"/>
      <c r="H89" s="5"/>
      <c r="I89" s="5"/>
      <c r="J89" s="5"/>
      <c r="K89" s="5"/>
      <c r="L89" s="78"/>
      <c r="M89" s="76"/>
      <c r="N89" s="74"/>
      <c r="Q89" s="5"/>
      <c r="R89" s="5"/>
      <c r="S89" s="5"/>
      <c r="T89" s="5"/>
      <c r="U89" s="5"/>
      <c r="V89" s="5"/>
      <c r="W89" s="5"/>
      <c r="X89" s="5"/>
    </row>
    <row r="90" spans="2:24" ht="15.75" thickBot="1" x14ac:dyDescent="0.3">
      <c r="D90" s="5"/>
      <c r="E90" s="5"/>
      <c r="F90" s="5"/>
      <c r="G90" s="5"/>
      <c r="H90" s="5"/>
      <c r="I90" s="5"/>
      <c r="J90" s="5"/>
      <c r="K90" s="5"/>
      <c r="L90" s="78"/>
      <c r="M90" s="79"/>
      <c r="N90" s="74"/>
      <c r="Q90" s="5"/>
      <c r="R90" s="5"/>
      <c r="S90" s="5"/>
      <c r="T90" s="5"/>
      <c r="U90" s="5"/>
      <c r="V90" s="5"/>
      <c r="W90" s="5"/>
      <c r="X90" s="5"/>
    </row>
    <row r="91" spans="2:24" x14ac:dyDescent="0.25">
      <c r="L91" s="80"/>
      <c r="M91" s="80"/>
    </row>
    <row r="92" spans="2:24" x14ac:dyDescent="0.25">
      <c r="L92" s="80"/>
      <c r="M92" s="80"/>
    </row>
    <row r="93" spans="2:24" ht="15.75" thickBot="1" x14ac:dyDescent="0.3"/>
    <row r="94" spans="2:24" ht="22.5" thickTop="1" thickBot="1" x14ac:dyDescent="0.4">
      <c r="C94" s="238" t="s">
        <v>36</v>
      </c>
      <c r="D94" s="239"/>
      <c r="E94" s="239"/>
      <c r="F94" s="239"/>
      <c r="G94" s="239"/>
      <c r="H94" s="239"/>
      <c r="I94" s="239"/>
      <c r="J94" s="239"/>
      <c r="K94" s="239"/>
      <c r="L94" s="84" t="s">
        <v>41</v>
      </c>
      <c r="M94" s="83"/>
      <c r="N94" s="81"/>
      <c r="O94" s="251" t="s">
        <v>19</v>
      </c>
      <c r="P94" s="252"/>
      <c r="Q94" s="252"/>
      <c r="R94" s="252"/>
      <c r="S94" s="252"/>
      <c r="T94" s="252"/>
      <c r="U94" s="252"/>
      <c r="V94" s="252"/>
      <c r="W94" s="252"/>
      <c r="X94" s="85" t="s">
        <v>41</v>
      </c>
    </row>
    <row r="95" spans="2:24" ht="16.5" thickBot="1" x14ac:dyDescent="0.3">
      <c r="I95" s="242" t="s">
        <v>37</v>
      </c>
      <c r="J95" s="243"/>
      <c r="K95" s="244"/>
      <c r="L95" s="68"/>
      <c r="M95" s="59"/>
      <c r="N95" s="74"/>
      <c r="W95" s="243"/>
      <c r="X95" s="244"/>
    </row>
    <row r="96" spans="2:24" s="2" customFormat="1" ht="64.5" thickTop="1" thickBot="1" x14ac:dyDescent="0.3">
      <c r="B96" s="6" t="s">
        <v>0</v>
      </c>
      <c r="C96" s="24" t="s">
        <v>1</v>
      </c>
      <c r="D96" s="25" t="s">
        <v>2</v>
      </c>
      <c r="E96" s="26" t="s">
        <v>7</v>
      </c>
      <c r="F96" s="56" t="s">
        <v>38</v>
      </c>
      <c r="G96" s="25" t="s">
        <v>3</v>
      </c>
      <c r="H96" s="27" t="s">
        <v>22</v>
      </c>
      <c r="I96" s="60" t="s">
        <v>4</v>
      </c>
      <c r="J96" s="61" t="s">
        <v>8</v>
      </c>
      <c r="K96" s="62" t="s">
        <v>5</v>
      </c>
      <c r="L96" s="69"/>
      <c r="M96" s="38"/>
      <c r="N96" s="82"/>
      <c r="O96" s="36" t="s">
        <v>0</v>
      </c>
      <c r="P96" s="18" t="s">
        <v>1</v>
      </c>
      <c r="Q96" s="64" t="s">
        <v>2</v>
      </c>
      <c r="R96" s="19" t="s">
        <v>16</v>
      </c>
      <c r="S96" s="54" t="s">
        <v>38</v>
      </c>
      <c r="T96" s="14" t="s">
        <v>3</v>
      </c>
      <c r="U96" s="14" t="s">
        <v>4</v>
      </c>
      <c r="V96" s="55" t="s">
        <v>25</v>
      </c>
      <c r="W96" s="57" t="s">
        <v>8</v>
      </c>
      <c r="X96" s="58" t="s">
        <v>5</v>
      </c>
    </row>
    <row r="97" spans="2:26" ht="48.75" x14ac:dyDescent="0.25">
      <c r="B97" s="40" t="s">
        <v>20</v>
      </c>
      <c r="C97" s="41" t="s">
        <v>6</v>
      </c>
      <c r="D97" s="72">
        <v>160</v>
      </c>
      <c r="E97" s="72">
        <v>0</v>
      </c>
      <c r="F97" s="72">
        <v>0</v>
      </c>
      <c r="G97" s="72">
        <v>0</v>
      </c>
      <c r="H97" s="72">
        <v>0</v>
      </c>
      <c r="I97" s="72">
        <v>0</v>
      </c>
      <c r="J97" s="72"/>
      <c r="K97" s="72">
        <v>0</v>
      </c>
      <c r="L97" s="70"/>
      <c r="M97" s="74"/>
      <c r="N97" s="74"/>
      <c r="O97" s="52" t="s">
        <v>20</v>
      </c>
      <c r="P97" s="53" t="s">
        <v>35</v>
      </c>
      <c r="Q97" s="72">
        <v>0</v>
      </c>
      <c r="R97" s="72">
        <v>0</v>
      </c>
      <c r="S97" s="72">
        <v>0</v>
      </c>
      <c r="T97" s="72">
        <v>0</v>
      </c>
      <c r="U97" s="72">
        <v>0</v>
      </c>
      <c r="V97" s="72">
        <v>0</v>
      </c>
      <c r="W97" s="72">
        <v>0</v>
      </c>
      <c r="X97" s="72">
        <f>109+1973+1400+1641+70+756+830</f>
        <v>6779</v>
      </c>
      <c r="Y97" s="65"/>
      <c r="Z97" s="65"/>
    </row>
    <row r="98" spans="2:26" ht="45.75" customHeight="1" x14ac:dyDescent="0.25">
      <c r="B98" s="40" t="s">
        <v>20</v>
      </c>
      <c r="C98" s="44" t="s">
        <v>29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/>
      <c r="K98" s="67">
        <f>542+680+1493+1388+806+1177</f>
        <v>6086</v>
      </c>
      <c r="L98" s="71"/>
      <c r="M98" s="74"/>
      <c r="N98" s="74"/>
      <c r="O98" s="52" t="s">
        <v>20</v>
      </c>
      <c r="P98" s="47" t="s">
        <v>23</v>
      </c>
      <c r="Q98" s="72">
        <v>0</v>
      </c>
      <c r="R98" s="72">
        <v>0</v>
      </c>
      <c r="S98" s="72">
        <v>0</v>
      </c>
      <c r="T98" s="72">
        <v>0</v>
      </c>
      <c r="U98" s="72">
        <v>0</v>
      </c>
      <c r="V98" s="72">
        <v>0</v>
      </c>
      <c r="W98" s="72">
        <f>127+896+100</f>
        <v>1123</v>
      </c>
      <c r="X98" s="67">
        <v>0</v>
      </c>
    </row>
    <row r="99" spans="2:26" ht="38.25" customHeight="1" x14ac:dyDescent="0.25">
      <c r="B99" s="40" t="s">
        <v>20</v>
      </c>
      <c r="C99" s="43" t="s">
        <v>21</v>
      </c>
      <c r="D99" s="67">
        <v>0</v>
      </c>
      <c r="E99" s="67">
        <v>0</v>
      </c>
      <c r="F99" s="67">
        <v>0</v>
      </c>
      <c r="G99" s="67">
        <v>0</v>
      </c>
      <c r="H99" s="67">
        <f>78+66+102+68+102+51+51</f>
        <v>518</v>
      </c>
      <c r="I99" s="67">
        <v>0</v>
      </c>
      <c r="J99" s="67"/>
      <c r="K99" s="67">
        <v>0</v>
      </c>
      <c r="L99" s="70"/>
      <c r="M99" s="74"/>
      <c r="N99" s="74"/>
      <c r="O99" s="52" t="s">
        <v>20</v>
      </c>
      <c r="P99" s="50" t="s">
        <v>40</v>
      </c>
      <c r="Q99" s="72">
        <f>144+287+180</f>
        <v>611</v>
      </c>
      <c r="R99" s="72">
        <v>0</v>
      </c>
      <c r="S99" s="72">
        <v>0</v>
      </c>
      <c r="T99" s="72">
        <v>0</v>
      </c>
      <c r="U99" s="72">
        <v>0</v>
      </c>
      <c r="V99" s="72">
        <v>0</v>
      </c>
      <c r="W99" s="72">
        <v>0</v>
      </c>
      <c r="X99" s="67">
        <v>0</v>
      </c>
    </row>
    <row r="100" spans="2:26" ht="22.5" customHeight="1" x14ac:dyDescent="0.25">
      <c r="B100" s="40" t="s">
        <v>20</v>
      </c>
      <c r="C100" s="42" t="s">
        <v>10</v>
      </c>
      <c r="D100" s="67">
        <v>0</v>
      </c>
      <c r="E100" s="67">
        <v>123</v>
      </c>
      <c r="F100" s="67">
        <v>0</v>
      </c>
      <c r="G100" s="67">
        <v>0</v>
      </c>
      <c r="H100" s="67">
        <v>0</v>
      </c>
      <c r="I100" s="67">
        <f>391+81</f>
        <v>472</v>
      </c>
      <c r="J100" s="67"/>
      <c r="K100" s="67">
        <v>0</v>
      </c>
      <c r="L100" s="70"/>
      <c r="M100" s="74"/>
      <c r="N100" s="74"/>
      <c r="O100" s="52" t="s">
        <v>20</v>
      </c>
      <c r="P100" s="48" t="s">
        <v>12</v>
      </c>
      <c r="Q100" s="72">
        <v>0</v>
      </c>
      <c r="R100" s="72">
        <v>0</v>
      </c>
      <c r="S100" s="72">
        <v>0</v>
      </c>
      <c r="T100" s="72">
        <v>0</v>
      </c>
      <c r="U100" s="72">
        <v>779</v>
      </c>
      <c r="V100" s="72">
        <v>0</v>
      </c>
      <c r="W100" s="72">
        <v>0</v>
      </c>
      <c r="X100" s="67">
        <v>0</v>
      </c>
    </row>
    <row r="101" spans="2:26" ht="22.5" customHeight="1" x14ac:dyDescent="0.25">
      <c r="B101" s="40" t="s">
        <v>20</v>
      </c>
      <c r="C101" s="43" t="s">
        <v>27</v>
      </c>
      <c r="D101" s="67">
        <v>242</v>
      </c>
      <c r="E101" s="67">
        <v>0</v>
      </c>
      <c r="F101" s="67">
        <f>60</f>
        <v>60</v>
      </c>
      <c r="G101" s="67">
        <v>0</v>
      </c>
      <c r="H101" s="67">
        <v>0</v>
      </c>
      <c r="I101" s="67">
        <v>0</v>
      </c>
      <c r="J101" s="67"/>
      <c r="K101" s="67">
        <v>0</v>
      </c>
      <c r="L101" s="70"/>
      <c r="M101" s="74"/>
      <c r="N101" s="74"/>
      <c r="O101" s="52" t="s">
        <v>20</v>
      </c>
      <c r="P101" s="48" t="s">
        <v>13</v>
      </c>
      <c r="Q101" s="72">
        <v>0</v>
      </c>
      <c r="R101" s="72">
        <v>0</v>
      </c>
      <c r="S101" s="72">
        <v>0</v>
      </c>
      <c r="T101" s="72">
        <v>0</v>
      </c>
      <c r="U101" s="72">
        <v>0</v>
      </c>
      <c r="V101" s="72">
        <v>0</v>
      </c>
      <c r="W101" s="72">
        <f>327+60</f>
        <v>387</v>
      </c>
      <c r="X101" s="67">
        <v>0</v>
      </c>
    </row>
    <row r="102" spans="2:26" ht="36" x14ac:dyDescent="0.25">
      <c r="B102" s="40" t="s">
        <v>20</v>
      </c>
      <c r="C102" s="44" t="s">
        <v>31</v>
      </c>
      <c r="D102" s="67">
        <v>0</v>
      </c>
      <c r="E102" s="67">
        <v>0</v>
      </c>
      <c r="F102" s="67">
        <v>0</v>
      </c>
      <c r="G102" s="67">
        <f>40+45</f>
        <v>85</v>
      </c>
      <c r="H102" s="67">
        <v>0</v>
      </c>
      <c r="I102" s="67">
        <v>0</v>
      </c>
      <c r="J102" s="67"/>
      <c r="K102" s="67">
        <v>0</v>
      </c>
      <c r="L102" s="70"/>
      <c r="M102" s="74"/>
      <c r="N102" s="74"/>
      <c r="O102" s="52" t="s">
        <v>20</v>
      </c>
      <c r="P102" s="49" t="s">
        <v>33</v>
      </c>
      <c r="Q102" s="72">
        <v>0</v>
      </c>
      <c r="R102" s="72">
        <v>0</v>
      </c>
      <c r="S102" s="72">
        <v>0</v>
      </c>
      <c r="T102" s="72">
        <f>90+10+234</f>
        <v>334</v>
      </c>
      <c r="U102" s="72">
        <v>0</v>
      </c>
      <c r="V102" s="72">
        <v>0</v>
      </c>
      <c r="W102" s="72">
        <v>0</v>
      </c>
      <c r="X102" s="67">
        <v>0</v>
      </c>
    </row>
    <row r="103" spans="2:26" ht="36.75" x14ac:dyDescent="0.25">
      <c r="B103" s="40" t="s">
        <v>20</v>
      </c>
      <c r="C103" s="44" t="s">
        <v>28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f>1013+1701</f>
        <v>2714</v>
      </c>
      <c r="K103" s="67">
        <v>0</v>
      </c>
      <c r="L103" s="70"/>
      <c r="M103" s="74"/>
      <c r="N103" s="74"/>
      <c r="O103" s="52" t="s">
        <v>20</v>
      </c>
      <c r="P103" s="49" t="s">
        <v>39</v>
      </c>
      <c r="Q103" s="72">
        <v>0</v>
      </c>
      <c r="R103" s="72">
        <v>0</v>
      </c>
      <c r="S103" s="72">
        <f>2200+118+30+82+36+338</f>
        <v>2804</v>
      </c>
      <c r="T103" s="72">
        <v>0</v>
      </c>
      <c r="U103" s="72">
        <v>0</v>
      </c>
      <c r="V103" s="72">
        <v>0</v>
      </c>
      <c r="W103" s="72">
        <v>0</v>
      </c>
      <c r="X103" s="67">
        <v>0</v>
      </c>
    </row>
    <row r="104" spans="2:26" ht="32.25" customHeight="1" x14ac:dyDescent="0.25">
      <c r="B104" s="40" t="s">
        <v>20</v>
      </c>
      <c r="C104" s="42" t="s">
        <v>9</v>
      </c>
      <c r="D104" s="67">
        <v>0</v>
      </c>
      <c r="E104" s="67">
        <v>180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70"/>
      <c r="M104" s="74"/>
      <c r="N104" s="74"/>
      <c r="O104" s="52" t="s">
        <v>20</v>
      </c>
      <c r="P104" s="66" t="s">
        <v>15</v>
      </c>
      <c r="Q104" s="72">
        <v>0</v>
      </c>
      <c r="R104" s="72">
        <v>1221</v>
      </c>
      <c r="S104" s="72" t="s">
        <v>26</v>
      </c>
      <c r="T104" s="72">
        <v>0</v>
      </c>
      <c r="U104" s="72">
        <v>0</v>
      </c>
      <c r="V104" s="72">
        <v>0</v>
      </c>
      <c r="W104" s="72">
        <v>0</v>
      </c>
      <c r="X104" s="67">
        <v>0</v>
      </c>
    </row>
    <row r="105" spans="2:26" ht="36" x14ac:dyDescent="0.25">
      <c r="B105" s="40" t="s">
        <v>20</v>
      </c>
      <c r="C105" s="44" t="s">
        <v>30</v>
      </c>
      <c r="D105" s="67">
        <v>0</v>
      </c>
      <c r="E105" s="67">
        <v>0</v>
      </c>
      <c r="F105" s="67">
        <f>1638+45+36</f>
        <v>1719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70"/>
      <c r="M105" s="74"/>
      <c r="N105" s="74"/>
      <c r="O105" s="52" t="s">
        <v>20</v>
      </c>
      <c r="P105" s="63" t="s">
        <v>32</v>
      </c>
      <c r="Q105" s="72">
        <v>0</v>
      </c>
      <c r="R105" s="72">
        <v>0</v>
      </c>
      <c r="S105" s="72">
        <v>0</v>
      </c>
      <c r="T105" s="72">
        <v>0</v>
      </c>
      <c r="U105" s="72">
        <v>0</v>
      </c>
      <c r="V105" s="72">
        <f>700+700+3067+710</f>
        <v>5177</v>
      </c>
      <c r="W105" s="72">
        <v>0</v>
      </c>
      <c r="X105" s="67">
        <v>0</v>
      </c>
    </row>
    <row r="106" spans="2:26" ht="22.5" customHeight="1" x14ac:dyDescent="0.25">
      <c r="B106" s="40" t="s">
        <v>20</v>
      </c>
      <c r="C106" s="42" t="s">
        <v>11</v>
      </c>
      <c r="D106" s="67">
        <v>0</v>
      </c>
      <c r="E106" s="67">
        <v>0</v>
      </c>
      <c r="F106" s="67">
        <v>0</v>
      </c>
      <c r="G106" s="67">
        <v>0</v>
      </c>
      <c r="H106" s="67">
        <f>380+380+460</f>
        <v>1220</v>
      </c>
      <c r="I106" s="67">
        <v>0</v>
      </c>
      <c r="J106" s="67">
        <v>0</v>
      </c>
      <c r="K106" s="67">
        <v>0</v>
      </c>
      <c r="L106" s="70"/>
      <c r="M106" s="74"/>
      <c r="N106" s="74"/>
      <c r="O106" s="52" t="s">
        <v>20</v>
      </c>
      <c r="P106" s="48" t="s">
        <v>34</v>
      </c>
      <c r="Q106" s="72">
        <v>0</v>
      </c>
      <c r="R106" s="72">
        <v>0</v>
      </c>
      <c r="S106" s="72">
        <v>0</v>
      </c>
      <c r="T106" s="72">
        <v>0</v>
      </c>
      <c r="U106" s="72">
        <v>0</v>
      </c>
      <c r="V106" s="72">
        <f>170+238+170+153+170+336</f>
        <v>1237</v>
      </c>
      <c r="W106" s="72">
        <v>0</v>
      </c>
      <c r="X106" s="67">
        <v>0</v>
      </c>
    </row>
    <row r="107" spans="2:26" ht="22.5" customHeight="1" x14ac:dyDescent="0.25">
      <c r="B107" s="40" t="s">
        <v>20</v>
      </c>
      <c r="C107" s="45"/>
      <c r="D107" s="67">
        <v>0</v>
      </c>
      <c r="E107" s="67"/>
      <c r="F107" s="67"/>
      <c r="G107" s="67"/>
      <c r="H107" s="67"/>
      <c r="I107" s="67"/>
      <c r="J107" s="67"/>
      <c r="K107" s="67"/>
      <c r="L107" s="70"/>
      <c r="M107" s="74"/>
      <c r="N107" s="74"/>
      <c r="O107" s="52" t="s">
        <v>20</v>
      </c>
      <c r="P107" s="48"/>
      <c r="Q107" s="72">
        <v>0</v>
      </c>
      <c r="R107" s="72">
        <v>0</v>
      </c>
      <c r="S107" s="72">
        <v>0</v>
      </c>
      <c r="T107" s="72">
        <v>0</v>
      </c>
      <c r="U107" s="72">
        <v>0</v>
      </c>
      <c r="V107" s="72">
        <v>0</v>
      </c>
      <c r="W107" s="72">
        <v>0</v>
      </c>
      <c r="X107" s="67">
        <v>0</v>
      </c>
    </row>
    <row r="108" spans="2:26" ht="22.5" hidden="1" customHeight="1" x14ac:dyDescent="0.25">
      <c r="B108" s="9"/>
      <c r="C108" s="10"/>
      <c r="D108" s="67">
        <v>0</v>
      </c>
      <c r="E108" s="67"/>
      <c r="F108" s="67"/>
      <c r="G108" s="67"/>
      <c r="H108" s="67"/>
      <c r="I108" s="67"/>
      <c r="J108" s="67"/>
      <c r="K108" s="67"/>
      <c r="L108" s="70"/>
      <c r="M108" s="74"/>
      <c r="N108" s="74"/>
      <c r="O108" s="46"/>
      <c r="P108" s="51"/>
      <c r="Q108" s="67">
        <v>0</v>
      </c>
      <c r="R108" s="67"/>
      <c r="S108" s="67"/>
      <c r="T108" s="67"/>
      <c r="U108" s="67"/>
      <c r="V108" s="67"/>
      <c r="W108" s="67"/>
      <c r="X108" s="67"/>
    </row>
    <row r="109" spans="2:26" ht="22.5" hidden="1" customHeight="1" x14ac:dyDescent="0.25">
      <c r="B109" s="9"/>
      <c r="C109" s="10"/>
      <c r="D109" s="67">
        <v>0</v>
      </c>
      <c r="E109" s="67"/>
      <c r="F109" s="67"/>
      <c r="G109" s="67"/>
      <c r="H109" s="67"/>
      <c r="I109" s="67"/>
      <c r="J109" s="67"/>
      <c r="K109" s="67"/>
      <c r="L109" s="70"/>
      <c r="M109" s="74"/>
      <c r="N109" s="74"/>
      <c r="O109" s="46"/>
      <c r="P109" s="51"/>
      <c r="Q109" s="67">
        <v>0</v>
      </c>
      <c r="R109" s="67"/>
      <c r="S109" s="67"/>
      <c r="T109" s="67"/>
      <c r="U109" s="67"/>
      <c r="V109" s="67"/>
      <c r="W109" s="67"/>
      <c r="X109" s="67"/>
    </row>
    <row r="110" spans="2:26" ht="22.5" hidden="1" customHeight="1" x14ac:dyDescent="0.25">
      <c r="B110" s="9"/>
      <c r="C110" s="10"/>
      <c r="D110" s="67">
        <v>0</v>
      </c>
      <c r="E110" s="67"/>
      <c r="F110" s="67"/>
      <c r="G110" s="67"/>
      <c r="H110" s="67"/>
      <c r="I110" s="67"/>
      <c r="J110" s="67"/>
      <c r="K110" s="67"/>
      <c r="L110" s="70"/>
      <c r="M110" s="74"/>
      <c r="N110" s="74"/>
      <c r="O110" s="46"/>
      <c r="P110" s="51"/>
      <c r="Q110" s="67">
        <v>0</v>
      </c>
      <c r="R110" s="67"/>
      <c r="S110" s="67"/>
      <c r="T110" s="67"/>
      <c r="U110" s="67"/>
      <c r="V110" s="67"/>
      <c r="W110" s="67"/>
      <c r="X110" s="67"/>
    </row>
    <row r="111" spans="2:26" ht="22.5" hidden="1" customHeight="1" x14ac:dyDescent="0.25">
      <c r="B111" s="9"/>
      <c r="C111" s="10"/>
      <c r="D111" s="67">
        <v>0</v>
      </c>
      <c r="E111" s="67"/>
      <c r="F111" s="67"/>
      <c r="G111" s="67"/>
      <c r="H111" s="67"/>
      <c r="I111" s="67"/>
      <c r="J111" s="67"/>
      <c r="K111" s="67"/>
      <c r="L111" s="70"/>
      <c r="M111" s="74"/>
      <c r="N111" s="74"/>
      <c r="O111" s="46"/>
      <c r="P111" s="51"/>
      <c r="Q111" s="67">
        <v>0</v>
      </c>
      <c r="R111" s="67"/>
      <c r="S111" s="67"/>
      <c r="T111" s="67"/>
      <c r="U111" s="67"/>
      <c r="V111" s="67"/>
      <c r="W111" s="67"/>
      <c r="X111" s="67"/>
    </row>
    <row r="112" spans="2:26" ht="22.5" hidden="1" customHeight="1" x14ac:dyDescent="0.25">
      <c r="B112" s="9"/>
      <c r="C112" s="10"/>
      <c r="D112" s="67">
        <v>0</v>
      </c>
      <c r="E112" s="67"/>
      <c r="F112" s="67"/>
      <c r="G112" s="67"/>
      <c r="H112" s="67"/>
      <c r="I112" s="67"/>
      <c r="J112" s="67"/>
      <c r="K112" s="67"/>
      <c r="L112" s="70"/>
      <c r="M112" s="74"/>
      <c r="N112" s="74"/>
      <c r="O112" s="46"/>
      <c r="P112" s="51"/>
      <c r="Q112" s="67">
        <v>0</v>
      </c>
      <c r="R112" s="67"/>
      <c r="S112" s="67"/>
      <c r="T112" s="67"/>
      <c r="U112" s="67"/>
      <c r="V112" s="67"/>
      <c r="W112" s="67"/>
      <c r="X112" s="67"/>
    </row>
    <row r="113" spans="2:24" ht="22.5" hidden="1" customHeight="1" x14ac:dyDescent="0.25">
      <c r="B113" s="9"/>
      <c r="C113" s="10"/>
      <c r="D113" s="67">
        <v>0</v>
      </c>
      <c r="E113" s="67"/>
      <c r="F113" s="67"/>
      <c r="G113" s="67"/>
      <c r="H113" s="67"/>
      <c r="I113" s="67"/>
      <c r="J113" s="67"/>
      <c r="K113" s="67"/>
      <c r="L113" s="70"/>
      <c r="M113" s="74"/>
      <c r="N113" s="74"/>
      <c r="O113" s="46"/>
      <c r="P113" s="51"/>
      <c r="Q113" s="67">
        <v>0</v>
      </c>
      <c r="R113" s="67"/>
      <c r="S113" s="67"/>
      <c r="T113" s="67"/>
      <c r="U113" s="67"/>
      <c r="V113" s="67"/>
      <c r="W113" s="67"/>
      <c r="X113" s="67"/>
    </row>
    <row r="114" spans="2:24" ht="22.5" hidden="1" customHeight="1" x14ac:dyDescent="0.25">
      <c r="B114" s="9"/>
      <c r="C114" s="10"/>
      <c r="D114" s="67">
        <v>0</v>
      </c>
      <c r="E114" s="67"/>
      <c r="F114" s="67"/>
      <c r="G114" s="67"/>
      <c r="H114" s="67"/>
      <c r="I114" s="67"/>
      <c r="J114" s="67"/>
      <c r="K114" s="67"/>
      <c r="L114" s="70"/>
      <c r="M114" s="74"/>
      <c r="N114" s="74"/>
      <c r="O114" s="46"/>
      <c r="P114" s="51"/>
      <c r="Q114" s="67">
        <v>0</v>
      </c>
      <c r="R114" s="67"/>
      <c r="S114" s="67"/>
      <c r="T114" s="67"/>
      <c r="U114" s="67"/>
      <c r="V114" s="67"/>
      <c r="W114" s="67"/>
      <c r="X114" s="67"/>
    </row>
    <row r="115" spans="2:24" ht="22.5" hidden="1" customHeight="1" x14ac:dyDescent="0.25">
      <c r="B115" s="9"/>
      <c r="C115" s="10"/>
      <c r="D115" s="67">
        <v>0</v>
      </c>
      <c r="E115" s="67"/>
      <c r="F115" s="67"/>
      <c r="G115" s="67"/>
      <c r="H115" s="67"/>
      <c r="I115" s="67"/>
      <c r="J115" s="67"/>
      <c r="K115" s="67"/>
      <c r="L115" s="70"/>
      <c r="M115" s="74"/>
      <c r="N115" s="74"/>
      <c r="O115" s="46"/>
      <c r="P115" s="51"/>
      <c r="Q115" s="67">
        <v>0</v>
      </c>
      <c r="R115" s="67"/>
      <c r="S115" s="67"/>
      <c r="T115" s="67"/>
      <c r="U115" s="67"/>
      <c r="V115" s="67"/>
      <c r="W115" s="67"/>
      <c r="X115" s="67"/>
    </row>
    <row r="116" spans="2:24" ht="22.5" hidden="1" customHeight="1" x14ac:dyDescent="0.25">
      <c r="B116" s="9"/>
      <c r="C116" s="10"/>
      <c r="D116" s="67">
        <v>0</v>
      </c>
      <c r="E116" s="67"/>
      <c r="F116" s="67"/>
      <c r="G116" s="67"/>
      <c r="H116" s="67"/>
      <c r="I116" s="67"/>
      <c r="J116" s="67"/>
      <c r="K116" s="67"/>
      <c r="L116" s="70"/>
      <c r="M116" s="74"/>
      <c r="N116" s="74"/>
      <c r="O116" s="46"/>
      <c r="P116" s="51"/>
      <c r="Q116" s="67">
        <v>0</v>
      </c>
      <c r="R116" s="67"/>
      <c r="S116" s="67"/>
      <c r="T116" s="67"/>
      <c r="U116" s="67"/>
      <c r="V116" s="67"/>
      <c r="W116" s="67"/>
      <c r="X116" s="67"/>
    </row>
    <row r="117" spans="2:24" ht="22.5" hidden="1" customHeight="1" x14ac:dyDescent="0.25">
      <c r="B117" s="9"/>
      <c r="C117" s="10"/>
      <c r="D117" s="67">
        <v>0</v>
      </c>
      <c r="E117" s="67"/>
      <c r="F117" s="67"/>
      <c r="G117" s="67"/>
      <c r="H117" s="67"/>
      <c r="I117" s="67"/>
      <c r="J117" s="67"/>
      <c r="K117" s="67"/>
      <c r="L117" s="70"/>
      <c r="M117" s="74"/>
      <c r="N117" s="74"/>
      <c r="O117" s="46"/>
      <c r="P117" s="51"/>
      <c r="Q117" s="67">
        <v>0</v>
      </c>
      <c r="R117" s="67"/>
      <c r="S117" s="67"/>
      <c r="T117" s="67"/>
      <c r="U117" s="67"/>
      <c r="V117" s="67"/>
      <c r="W117" s="67"/>
      <c r="X117" s="67"/>
    </row>
    <row r="118" spans="2:24" ht="22.5" hidden="1" customHeight="1" x14ac:dyDescent="0.25">
      <c r="B118" s="9"/>
      <c r="C118" s="10"/>
      <c r="D118" s="67">
        <v>0</v>
      </c>
      <c r="E118" s="67"/>
      <c r="F118" s="67"/>
      <c r="G118" s="67"/>
      <c r="H118" s="67"/>
      <c r="I118" s="67"/>
      <c r="J118" s="67"/>
      <c r="K118" s="67"/>
      <c r="L118" s="70"/>
      <c r="M118" s="74"/>
      <c r="N118" s="74"/>
      <c r="O118" s="46"/>
      <c r="P118" s="51"/>
      <c r="Q118" s="67">
        <v>0</v>
      </c>
      <c r="R118" s="67"/>
      <c r="S118" s="67"/>
      <c r="T118" s="67"/>
      <c r="U118" s="67"/>
      <c r="V118" s="67"/>
      <c r="W118" s="67"/>
      <c r="X118" s="67"/>
    </row>
    <row r="119" spans="2:24" ht="22.5" customHeight="1" thickBot="1" x14ac:dyDescent="0.3">
      <c r="B119" s="9"/>
      <c r="C119" s="34"/>
      <c r="D119" s="73">
        <v>0</v>
      </c>
      <c r="E119" s="73"/>
      <c r="F119" s="73"/>
      <c r="G119" s="73"/>
      <c r="H119" s="73"/>
      <c r="I119" s="73"/>
      <c r="J119" s="73"/>
      <c r="K119" s="73"/>
      <c r="L119" s="70"/>
      <c r="M119" s="74"/>
      <c r="N119" s="74"/>
      <c r="O119" s="46"/>
      <c r="P119" s="51"/>
      <c r="Q119" s="73">
        <v>0</v>
      </c>
      <c r="R119" s="73"/>
      <c r="S119" s="73"/>
      <c r="T119" s="73"/>
      <c r="U119" s="73"/>
      <c r="V119" s="73"/>
      <c r="W119" s="73"/>
      <c r="X119" s="73"/>
    </row>
    <row r="120" spans="2:24" ht="31.5" customHeight="1" thickBot="1" x14ac:dyDescent="0.3">
      <c r="C120" s="35" t="s">
        <v>18</v>
      </c>
      <c r="D120" s="30">
        <f t="shared" ref="D120:K120" si="21">SUM(D97:D119)</f>
        <v>402</v>
      </c>
      <c r="E120" s="31">
        <f t="shared" si="21"/>
        <v>303</v>
      </c>
      <c r="F120" s="31">
        <f t="shared" si="21"/>
        <v>1779</v>
      </c>
      <c r="G120" s="31">
        <f t="shared" si="21"/>
        <v>85</v>
      </c>
      <c r="H120" s="31">
        <f t="shared" si="21"/>
        <v>1738</v>
      </c>
      <c r="I120" s="31">
        <f t="shared" si="21"/>
        <v>472</v>
      </c>
      <c r="J120" s="22">
        <f t="shared" si="21"/>
        <v>2714</v>
      </c>
      <c r="K120" s="32">
        <f t="shared" si="21"/>
        <v>6086</v>
      </c>
      <c r="L120" s="77"/>
      <c r="M120" s="75"/>
      <c r="N120" s="74"/>
      <c r="P120" s="33" t="s">
        <v>18</v>
      </c>
      <c r="Q120" s="21">
        <f>SUM(Q97:Q119)</f>
        <v>611</v>
      </c>
      <c r="R120" s="22">
        <f t="shared" ref="R120:X120" si="22">SUM(R97:R119)</f>
        <v>1221</v>
      </c>
      <c r="S120" s="22">
        <f t="shared" si="22"/>
        <v>2804</v>
      </c>
      <c r="T120" s="22">
        <f t="shared" si="22"/>
        <v>334</v>
      </c>
      <c r="U120" s="22">
        <f t="shared" si="22"/>
        <v>779</v>
      </c>
      <c r="V120" s="22">
        <f t="shared" si="22"/>
        <v>6414</v>
      </c>
      <c r="W120" s="22">
        <f t="shared" si="22"/>
        <v>1510</v>
      </c>
      <c r="X120" s="23">
        <f t="shared" si="22"/>
        <v>6779</v>
      </c>
    </row>
    <row r="121" spans="2:24" ht="22.5" customHeight="1" thickBot="1" x14ac:dyDescent="0.3">
      <c r="D121" s="5"/>
      <c r="E121" s="5"/>
      <c r="F121" s="5"/>
      <c r="G121" s="5"/>
      <c r="H121" s="5"/>
      <c r="I121" s="5"/>
      <c r="J121" s="5"/>
      <c r="K121" s="5"/>
      <c r="L121" s="78"/>
      <c r="M121" s="76"/>
      <c r="N121" s="74"/>
      <c r="Q121" s="5"/>
      <c r="R121" s="5"/>
      <c r="S121" s="5"/>
      <c r="T121" s="5"/>
      <c r="U121" s="5"/>
      <c r="V121" s="5"/>
      <c r="W121" s="5"/>
      <c r="X121" s="5"/>
    </row>
    <row r="122" spans="2:24" ht="22.5" customHeight="1" thickBot="1" x14ac:dyDescent="0.4">
      <c r="D122" s="5"/>
      <c r="E122" s="5"/>
      <c r="F122" s="253">
        <f>K120+J120+I120+H120+G120+F120+E120+D120</f>
        <v>13579</v>
      </c>
      <c r="G122" s="246"/>
      <c r="H122" s="247"/>
      <c r="I122" s="5"/>
      <c r="J122" s="5">
        <v>13579</v>
      </c>
      <c r="K122" s="5"/>
      <c r="L122" s="78"/>
      <c r="M122" s="76"/>
      <c r="N122" s="74"/>
      <c r="Q122" s="5"/>
      <c r="R122" s="5"/>
      <c r="S122" s="248">
        <f>Q120+R120+S120+T120+U120+V120+W120+X120</f>
        <v>20452</v>
      </c>
      <c r="T122" s="249"/>
      <c r="U122" s="250"/>
      <c r="V122" s="5">
        <v>20452</v>
      </c>
      <c r="W122" s="5"/>
      <c r="X122" s="5"/>
    </row>
    <row r="123" spans="2:24" ht="22.5" customHeight="1" x14ac:dyDescent="0.25">
      <c r="D123" s="5"/>
      <c r="E123" s="5"/>
      <c r="F123" s="5"/>
      <c r="G123" s="5"/>
      <c r="H123" s="5"/>
      <c r="J123" s="5"/>
      <c r="K123" s="5"/>
      <c r="L123" s="78"/>
      <c r="M123" s="76"/>
      <c r="N123" s="74"/>
      <c r="Q123" s="5"/>
      <c r="R123" s="5"/>
      <c r="S123" s="5"/>
      <c r="T123" s="5"/>
      <c r="U123" s="5"/>
      <c r="V123" s="5"/>
      <c r="W123" s="5"/>
      <c r="X123" s="5"/>
    </row>
    <row r="124" spans="2:24" x14ac:dyDescent="0.25">
      <c r="D124" s="5"/>
      <c r="E124" s="5"/>
      <c r="F124" s="5"/>
      <c r="G124" s="5"/>
      <c r="H124" s="5"/>
      <c r="I124" s="5"/>
      <c r="J124" s="5"/>
      <c r="K124" s="5"/>
      <c r="L124" s="78"/>
      <c r="M124" s="76"/>
      <c r="N124" s="74"/>
      <c r="Q124" s="5"/>
      <c r="R124" s="5"/>
      <c r="S124" s="5"/>
      <c r="T124" s="5"/>
      <c r="U124" s="5"/>
      <c r="V124" s="5"/>
      <c r="W124" s="5"/>
      <c r="X124" s="5"/>
    </row>
    <row r="125" spans="2:24" ht="15.75" thickBot="1" x14ac:dyDescent="0.3">
      <c r="D125" s="5"/>
      <c r="E125" s="5"/>
      <c r="F125" s="5"/>
      <c r="G125" s="5"/>
      <c r="H125" s="5"/>
      <c r="I125" s="5"/>
      <c r="J125" s="5"/>
      <c r="K125" s="5"/>
      <c r="L125" s="78"/>
      <c r="M125" s="79"/>
      <c r="N125" s="74"/>
      <c r="Q125" s="5"/>
      <c r="R125" s="5"/>
      <c r="S125" s="5"/>
      <c r="T125" s="5"/>
      <c r="U125" s="5"/>
      <c r="V125" s="5"/>
      <c r="W125" s="5"/>
      <c r="X125" s="5"/>
    </row>
    <row r="126" spans="2:24" x14ac:dyDescent="0.25">
      <c r="L126" s="80"/>
      <c r="M126" s="80"/>
    </row>
    <row r="127" spans="2:24" x14ac:dyDescent="0.25">
      <c r="L127" s="80"/>
      <c r="M127" s="80"/>
    </row>
    <row r="128" spans="2:24" x14ac:dyDescent="0.25">
      <c r="L128" s="80"/>
      <c r="M128" s="80"/>
    </row>
    <row r="129" spans="12:13" x14ac:dyDescent="0.25">
      <c r="L129" s="80"/>
      <c r="M129" s="80"/>
    </row>
  </sheetData>
  <mergeCells count="24">
    <mergeCell ref="C4:K4"/>
    <mergeCell ref="O4:W4"/>
    <mergeCell ref="I5:K5"/>
    <mergeCell ref="V5:X5"/>
    <mergeCell ref="F23:H23"/>
    <mergeCell ref="S23:U23"/>
    <mergeCell ref="C68:K68"/>
    <mergeCell ref="O68:W68"/>
    <mergeCell ref="I69:K69"/>
    <mergeCell ref="W69:X69"/>
    <mergeCell ref="F87:H87"/>
    <mergeCell ref="S87:U87"/>
    <mergeCell ref="F122:H122"/>
    <mergeCell ref="C94:K94"/>
    <mergeCell ref="S122:U122"/>
    <mergeCell ref="I95:K95"/>
    <mergeCell ref="W95:X95"/>
    <mergeCell ref="O94:W94"/>
    <mergeCell ref="C35:K35"/>
    <mergeCell ref="I36:K36"/>
    <mergeCell ref="F54:H54"/>
    <mergeCell ref="O35:W35"/>
    <mergeCell ref="S54:U54"/>
    <mergeCell ref="V36:X36"/>
  </mergeCells>
  <pageMargins left="0.23622047244094491" right="0.23622047244094491" top="0.35" bottom="0.31496062992125984" header="0.31496062992125984" footer="0.31496062992125984"/>
  <pageSetup scale="8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AE26"/>
  <sheetViews>
    <sheetView topLeftCell="A7" workbookViewId="0">
      <selection activeCell="H24" sqref="H24"/>
    </sheetView>
  </sheetViews>
  <sheetFormatPr baseColWidth="10" defaultRowHeight="15" x14ac:dyDescent="0.25"/>
  <cols>
    <col min="3" max="3" width="12.28515625" customWidth="1"/>
    <col min="4" max="4" width="2.28515625" customWidth="1"/>
    <col min="14" max="14" width="15.42578125" style="80" customWidth="1"/>
    <col min="17" max="17" width="5.140625" customWidth="1"/>
    <col min="19" max="19" width="12.28515625" customWidth="1"/>
    <col min="20" max="20" width="2.28515625" customWidth="1"/>
    <col min="30" max="30" width="15.42578125" style="80" customWidth="1"/>
  </cols>
  <sheetData>
    <row r="1" spans="2:31" ht="14.25" customHeight="1" thickBot="1" x14ac:dyDescent="0.3"/>
    <row r="2" spans="2:31" ht="22.5" thickTop="1" thickBot="1" x14ac:dyDescent="0.4">
      <c r="C2" s="7"/>
      <c r="D2" s="238" t="s">
        <v>36</v>
      </c>
      <c r="E2" s="239"/>
      <c r="F2" s="239"/>
      <c r="G2" s="239"/>
      <c r="H2" s="239"/>
      <c r="I2" s="239"/>
      <c r="J2" s="239"/>
      <c r="K2" s="239"/>
      <c r="L2" s="239"/>
      <c r="M2" s="84"/>
      <c r="N2" s="151"/>
      <c r="S2" s="7"/>
      <c r="T2" s="238" t="s">
        <v>36</v>
      </c>
      <c r="U2" s="239"/>
      <c r="V2" s="239"/>
      <c r="W2" s="239"/>
      <c r="X2" s="239"/>
      <c r="Y2" s="239"/>
      <c r="Z2" s="239"/>
      <c r="AA2" s="239"/>
      <c r="AB2" s="239"/>
      <c r="AC2" s="84"/>
      <c r="AD2" s="151"/>
    </row>
    <row r="3" spans="2:31" ht="16.5" thickBot="1" x14ac:dyDescent="0.3">
      <c r="C3" s="7"/>
      <c r="D3" s="1"/>
      <c r="J3" s="242" t="s">
        <v>185</v>
      </c>
      <c r="K3" s="243"/>
      <c r="L3" s="254"/>
      <c r="M3" s="68"/>
      <c r="N3" s="152"/>
      <c r="S3" s="7"/>
      <c r="T3" s="1"/>
      <c r="Z3" s="242" t="s">
        <v>184</v>
      </c>
      <c r="AA3" s="243"/>
      <c r="AB3" s="244"/>
      <c r="AC3" s="68"/>
      <c r="AD3" s="152"/>
    </row>
    <row r="4" spans="2:31" ht="58.5" customHeight="1" thickTop="1" thickBot="1" x14ac:dyDescent="0.3">
      <c r="C4" s="164" t="s">
        <v>0</v>
      </c>
      <c r="D4" s="24"/>
      <c r="E4" s="176" t="s">
        <v>2</v>
      </c>
      <c r="F4" s="146" t="s">
        <v>7</v>
      </c>
      <c r="G4" s="147" t="s">
        <v>38</v>
      </c>
      <c r="H4" s="176" t="s">
        <v>3</v>
      </c>
      <c r="I4" s="146" t="s">
        <v>22</v>
      </c>
      <c r="J4" s="200" t="s">
        <v>4</v>
      </c>
      <c r="K4" s="149" t="s">
        <v>8</v>
      </c>
      <c r="L4" s="202" t="s">
        <v>5</v>
      </c>
      <c r="M4" s="201" t="s">
        <v>146</v>
      </c>
      <c r="N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2:31" ht="42.75" customHeight="1" thickTop="1" thickBot="1" x14ac:dyDescent="0.35">
      <c r="B5" s="199" t="s">
        <v>141</v>
      </c>
      <c r="C5" s="169" t="s">
        <v>123</v>
      </c>
      <c r="D5" s="153"/>
      <c r="E5" s="30">
        <v>665.5</v>
      </c>
      <c r="F5" s="31">
        <v>68</v>
      </c>
      <c r="G5" s="31">
        <v>2076</v>
      </c>
      <c r="H5" s="31">
        <v>140</v>
      </c>
      <c r="I5" s="31">
        <v>1706</v>
      </c>
      <c r="J5" s="31">
        <v>850</v>
      </c>
      <c r="K5" s="22">
        <v>781</v>
      </c>
      <c r="L5" s="178">
        <v>7786</v>
      </c>
      <c r="M5" s="166">
        <v>500</v>
      </c>
      <c r="N5" s="167">
        <f>SUM(E5:M5)</f>
        <v>14572.5</v>
      </c>
      <c r="R5" s="162" t="s">
        <v>141</v>
      </c>
      <c r="S5" s="169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2:31" ht="42.75" customHeight="1" thickBot="1" x14ac:dyDescent="0.35">
      <c r="B6" s="199" t="s">
        <v>142</v>
      </c>
      <c r="C6" s="169" t="s">
        <v>182</v>
      </c>
      <c r="D6" s="153"/>
      <c r="E6" s="30">
        <v>891</v>
      </c>
      <c r="F6" s="31">
        <v>212</v>
      </c>
      <c r="G6" s="31">
        <v>1970</v>
      </c>
      <c r="H6" s="31">
        <v>75</v>
      </c>
      <c r="I6" s="31">
        <v>1927</v>
      </c>
      <c r="J6" s="31">
        <v>716</v>
      </c>
      <c r="K6" s="22">
        <v>2220</v>
      </c>
      <c r="L6" s="32">
        <v>6511</v>
      </c>
      <c r="M6" s="166">
        <v>500</v>
      </c>
      <c r="N6" s="167">
        <f t="shared" ref="N6:N9" si="0">SUM(E6:M6)</f>
        <v>15022</v>
      </c>
      <c r="O6" s="203" t="s">
        <v>189</v>
      </c>
      <c r="R6" s="162" t="s">
        <v>142</v>
      </c>
      <c r="S6" s="169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167">
        <f t="shared" ref="AD6:AD8" si="1">SUM(U6:AC6)</f>
        <v>13447.5</v>
      </c>
    </row>
    <row r="7" spans="2:31" ht="42.75" customHeight="1" thickBot="1" x14ac:dyDescent="0.35">
      <c r="B7" s="199" t="s">
        <v>143</v>
      </c>
      <c r="C7" s="168" t="s">
        <v>183</v>
      </c>
      <c r="D7" s="153"/>
      <c r="E7" s="30">
        <v>886</v>
      </c>
      <c r="F7" s="31">
        <v>821</v>
      </c>
      <c r="G7" s="31">
        <v>1754</v>
      </c>
      <c r="H7" s="31">
        <v>15</v>
      </c>
      <c r="I7" s="31">
        <v>1791</v>
      </c>
      <c r="J7" s="31">
        <v>352</v>
      </c>
      <c r="K7" s="22">
        <v>705</v>
      </c>
      <c r="L7" s="32">
        <v>5789</v>
      </c>
      <c r="M7" s="166">
        <v>0</v>
      </c>
      <c r="N7" s="167">
        <f t="shared" si="0"/>
        <v>12113</v>
      </c>
      <c r="R7" s="162" t="s">
        <v>143</v>
      </c>
      <c r="S7" s="168" t="s">
        <v>147</v>
      </c>
      <c r="T7" s="153"/>
      <c r="U7" s="30">
        <v>469</v>
      </c>
      <c r="V7" s="31">
        <v>188</v>
      </c>
      <c r="W7" s="31">
        <v>2259</v>
      </c>
      <c r="X7" s="31">
        <v>0</v>
      </c>
      <c r="Y7" s="31">
        <v>1881</v>
      </c>
      <c r="Z7" s="31">
        <v>829</v>
      </c>
      <c r="AA7" s="22">
        <v>1340.5</v>
      </c>
      <c r="AB7" s="32">
        <v>6236</v>
      </c>
      <c r="AC7" s="166">
        <v>500</v>
      </c>
      <c r="AD7" s="167">
        <f t="shared" si="1"/>
        <v>13702.5</v>
      </c>
    </row>
    <row r="8" spans="2:31" ht="42.75" customHeight="1" thickBot="1" x14ac:dyDescent="0.35">
      <c r="B8" s="199" t="s">
        <v>144</v>
      </c>
      <c r="C8" s="169"/>
      <c r="D8" s="153"/>
      <c r="E8" s="30"/>
      <c r="F8" s="31"/>
      <c r="G8" s="31"/>
      <c r="H8" s="31"/>
      <c r="I8" s="31"/>
      <c r="J8" s="31"/>
      <c r="K8" s="22"/>
      <c r="L8" s="32"/>
      <c r="M8" s="166"/>
      <c r="N8" s="167">
        <f t="shared" si="0"/>
        <v>0</v>
      </c>
      <c r="R8" s="162" t="s">
        <v>144</v>
      </c>
      <c r="S8" s="169" t="s">
        <v>89</v>
      </c>
      <c r="T8" s="153"/>
      <c r="U8" s="30">
        <v>352</v>
      </c>
      <c r="V8" s="31">
        <v>180</v>
      </c>
      <c r="W8" s="31">
        <v>2776</v>
      </c>
      <c r="X8" s="31">
        <v>45</v>
      </c>
      <c r="Y8" s="31">
        <v>1638</v>
      </c>
      <c r="Z8" s="31">
        <v>381</v>
      </c>
      <c r="AA8" s="22">
        <v>1223</v>
      </c>
      <c r="AB8" s="32">
        <v>2689</v>
      </c>
      <c r="AC8" s="166">
        <v>500</v>
      </c>
      <c r="AD8" s="167">
        <f t="shared" si="1"/>
        <v>9784</v>
      </c>
    </row>
    <row r="9" spans="2:31" ht="24" customHeight="1" thickBot="1" x14ac:dyDescent="0.35">
      <c r="B9" s="197"/>
      <c r="C9" s="169"/>
      <c r="D9" s="153"/>
      <c r="E9" s="30"/>
      <c r="F9" s="31"/>
      <c r="G9" s="31"/>
      <c r="H9" s="31"/>
      <c r="I9" s="31"/>
      <c r="J9" s="31"/>
      <c r="K9" s="22"/>
      <c r="L9" s="32"/>
      <c r="M9" s="166"/>
      <c r="N9" s="167">
        <f t="shared" si="0"/>
        <v>0</v>
      </c>
      <c r="R9" s="197"/>
      <c r="S9" s="169"/>
      <c r="T9" s="153"/>
      <c r="U9" s="30"/>
      <c r="V9" s="31"/>
      <c r="W9" s="31"/>
      <c r="X9" s="31"/>
      <c r="Y9" s="31"/>
      <c r="Z9" s="31"/>
      <c r="AA9" s="22"/>
      <c r="AB9" s="32"/>
      <c r="AC9" s="166"/>
      <c r="AD9" s="167"/>
    </row>
    <row r="10" spans="2:31" ht="19.5" thickBot="1" x14ac:dyDescent="0.35">
      <c r="B10" s="154"/>
      <c r="E10" s="30"/>
      <c r="F10" s="31"/>
      <c r="G10" s="31"/>
      <c r="H10" s="31"/>
      <c r="I10" s="31"/>
      <c r="J10" s="31"/>
      <c r="K10" s="22"/>
      <c r="L10" s="157"/>
      <c r="M10" s="77"/>
      <c r="N10" s="156">
        <v>0</v>
      </c>
      <c r="R10" s="154"/>
      <c r="U10" s="30"/>
      <c r="V10" s="31"/>
      <c r="W10" s="31"/>
      <c r="X10" s="31"/>
      <c r="Y10" s="31"/>
      <c r="Z10" s="31"/>
      <c r="AA10" s="22"/>
      <c r="AB10" s="157"/>
      <c r="AC10" s="77"/>
      <c r="AD10" s="156">
        <v>0</v>
      </c>
    </row>
    <row r="11" spans="2:31" ht="24" thickBot="1" x14ac:dyDescent="0.35">
      <c r="C11" s="7"/>
      <c r="D11" s="1"/>
      <c r="E11" s="5"/>
      <c r="F11" s="5"/>
      <c r="G11" s="5"/>
      <c r="H11" s="5"/>
      <c r="I11" s="5"/>
      <c r="J11" s="5"/>
      <c r="K11" s="5"/>
      <c r="L11" s="158"/>
      <c r="M11" s="159" t="s">
        <v>18</v>
      </c>
      <c r="N11" s="160">
        <f>SUM(N5:N10)</f>
        <v>41707.5</v>
      </c>
      <c r="S11" s="7"/>
      <c r="T11" s="1"/>
      <c r="U11" s="5"/>
      <c r="V11" s="5"/>
      <c r="W11" s="5"/>
      <c r="X11" s="5"/>
      <c r="Y11" s="5"/>
      <c r="Z11" s="5"/>
      <c r="AA11" s="5"/>
      <c r="AB11" s="158"/>
      <c r="AC11" s="159" t="s">
        <v>18</v>
      </c>
      <c r="AD11" s="160">
        <f>SUM(AD5:AD10)</f>
        <v>50513</v>
      </c>
    </row>
    <row r="12" spans="2:31" ht="21" x14ac:dyDescent="0.35">
      <c r="E12" s="5"/>
      <c r="F12" s="5"/>
      <c r="G12" s="155"/>
      <c r="H12" s="155"/>
      <c r="I12" s="155"/>
      <c r="J12" s="5"/>
      <c r="K12" s="5"/>
      <c r="L12" s="5"/>
      <c r="M12" s="71"/>
      <c r="N12" s="74"/>
      <c r="O12" s="130"/>
      <c r="U12" s="5"/>
      <c r="V12" s="5"/>
      <c r="W12" s="155"/>
      <c r="X12" s="155"/>
      <c r="Y12" s="155"/>
      <c r="Z12" s="5"/>
      <c r="AA12" s="5"/>
      <c r="AB12" s="5"/>
      <c r="AC12" s="71"/>
      <c r="AD12" s="74"/>
      <c r="AE12" s="130"/>
    </row>
    <row r="13" spans="2:31" ht="15.75" x14ac:dyDescent="0.25">
      <c r="C13" s="7"/>
      <c r="D13" s="1"/>
      <c r="E13" s="170"/>
      <c r="F13" s="5"/>
      <c r="G13" s="5"/>
      <c r="H13" s="5"/>
      <c r="I13" s="5"/>
      <c r="K13" s="5"/>
      <c r="L13" s="5"/>
      <c r="M13" s="71"/>
      <c r="N13" s="74"/>
      <c r="O13" s="130"/>
      <c r="S13" s="7"/>
      <c r="T13" s="1"/>
      <c r="U13" s="170"/>
      <c r="V13" s="5"/>
      <c r="W13" s="5"/>
      <c r="X13" s="5"/>
      <c r="Y13" s="5"/>
      <c r="AA13" s="5"/>
      <c r="AB13" s="5"/>
      <c r="AC13" s="71"/>
      <c r="AD13" s="74"/>
      <c r="AE13" s="130"/>
    </row>
    <row r="14" spans="2:31" x14ac:dyDescent="0.25">
      <c r="M14" s="130"/>
      <c r="N14" s="74"/>
      <c r="O14" s="130"/>
      <c r="AC14" s="130"/>
      <c r="AD14" s="74"/>
      <c r="AE14" s="130"/>
    </row>
    <row r="15" spans="2:31" ht="15.75" thickBot="1" x14ac:dyDescent="0.3"/>
    <row r="16" spans="2:31" ht="22.5" thickTop="1" thickBot="1" x14ac:dyDescent="0.4">
      <c r="C16" s="7"/>
      <c r="D16" s="251" t="s">
        <v>19</v>
      </c>
      <c r="E16" s="252"/>
      <c r="F16" s="252"/>
      <c r="G16" s="252"/>
      <c r="H16" s="252"/>
      <c r="I16" s="252"/>
      <c r="J16" s="252"/>
      <c r="K16" s="252"/>
      <c r="L16" s="252"/>
      <c r="M16" s="171"/>
      <c r="N16" s="151"/>
      <c r="S16" s="7"/>
      <c r="T16" s="251" t="s">
        <v>19</v>
      </c>
      <c r="U16" s="252"/>
      <c r="V16" s="252"/>
      <c r="W16" s="252"/>
      <c r="X16" s="252"/>
      <c r="Y16" s="252"/>
      <c r="Z16" s="252"/>
      <c r="AA16" s="252"/>
      <c r="AB16" s="252"/>
      <c r="AC16" s="171"/>
      <c r="AD16" s="151"/>
    </row>
    <row r="17" spans="2:31" ht="16.5" thickBot="1" x14ac:dyDescent="0.3">
      <c r="C17" s="7"/>
      <c r="D17" s="1"/>
      <c r="J17" s="242" t="s">
        <v>185</v>
      </c>
      <c r="K17" s="243"/>
      <c r="L17" s="254"/>
      <c r="M17" s="68"/>
      <c r="N17" s="152"/>
      <c r="S17" s="7"/>
      <c r="T17" s="1"/>
      <c r="Z17" s="242" t="s">
        <v>184</v>
      </c>
      <c r="AA17" s="243"/>
      <c r="AB17" s="244"/>
      <c r="AC17" s="68"/>
      <c r="AD17" s="152"/>
    </row>
    <row r="18" spans="2:31" ht="58.5" customHeight="1" thickTop="1" thickBot="1" x14ac:dyDescent="0.3">
      <c r="C18" s="164" t="s">
        <v>0</v>
      </c>
      <c r="D18" s="24"/>
      <c r="E18" s="176" t="s">
        <v>2</v>
      </c>
      <c r="F18" s="146" t="s">
        <v>7</v>
      </c>
      <c r="G18" s="146" t="s">
        <v>38</v>
      </c>
      <c r="H18" s="176" t="s">
        <v>3</v>
      </c>
      <c r="I18" s="177" t="s">
        <v>4</v>
      </c>
      <c r="J18" s="146" t="s">
        <v>22</v>
      </c>
      <c r="K18" s="149" t="s">
        <v>8</v>
      </c>
      <c r="L18" s="180" t="s">
        <v>5</v>
      </c>
      <c r="M18" s="181"/>
      <c r="N18" s="172" t="s">
        <v>18</v>
      </c>
      <c r="S18" s="164" t="s">
        <v>0</v>
      </c>
      <c r="T18" s="24"/>
      <c r="U18" s="176" t="s">
        <v>2</v>
      </c>
      <c r="V18" s="146" t="s">
        <v>7</v>
      </c>
      <c r="W18" s="146" t="s">
        <v>38</v>
      </c>
      <c r="X18" s="176" t="s">
        <v>3</v>
      </c>
      <c r="Y18" s="177" t="s">
        <v>4</v>
      </c>
      <c r="Z18" s="146" t="s">
        <v>22</v>
      </c>
      <c r="AA18" s="149" t="s">
        <v>8</v>
      </c>
      <c r="AB18" s="180" t="s">
        <v>5</v>
      </c>
      <c r="AC18" s="181"/>
      <c r="AD18" s="172" t="s">
        <v>18</v>
      </c>
    </row>
    <row r="19" spans="2:31" ht="42.75" customHeight="1" thickTop="1" thickBot="1" x14ac:dyDescent="0.35">
      <c r="B19" s="198" t="s">
        <v>141</v>
      </c>
      <c r="C19" s="169" t="s">
        <v>123</v>
      </c>
      <c r="D19" s="153"/>
      <c r="E19" s="30">
        <v>863</v>
      </c>
      <c r="F19" s="31">
        <v>1081</v>
      </c>
      <c r="G19" s="31">
        <v>2839</v>
      </c>
      <c r="H19" s="31">
        <v>145</v>
      </c>
      <c r="I19" s="31">
        <v>729</v>
      </c>
      <c r="J19" s="31">
        <v>6157</v>
      </c>
      <c r="K19" s="22">
        <v>1245</v>
      </c>
      <c r="L19" s="32">
        <v>8215</v>
      </c>
      <c r="M19" s="166"/>
      <c r="N19" s="167">
        <f>SUM(E19:M19)</f>
        <v>21274</v>
      </c>
      <c r="R19" s="182" t="s">
        <v>141</v>
      </c>
      <c r="S19" s="169" t="s">
        <v>20</v>
      </c>
      <c r="T19" s="163"/>
      <c r="U19" s="30">
        <v>611</v>
      </c>
      <c r="V19" s="31">
        <v>1221</v>
      </c>
      <c r="W19" s="31">
        <v>2804</v>
      </c>
      <c r="X19" s="31">
        <v>334</v>
      </c>
      <c r="Y19" s="31">
        <v>779</v>
      </c>
      <c r="Z19" s="31">
        <v>6414</v>
      </c>
      <c r="AA19" s="22">
        <v>1510</v>
      </c>
      <c r="AB19" s="178">
        <v>6779</v>
      </c>
      <c r="AC19" s="179">
        <v>0</v>
      </c>
      <c r="AD19" s="167">
        <f>SUM(U19:AC19)</f>
        <v>20452</v>
      </c>
    </row>
    <row r="20" spans="2:31" ht="42.75" customHeight="1" thickBot="1" x14ac:dyDescent="0.35">
      <c r="B20" s="198" t="s">
        <v>142</v>
      </c>
      <c r="C20" s="169" t="s">
        <v>186</v>
      </c>
      <c r="D20" s="153"/>
      <c r="E20" s="30">
        <v>830</v>
      </c>
      <c r="F20" s="31">
        <v>1055</v>
      </c>
      <c r="G20" s="31">
        <v>3148</v>
      </c>
      <c r="H20" s="31">
        <v>176</v>
      </c>
      <c r="I20" s="31">
        <v>0</v>
      </c>
      <c r="J20" s="31">
        <v>8637</v>
      </c>
      <c r="K20" s="22">
        <v>1947</v>
      </c>
      <c r="L20" s="32">
        <v>7231</v>
      </c>
      <c r="M20" s="166"/>
      <c r="N20" s="167">
        <f t="shared" ref="N20:N23" si="2">SUM(E20:M20)</f>
        <v>23024</v>
      </c>
      <c r="O20" s="203" t="s">
        <v>189</v>
      </c>
      <c r="R20" s="182" t="s">
        <v>142</v>
      </c>
      <c r="S20" s="169" t="s">
        <v>145</v>
      </c>
      <c r="T20" s="153"/>
      <c r="U20" s="30">
        <v>907</v>
      </c>
      <c r="V20" s="31">
        <v>89</v>
      </c>
      <c r="W20" s="31">
        <v>2444</v>
      </c>
      <c r="X20" s="31">
        <v>58</v>
      </c>
      <c r="Y20" s="31">
        <v>403</v>
      </c>
      <c r="Z20" s="31">
        <v>5587</v>
      </c>
      <c r="AA20" s="22">
        <v>4449.5</v>
      </c>
      <c r="AB20" s="32">
        <v>5143</v>
      </c>
      <c r="AC20" s="166">
        <v>0</v>
      </c>
      <c r="AD20" s="167">
        <f t="shared" ref="AD20:AD22" si="3">SUM(U20:AC20)</f>
        <v>19080.5</v>
      </c>
    </row>
    <row r="21" spans="2:31" ht="42.75" customHeight="1" thickBot="1" x14ac:dyDescent="0.35">
      <c r="B21" s="198" t="s">
        <v>143</v>
      </c>
      <c r="C21" s="168" t="s">
        <v>187</v>
      </c>
      <c r="D21" s="153"/>
      <c r="E21" s="30">
        <v>803</v>
      </c>
      <c r="F21" s="31">
        <v>590</v>
      </c>
      <c r="G21" s="31">
        <v>2219</v>
      </c>
      <c r="H21" s="31">
        <v>75</v>
      </c>
      <c r="I21" s="31">
        <v>714</v>
      </c>
      <c r="J21" s="31">
        <v>5982</v>
      </c>
      <c r="K21" s="22">
        <v>1916</v>
      </c>
      <c r="L21" s="32">
        <v>7144</v>
      </c>
      <c r="M21" s="166"/>
      <c r="N21" s="167">
        <f t="shared" si="2"/>
        <v>19443</v>
      </c>
      <c r="R21" s="182" t="s">
        <v>143</v>
      </c>
      <c r="S21" s="168" t="s">
        <v>147</v>
      </c>
      <c r="T21" s="153"/>
      <c r="U21" s="30">
        <v>1055</v>
      </c>
      <c r="V21" s="31">
        <v>1176</v>
      </c>
      <c r="W21" s="31">
        <v>3027</v>
      </c>
      <c r="X21" s="31">
        <v>40</v>
      </c>
      <c r="Y21" s="31">
        <v>400</v>
      </c>
      <c r="Z21" s="31">
        <v>5602</v>
      </c>
      <c r="AA21" s="22">
        <v>1880</v>
      </c>
      <c r="AB21" s="32">
        <v>6403</v>
      </c>
      <c r="AC21" s="166">
        <v>0</v>
      </c>
      <c r="AD21" s="167">
        <f t="shared" si="3"/>
        <v>19583</v>
      </c>
    </row>
    <row r="22" spans="2:31" ht="42.75" customHeight="1" thickBot="1" x14ac:dyDescent="0.35">
      <c r="B22" s="198" t="s">
        <v>144</v>
      </c>
      <c r="C22" s="169"/>
      <c r="D22" s="153"/>
      <c r="E22" s="30"/>
      <c r="F22" s="31"/>
      <c r="G22" s="31"/>
      <c r="H22" s="31"/>
      <c r="I22" s="31"/>
      <c r="J22" s="31"/>
      <c r="K22" s="22"/>
      <c r="L22" s="32"/>
      <c r="M22" s="166"/>
      <c r="N22" s="167">
        <f t="shared" si="2"/>
        <v>0</v>
      </c>
      <c r="R22" s="182" t="s">
        <v>144</v>
      </c>
      <c r="S22" s="169" t="s">
        <v>89</v>
      </c>
      <c r="T22" s="153"/>
      <c r="U22" s="30">
        <v>770</v>
      </c>
      <c r="V22" s="31">
        <v>1462</v>
      </c>
      <c r="W22" s="31">
        <v>3659</v>
      </c>
      <c r="X22" s="31">
        <v>125</v>
      </c>
      <c r="Y22" s="31">
        <v>728</v>
      </c>
      <c r="Z22" s="31">
        <v>5451</v>
      </c>
      <c r="AA22" s="22">
        <v>4130.5</v>
      </c>
      <c r="AB22" s="32">
        <v>2659</v>
      </c>
      <c r="AC22" s="166"/>
      <c r="AD22" s="167">
        <f t="shared" si="3"/>
        <v>18984.5</v>
      </c>
      <c r="AE22" s="203" t="s">
        <v>189</v>
      </c>
    </row>
    <row r="23" spans="2:31" ht="18" customHeight="1" thickBot="1" x14ac:dyDescent="0.35">
      <c r="B23" s="197"/>
      <c r="C23" s="169"/>
      <c r="D23" s="153"/>
      <c r="E23" s="30"/>
      <c r="F23" s="31"/>
      <c r="G23" s="31"/>
      <c r="H23" s="31"/>
      <c r="I23" s="31"/>
      <c r="J23" s="31"/>
      <c r="K23" s="22"/>
      <c r="L23" s="32"/>
      <c r="M23" s="166"/>
      <c r="N23" s="167">
        <f t="shared" si="2"/>
        <v>0</v>
      </c>
      <c r="R23" s="197"/>
      <c r="S23" s="169"/>
      <c r="T23" s="153"/>
      <c r="U23" s="30"/>
      <c r="V23" s="31"/>
      <c r="W23" s="31"/>
      <c r="X23" s="31"/>
      <c r="Y23" s="31"/>
      <c r="Z23" s="31"/>
      <c r="AA23" s="22"/>
      <c r="AB23" s="32"/>
      <c r="AC23" s="166"/>
      <c r="AD23" s="167"/>
    </row>
    <row r="24" spans="2:31" ht="19.5" thickBot="1" x14ac:dyDescent="0.35">
      <c r="B24" s="154"/>
      <c r="E24" s="30"/>
      <c r="F24" s="31"/>
      <c r="G24" s="31"/>
      <c r="H24" s="31"/>
      <c r="I24" s="31"/>
      <c r="J24" s="31"/>
      <c r="K24" s="22"/>
      <c r="L24" s="157"/>
      <c r="M24" s="77"/>
      <c r="N24" s="156">
        <v>0</v>
      </c>
      <c r="R24" s="154"/>
      <c r="U24" s="30"/>
      <c r="V24" s="31"/>
      <c r="W24" s="31"/>
      <c r="X24" s="31"/>
      <c r="Y24" s="31"/>
      <c r="Z24" s="31"/>
      <c r="AA24" s="22"/>
      <c r="AB24" s="157"/>
      <c r="AC24" s="77"/>
      <c r="AD24" s="156">
        <v>0</v>
      </c>
    </row>
    <row r="25" spans="2:31" ht="24" thickBot="1" x14ac:dyDescent="0.35">
      <c r="C25" s="7"/>
      <c r="D25" s="1"/>
      <c r="E25" s="5"/>
      <c r="F25" s="5"/>
      <c r="G25" s="5"/>
      <c r="H25" s="5"/>
      <c r="I25" s="5"/>
      <c r="J25" s="5"/>
      <c r="K25" s="5"/>
      <c r="L25" s="173"/>
      <c r="M25" s="174" t="s">
        <v>18</v>
      </c>
      <c r="N25" s="175">
        <f>SUM(N19:N24)</f>
        <v>63741</v>
      </c>
      <c r="S25" s="7"/>
      <c r="T25" s="1"/>
      <c r="U25" s="5"/>
      <c r="V25" s="5"/>
      <c r="W25" s="5"/>
      <c r="X25" s="5"/>
      <c r="Y25" s="5"/>
      <c r="Z25" s="5"/>
      <c r="AA25" s="5"/>
      <c r="AB25" s="173"/>
      <c r="AC25" s="174" t="s">
        <v>18</v>
      </c>
      <c r="AD25" s="175">
        <f>SUM(AD19:AD24)</f>
        <v>78100</v>
      </c>
    </row>
    <row r="26" spans="2:31" ht="21" x14ac:dyDescent="0.35">
      <c r="E26" s="5"/>
      <c r="F26" s="5"/>
      <c r="G26" s="155"/>
      <c r="H26" s="155"/>
      <c r="I26" s="155"/>
      <c r="J26" s="5"/>
      <c r="K26" s="5"/>
      <c r="L26" s="5"/>
      <c r="M26" s="71"/>
      <c r="N26" s="74"/>
      <c r="O26" s="130"/>
      <c r="U26" s="5"/>
      <c r="V26" s="5"/>
      <c r="W26" s="155"/>
      <c r="X26" s="155"/>
      <c r="Y26" s="155"/>
      <c r="Z26" s="5"/>
      <c r="AA26" s="5"/>
      <c r="AB26" s="5"/>
      <c r="AC26" s="71"/>
      <c r="AD26" s="74"/>
      <c r="AE26" s="130"/>
    </row>
  </sheetData>
  <mergeCells count="8">
    <mergeCell ref="T16:AB16"/>
    <mergeCell ref="Z17:AB17"/>
    <mergeCell ref="T2:AB2"/>
    <mergeCell ref="Z3:AB3"/>
    <mergeCell ref="D2:L2"/>
    <mergeCell ref="J3:L3"/>
    <mergeCell ref="D16:L16"/>
    <mergeCell ref="J17:L17"/>
  </mergeCells>
  <pageMargins left="0.23622047244094491" right="0.23622047244094491" top="0.74803149606299213" bottom="0.74803149606299213" header="0.31496062992125984" footer="0.31496062992125984"/>
  <pageSetup scale="8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C1:AE26"/>
  <sheetViews>
    <sheetView topLeftCell="A7" workbookViewId="0">
      <selection activeCell="D25" sqref="D25"/>
    </sheetView>
  </sheetViews>
  <sheetFormatPr baseColWidth="10" defaultRowHeight="15" x14ac:dyDescent="0.25"/>
  <cols>
    <col min="4" max="4" width="12.28515625" customWidth="1"/>
    <col min="5" max="5" width="2.28515625" customWidth="1"/>
    <col min="15" max="15" width="15.42578125" style="80" customWidth="1"/>
    <col min="19" max="19" width="12.28515625" customWidth="1"/>
    <col min="20" max="20" width="2.28515625" customWidth="1"/>
    <col min="30" max="30" width="16.7109375" style="80" customWidth="1"/>
  </cols>
  <sheetData>
    <row r="1" spans="3:31" ht="15.75" thickBot="1" x14ac:dyDescent="0.3"/>
    <row r="2" spans="3:31" ht="22.5" thickTop="1" thickBot="1" x14ac:dyDescent="0.4">
      <c r="D2" s="7"/>
      <c r="E2" s="238" t="s">
        <v>36</v>
      </c>
      <c r="F2" s="239"/>
      <c r="G2" s="239"/>
      <c r="H2" s="239"/>
      <c r="I2" s="239"/>
      <c r="J2" s="239"/>
      <c r="K2" s="239"/>
      <c r="L2" s="239"/>
      <c r="M2" s="239"/>
      <c r="N2" s="84"/>
      <c r="O2" s="151"/>
      <c r="S2" s="7"/>
      <c r="T2" s="238" t="s">
        <v>36</v>
      </c>
      <c r="U2" s="239"/>
      <c r="V2" s="239"/>
      <c r="W2" s="239"/>
      <c r="X2" s="239"/>
      <c r="Y2" s="239"/>
      <c r="Z2" s="239"/>
      <c r="AA2" s="239"/>
      <c r="AB2" s="239"/>
      <c r="AC2" s="84"/>
      <c r="AD2" s="151"/>
    </row>
    <row r="3" spans="3:31" ht="16.5" thickBot="1" x14ac:dyDescent="0.3">
      <c r="D3" s="7"/>
      <c r="E3" s="1"/>
      <c r="K3" s="242"/>
      <c r="L3" s="243"/>
      <c r="M3" s="254"/>
      <c r="N3" s="68"/>
      <c r="O3" s="152"/>
      <c r="S3" s="7"/>
      <c r="T3" s="1"/>
      <c r="Z3" s="242"/>
      <c r="AA3" s="243"/>
      <c r="AB3" s="244"/>
      <c r="AC3" s="68"/>
      <c r="AD3" s="152"/>
    </row>
    <row r="4" spans="3:31" ht="61.5" thickTop="1" thickBot="1" x14ac:dyDescent="0.3">
      <c r="D4" s="164" t="s">
        <v>0</v>
      </c>
      <c r="E4" s="24"/>
      <c r="F4" s="176" t="s">
        <v>2</v>
      </c>
      <c r="G4" s="146" t="s">
        <v>7</v>
      </c>
      <c r="H4" s="147" t="s">
        <v>38</v>
      </c>
      <c r="I4" s="176" t="s">
        <v>3</v>
      </c>
      <c r="J4" s="146" t="s">
        <v>22</v>
      </c>
      <c r="K4" s="200" t="s">
        <v>4</v>
      </c>
      <c r="L4" s="149" t="s">
        <v>8</v>
      </c>
      <c r="M4" s="202" t="s">
        <v>5</v>
      </c>
      <c r="N4" s="201" t="s">
        <v>146</v>
      </c>
      <c r="O4" s="161" t="s">
        <v>18</v>
      </c>
      <c r="S4" s="164" t="s">
        <v>0</v>
      </c>
      <c r="T4" s="24"/>
      <c r="U4" s="145" t="s">
        <v>2</v>
      </c>
      <c r="V4" s="146" t="s">
        <v>7</v>
      </c>
      <c r="W4" s="147" t="s">
        <v>38</v>
      </c>
      <c r="X4" s="145" t="s">
        <v>3</v>
      </c>
      <c r="Y4" s="146" t="s">
        <v>22</v>
      </c>
      <c r="Z4" s="148" t="s">
        <v>4</v>
      </c>
      <c r="AA4" s="149" t="s">
        <v>8</v>
      </c>
      <c r="AB4" s="150" t="s">
        <v>5</v>
      </c>
      <c r="AC4" s="165" t="s">
        <v>146</v>
      </c>
      <c r="AD4" s="161" t="s">
        <v>18</v>
      </c>
    </row>
    <row r="5" spans="3:31" ht="39" thickTop="1" thickBot="1" x14ac:dyDescent="0.35">
      <c r="C5" s="199" t="s">
        <v>141</v>
      </c>
      <c r="D5" s="168" t="s">
        <v>147</v>
      </c>
      <c r="E5" s="153"/>
      <c r="F5" s="30">
        <v>469</v>
      </c>
      <c r="G5" s="31">
        <v>188</v>
      </c>
      <c r="H5" s="31">
        <v>2259</v>
      </c>
      <c r="I5" s="31">
        <v>0</v>
      </c>
      <c r="J5" s="31">
        <v>1881</v>
      </c>
      <c r="K5" s="31">
        <v>829</v>
      </c>
      <c r="L5" s="22">
        <v>1340.5</v>
      </c>
      <c r="M5" s="32">
        <v>6236</v>
      </c>
      <c r="N5" s="166">
        <v>500</v>
      </c>
      <c r="O5" s="167">
        <f>SUM(F5:N5)</f>
        <v>13702.5</v>
      </c>
      <c r="R5" s="220" t="s">
        <v>141</v>
      </c>
      <c r="S5" s="221" t="s">
        <v>20</v>
      </c>
      <c r="T5" s="163"/>
      <c r="U5" s="30">
        <v>402</v>
      </c>
      <c r="V5" s="31">
        <v>303</v>
      </c>
      <c r="W5" s="31">
        <v>1779</v>
      </c>
      <c r="X5" s="31">
        <v>85</v>
      </c>
      <c r="Y5" s="31">
        <v>1738</v>
      </c>
      <c r="Z5" s="31">
        <v>472</v>
      </c>
      <c r="AA5" s="22">
        <v>2714</v>
      </c>
      <c r="AB5" s="32">
        <v>6086</v>
      </c>
      <c r="AC5" s="166">
        <v>0</v>
      </c>
      <c r="AD5" s="167">
        <f>SUM(U5:AC5)</f>
        <v>13579</v>
      </c>
    </row>
    <row r="6" spans="3:31" ht="40.5" thickBot="1" x14ac:dyDescent="0.35">
      <c r="C6" s="199" t="s">
        <v>142</v>
      </c>
      <c r="D6" s="169" t="s">
        <v>89</v>
      </c>
      <c r="E6" s="153"/>
      <c r="F6" s="30">
        <v>352</v>
      </c>
      <c r="G6" s="31">
        <v>180</v>
      </c>
      <c r="H6" s="31">
        <v>2776</v>
      </c>
      <c r="I6" s="31">
        <v>45</v>
      </c>
      <c r="J6" s="31">
        <v>1638</v>
      </c>
      <c r="K6" s="31">
        <v>381</v>
      </c>
      <c r="L6" s="22">
        <v>1223</v>
      </c>
      <c r="M6" s="32">
        <v>2689</v>
      </c>
      <c r="N6" s="166">
        <v>500</v>
      </c>
      <c r="O6" s="167">
        <f t="shared" ref="O6:O9" si="0">SUM(F6:N6)</f>
        <v>9784</v>
      </c>
      <c r="P6" s="203" t="s">
        <v>189</v>
      </c>
      <c r="R6" s="162" t="s">
        <v>142</v>
      </c>
      <c r="S6" s="224" t="s">
        <v>145</v>
      </c>
      <c r="T6" s="153"/>
      <c r="U6" s="30">
        <v>170</v>
      </c>
      <c r="V6" s="31">
        <v>369</v>
      </c>
      <c r="W6" s="31">
        <v>2264</v>
      </c>
      <c r="X6" s="31">
        <v>0</v>
      </c>
      <c r="Y6" s="31">
        <v>1799</v>
      </c>
      <c r="Z6" s="31">
        <v>403</v>
      </c>
      <c r="AA6" s="22">
        <v>2651.5</v>
      </c>
      <c r="AB6" s="32">
        <v>4783</v>
      </c>
      <c r="AC6" s="166">
        <v>1008</v>
      </c>
      <c r="AD6" s="215">
        <f t="shared" ref="AD6:AD7" si="1">SUM(U6:AC6)</f>
        <v>13447.5</v>
      </c>
    </row>
    <row r="7" spans="3:31" ht="38.25" thickBot="1" x14ac:dyDescent="0.35">
      <c r="C7" s="199" t="s">
        <v>143</v>
      </c>
      <c r="D7" s="169" t="s">
        <v>123</v>
      </c>
      <c r="E7" s="153"/>
      <c r="F7" s="30">
        <v>665.5</v>
      </c>
      <c r="G7" s="31">
        <v>68</v>
      </c>
      <c r="H7" s="31">
        <v>2076</v>
      </c>
      <c r="I7" s="31">
        <v>140</v>
      </c>
      <c r="J7" s="31">
        <v>1706</v>
      </c>
      <c r="K7" s="31">
        <v>850</v>
      </c>
      <c r="L7" s="22">
        <v>781</v>
      </c>
      <c r="M7" s="178">
        <v>7786</v>
      </c>
      <c r="N7" s="166">
        <v>500</v>
      </c>
      <c r="O7" s="167">
        <f t="shared" si="0"/>
        <v>14572.5</v>
      </c>
      <c r="R7" s="222"/>
      <c r="S7" s="223"/>
      <c r="T7" s="153"/>
      <c r="U7" s="225"/>
      <c r="V7" s="227"/>
      <c r="W7" s="261" t="s">
        <v>192</v>
      </c>
      <c r="X7" s="261"/>
      <c r="Y7" s="261"/>
      <c r="Z7" s="262"/>
      <c r="AA7" s="226"/>
      <c r="AB7" s="225"/>
      <c r="AC7" s="228"/>
      <c r="AD7" s="229">
        <f t="shared" si="1"/>
        <v>0</v>
      </c>
    </row>
    <row r="8" spans="3:31" ht="38.25" thickBot="1" x14ac:dyDescent="0.35">
      <c r="C8" s="199" t="s">
        <v>144</v>
      </c>
      <c r="D8" s="168" t="s">
        <v>191</v>
      </c>
      <c r="E8" s="153"/>
      <c r="F8" s="212">
        <f>891+221+100+155+220</f>
        <v>1587</v>
      </c>
      <c r="G8" s="210">
        <f>212+180+641</f>
        <v>1033</v>
      </c>
      <c r="H8" s="210">
        <f>1970+60+45+1601</f>
        <v>3676</v>
      </c>
      <c r="I8" s="210">
        <f>75+45</f>
        <v>120</v>
      </c>
      <c r="J8" s="210">
        <f>1927+51</f>
        <v>1978</v>
      </c>
      <c r="K8" s="210">
        <f>716+352</f>
        <v>1068</v>
      </c>
      <c r="L8" s="211">
        <f>2220+578</f>
        <v>2798</v>
      </c>
      <c r="M8" s="213">
        <v>6511</v>
      </c>
      <c r="N8" s="214">
        <v>500</v>
      </c>
      <c r="O8" s="167">
        <f t="shared" si="0"/>
        <v>19271</v>
      </c>
      <c r="R8" s="154"/>
      <c r="U8" s="218"/>
      <c r="V8" s="218"/>
      <c r="W8" s="218"/>
      <c r="X8" s="218"/>
      <c r="Y8" s="218"/>
      <c r="Z8" s="218"/>
      <c r="AA8" s="219"/>
      <c r="AB8" s="232"/>
      <c r="AC8" s="232"/>
      <c r="AD8" s="233">
        <v>0</v>
      </c>
    </row>
    <row r="9" spans="3:31" ht="24" thickBot="1" x14ac:dyDescent="0.35">
      <c r="C9" s="197"/>
      <c r="D9" s="169"/>
      <c r="E9" s="153"/>
      <c r="F9" s="30"/>
      <c r="G9" s="31"/>
      <c r="H9" s="31"/>
      <c r="I9" s="31"/>
      <c r="J9" s="31"/>
      <c r="K9" s="31"/>
      <c r="L9" s="22"/>
      <c r="M9" s="32"/>
      <c r="N9" s="166"/>
      <c r="O9" s="167">
        <f t="shared" si="0"/>
        <v>0</v>
      </c>
      <c r="S9" s="7"/>
      <c r="T9" s="1"/>
      <c r="U9" s="230"/>
      <c r="V9" s="230"/>
      <c r="W9" s="230"/>
      <c r="X9" s="230"/>
      <c r="Y9" s="230"/>
      <c r="Z9" s="230"/>
      <c r="AA9" s="230"/>
      <c r="AB9" s="216"/>
      <c r="AC9" s="217" t="s">
        <v>18</v>
      </c>
      <c r="AD9" s="231">
        <f>SUM(AD5:AD8)</f>
        <v>27026.5</v>
      </c>
    </row>
    <row r="10" spans="3:31" ht="21.75" thickBot="1" x14ac:dyDescent="0.4">
      <c r="C10" s="154"/>
      <c r="F10" s="30"/>
      <c r="G10" s="31"/>
      <c r="H10" s="263" t="s">
        <v>193</v>
      </c>
      <c r="I10" s="264"/>
      <c r="J10" s="264"/>
      <c r="K10" s="265"/>
      <c r="L10" s="22"/>
      <c r="M10" s="157"/>
      <c r="N10" s="77"/>
      <c r="O10" s="156">
        <v>0</v>
      </c>
      <c r="U10" s="5"/>
      <c r="V10" s="5"/>
      <c r="W10" s="155"/>
      <c r="X10" s="155"/>
      <c r="Y10" s="155"/>
      <c r="Z10" s="5"/>
      <c r="AA10" s="5"/>
      <c r="AB10" s="5"/>
      <c r="AC10" s="71"/>
      <c r="AD10" s="74"/>
      <c r="AE10" s="130"/>
    </row>
    <row r="11" spans="3:31" ht="24" thickBot="1" x14ac:dyDescent="0.35">
      <c r="D11" s="7"/>
      <c r="E11" s="1"/>
      <c r="F11" s="5"/>
      <c r="G11" s="5"/>
      <c r="H11" s="5"/>
      <c r="I11" s="5"/>
      <c r="J11" s="5"/>
      <c r="K11" s="5"/>
      <c r="L11" s="5"/>
      <c r="M11" s="158"/>
      <c r="N11" s="159" t="s">
        <v>18</v>
      </c>
      <c r="O11" s="160">
        <f>SUM(O5:O10)</f>
        <v>57330</v>
      </c>
      <c r="S11" s="7"/>
      <c r="T11" s="1"/>
      <c r="U11" s="170"/>
      <c r="V11" s="5"/>
      <c r="W11" s="5"/>
      <c r="X11" s="5"/>
      <c r="Y11" s="5"/>
      <c r="AA11" s="5"/>
      <c r="AB11" s="5"/>
      <c r="AC11" s="71"/>
      <c r="AD11" s="74"/>
      <c r="AE11" s="130"/>
    </row>
    <row r="12" spans="3:31" ht="21" x14ac:dyDescent="0.35">
      <c r="F12" s="5"/>
      <c r="G12" s="5"/>
      <c r="H12" s="155"/>
      <c r="I12" s="155"/>
      <c r="J12" s="155"/>
      <c r="K12" s="5"/>
      <c r="L12" s="5"/>
      <c r="M12" s="5"/>
      <c r="N12" s="71"/>
      <c r="O12" s="74"/>
      <c r="P12" s="130"/>
      <c r="AC12" s="130"/>
      <c r="AD12" s="74"/>
      <c r="AE12" s="130"/>
    </row>
    <row r="13" spans="3:31" ht="16.5" thickBot="1" x14ac:dyDescent="0.3">
      <c r="D13" s="7"/>
      <c r="E13" s="1"/>
      <c r="F13" s="170"/>
      <c r="G13" s="5"/>
      <c r="H13" s="5"/>
      <c r="I13" s="5"/>
      <c r="J13" s="5"/>
      <c r="L13" s="5"/>
      <c r="M13" s="5"/>
      <c r="N13" s="71"/>
      <c r="O13" s="74"/>
      <c r="P13" s="130"/>
    </row>
    <row r="14" spans="3:31" ht="22.5" thickTop="1" thickBot="1" x14ac:dyDescent="0.4">
      <c r="D14" s="7"/>
      <c r="E14" s="251" t="s">
        <v>19</v>
      </c>
      <c r="F14" s="252"/>
      <c r="G14" s="252"/>
      <c r="H14" s="252"/>
      <c r="I14" s="252"/>
      <c r="J14" s="252"/>
      <c r="K14" s="252"/>
      <c r="L14" s="252"/>
      <c r="M14" s="260"/>
      <c r="N14" s="171"/>
      <c r="O14" s="151"/>
      <c r="S14" s="7"/>
      <c r="T14" s="251" t="s">
        <v>19</v>
      </c>
      <c r="U14" s="252"/>
      <c r="V14" s="252"/>
      <c r="W14" s="252"/>
      <c r="X14" s="252"/>
      <c r="Y14" s="252"/>
      <c r="Z14" s="252"/>
      <c r="AA14" s="252"/>
      <c r="AB14" s="252"/>
      <c r="AC14" s="171"/>
      <c r="AD14" s="151"/>
    </row>
    <row r="15" spans="3:31" ht="16.5" thickBot="1" x14ac:dyDescent="0.3">
      <c r="D15" s="7"/>
      <c r="E15" s="1"/>
      <c r="K15" s="205"/>
      <c r="L15" s="206"/>
      <c r="M15" s="196"/>
      <c r="N15" s="68"/>
      <c r="O15" s="152"/>
      <c r="S15" s="7"/>
      <c r="T15" s="1"/>
      <c r="Z15" s="242"/>
      <c r="AA15" s="243"/>
      <c r="AB15" s="244"/>
      <c r="AC15" s="68"/>
      <c r="AD15" s="152"/>
    </row>
    <row r="16" spans="3:31" ht="61.5" thickTop="1" thickBot="1" x14ac:dyDescent="0.3">
      <c r="D16" s="164" t="s">
        <v>0</v>
      </c>
      <c r="E16" s="24"/>
      <c r="F16" s="176" t="s">
        <v>2</v>
      </c>
      <c r="G16" s="146" t="s">
        <v>7</v>
      </c>
      <c r="H16" s="146" t="s">
        <v>38</v>
      </c>
      <c r="I16" s="176" t="s">
        <v>3</v>
      </c>
      <c r="J16" s="177" t="s">
        <v>4</v>
      </c>
      <c r="K16" s="146" t="s">
        <v>22</v>
      </c>
      <c r="L16" s="149" t="s">
        <v>8</v>
      </c>
      <c r="M16" s="180" t="s">
        <v>5</v>
      </c>
      <c r="N16" s="181"/>
      <c r="O16" s="172" t="s">
        <v>18</v>
      </c>
      <c r="S16" s="164" t="s">
        <v>0</v>
      </c>
      <c r="T16" s="24"/>
      <c r="U16" s="176" t="s">
        <v>2</v>
      </c>
      <c r="V16" s="146" t="s">
        <v>7</v>
      </c>
      <c r="W16" s="146" t="s">
        <v>38</v>
      </c>
      <c r="X16" s="176" t="s">
        <v>3</v>
      </c>
      <c r="Y16" s="177" t="s">
        <v>4</v>
      </c>
      <c r="Z16" s="146" t="s">
        <v>22</v>
      </c>
      <c r="AA16" s="149" t="s">
        <v>8</v>
      </c>
      <c r="AB16" s="180" t="s">
        <v>5</v>
      </c>
      <c r="AC16" s="181"/>
      <c r="AD16" s="172" t="s">
        <v>18</v>
      </c>
    </row>
    <row r="17" spans="3:31" ht="39" thickTop="1" thickBot="1" x14ac:dyDescent="0.35">
      <c r="C17" s="198" t="s">
        <v>141</v>
      </c>
      <c r="D17" s="168" t="s">
        <v>147</v>
      </c>
      <c r="E17" s="153"/>
      <c r="F17" s="30">
        <v>1055</v>
      </c>
      <c r="G17" s="31">
        <v>1176</v>
      </c>
      <c r="H17" s="31">
        <v>3027</v>
      </c>
      <c r="I17" s="31">
        <v>40</v>
      </c>
      <c r="J17" s="31">
        <v>400</v>
      </c>
      <c r="K17" s="31">
        <v>5602</v>
      </c>
      <c r="L17" s="22">
        <v>1880</v>
      </c>
      <c r="M17" s="32">
        <v>6403</v>
      </c>
      <c r="N17" s="166"/>
      <c r="O17" s="167">
        <f>SUM(F17:N17)</f>
        <v>19583</v>
      </c>
      <c r="R17" s="182" t="s">
        <v>141</v>
      </c>
      <c r="S17" s="169" t="s">
        <v>20</v>
      </c>
      <c r="T17" s="163"/>
      <c r="U17" s="30">
        <v>611</v>
      </c>
      <c r="V17" s="31">
        <v>1221</v>
      </c>
      <c r="W17" s="31">
        <v>2804</v>
      </c>
      <c r="X17" s="31">
        <v>334</v>
      </c>
      <c r="Y17" s="31">
        <v>779</v>
      </c>
      <c r="Z17" s="31">
        <v>6414</v>
      </c>
      <c r="AA17" s="22">
        <v>1510</v>
      </c>
      <c r="AB17" s="178">
        <v>6779</v>
      </c>
      <c r="AC17" s="179">
        <v>0</v>
      </c>
      <c r="AD17" s="167">
        <f>SUM(U17:AC17)</f>
        <v>20452</v>
      </c>
    </row>
    <row r="18" spans="3:31" ht="40.5" thickBot="1" x14ac:dyDescent="0.35">
      <c r="C18" s="198" t="s">
        <v>142</v>
      </c>
      <c r="D18" s="169" t="s">
        <v>89</v>
      </c>
      <c r="E18" s="153"/>
      <c r="F18" s="30">
        <v>770</v>
      </c>
      <c r="G18" s="31">
        <v>1462</v>
      </c>
      <c r="H18" s="31">
        <v>3659</v>
      </c>
      <c r="I18" s="31">
        <v>125</v>
      </c>
      <c r="J18" s="31">
        <v>728</v>
      </c>
      <c r="K18" s="31">
        <v>5451</v>
      </c>
      <c r="L18" s="22">
        <v>4130.5</v>
      </c>
      <c r="M18" s="32">
        <v>2659</v>
      </c>
      <c r="N18" s="166"/>
      <c r="O18" s="167">
        <f t="shared" ref="O18:O21" si="2">SUM(F18:N18)</f>
        <v>18984.5</v>
      </c>
      <c r="P18" s="203" t="s">
        <v>189</v>
      </c>
      <c r="R18" s="182" t="s">
        <v>142</v>
      </c>
      <c r="S18" s="169" t="s">
        <v>145</v>
      </c>
      <c r="T18" s="153"/>
      <c r="U18" s="30">
        <v>907</v>
      </c>
      <c r="V18" s="31">
        <v>89</v>
      </c>
      <c r="W18" s="31">
        <v>2444</v>
      </c>
      <c r="X18" s="31">
        <v>58</v>
      </c>
      <c r="Y18" s="31">
        <v>403</v>
      </c>
      <c r="Z18" s="31">
        <v>5587</v>
      </c>
      <c r="AA18" s="22">
        <v>4449.5</v>
      </c>
      <c r="AB18" s="32">
        <v>5143</v>
      </c>
      <c r="AC18" s="166">
        <v>0</v>
      </c>
      <c r="AD18" s="167">
        <f t="shared" ref="AD18" si="3">SUM(U18:AC18)</f>
        <v>19080.5</v>
      </c>
    </row>
    <row r="19" spans="3:31" ht="38.25" thickBot="1" x14ac:dyDescent="0.35">
      <c r="C19" s="198" t="s">
        <v>143</v>
      </c>
      <c r="D19" s="169" t="s">
        <v>123</v>
      </c>
      <c r="E19" s="153"/>
      <c r="F19" s="30">
        <v>863</v>
      </c>
      <c r="G19" s="31">
        <v>1081</v>
      </c>
      <c r="H19" s="31">
        <v>2839</v>
      </c>
      <c r="I19" s="31">
        <v>145</v>
      </c>
      <c r="J19" s="31">
        <v>729</v>
      </c>
      <c r="K19" s="31">
        <v>6157</v>
      </c>
      <c r="L19" s="22">
        <v>1245</v>
      </c>
      <c r="M19" s="32">
        <v>8215</v>
      </c>
      <c r="N19" s="166"/>
      <c r="O19" s="167">
        <f t="shared" si="2"/>
        <v>21274</v>
      </c>
      <c r="R19" s="197"/>
      <c r="S19" s="169"/>
      <c r="T19" s="153"/>
      <c r="U19" s="30"/>
      <c r="V19" s="31"/>
      <c r="W19" s="31"/>
      <c r="X19" s="31"/>
      <c r="Y19" s="31"/>
      <c r="Z19" s="31"/>
      <c r="AA19" s="22"/>
      <c r="AB19" s="32"/>
      <c r="AC19" s="166"/>
      <c r="AD19" s="167"/>
    </row>
    <row r="20" spans="3:31" ht="38.25" thickBot="1" x14ac:dyDescent="0.35">
      <c r="C20" s="198" t="s">
        <v>144</v>
      </c>
      <c r="D20" s="168" t="s">
        <v>190</v>
      </c>
      <c r="E20" s="153"/>
      <c r="F20" s="212">
        <f>830+200+100+253</f>
        <v>1383</v>
      </c>
      <c r="G20" s="210">
        <f>1055+590</f>
        <v>1645</v>
      </c>
      <c r="H20" s="210">
        <f>3148+60+70+1967</f>
        <v>5245</v>
      </c>
      <c r="I20" s="210">
        <f>176+35+40</f>
        <v>251</v>
      </c>
      <c r="J20" s="210">
        <f>714</f>
        <v>714</v>
      </c>
      <c r="K20" s="210">
        <f>8637+68+88</f>
        <v>8793</v>
      </c>
      <c r="L20" s="211">
        <f>1947+1390+343+55+40</f>
        <v>3775</v>
      </c>
      <c r="M20" s="213">
        <v>7231</v>
      </c>
      <c r="N20" s="166"/>
      <c r="O20" s="167">
        <f t="shared" si="2"/>
        <v>29037</v>
      </c>
      <c r="R20" s="154"/>
      <c r="U20" s="30"/>
      <c r="V20" s="31"/>
      <c r="W20" s="258" t="s">
        <v>192</v>
      </c>
      <c r="X20" s="258"/>
      <c r="Y20" s="258"/>
      <c r="Z20" s="259"/>
      <c r="AA20" s="22"/>
      <c r="AB20" s="157"/>
      <c r="AC20" s="77"/>
      <c r="AD20" s="156">
        <v>0</v>
      </c>
    </row>
    <row r="21" spans="3:31" ht="24" thickBot="1" x14ac:dyDescent="0.35">
      <c r="C21" s="197"/>
      <c r="D21" s="169"/>
      <c r="E21" s="153"/>
      <c r="F21" s="30"/>
      <c r="G21" s="31"/>
      <c r="H21" s="31"/>
      <c r="I21" s="31"/>
      <c r="J21" s="31"/>
      <c r="K21" s="31"/>
      <c r="L21" s="22"/>
      <c r="M21" s="32"/>
      <c r="N21" s="166"/>
      <c r="O21" s="167">
        <f t="shared" si="2"/>
        <v>0</v>
      </c>
      <c r="S21" s="7"/>
      <c r="T21" s="1"/>
      <c r="U21" s="5"/>
      <c r="V21" s="5"/>
      <c r="W21" s="5"/>
      <c r="X21" s="5"/>
      <c r="Y21" s="5"/>
      <c r="Z21" s="5"/>
      <c r="AA21" s="5"/>
      <c r="AB21" s="173"/>
      <c r="AC21" s="174" t="s">
        <v>18</v>
      </c>
      <c r="AD21" s="175">
        <f>SUM(AD17:AD20)</f>
        <v>39532.5</v>
      </c>
    </row>
    <row r="22" spans="3:31" ht="21.75" thickBot="1" x14ac:dyDescent="0.4">
      <c r="C22" s="154"/>
      <c r="F22" s="30"/>
      <c r="G22" s="31"/>
      <c r="H22" s="255" t="s">
        <v>193</v>
      </c>
      <c r="I22" s="256"/>
      <c r="J22" s="256"/>
      <c r="K22" s="257"/>
      <c r="L22" s="22"/>
      <c r="M22" s="157"/>
      <c r="N22" s="77"/>
      <c r="O22" s="156">
        <v>0</v>
      </c>
      <c r="U22" s="5"/>
      <c r="V22" s="5"/>
      <c r="W22" s="155"/>
      <c r="X22" s="155"/>
      <c r="Y22" s="155"/>
      <c r="Z22" s="5"/>
      <c r="AA22" s="5"/>
      <c r="AB22" s="5"/>
      <c r="AC22" s="71"/>
      <c r="AD22" s="74"/>
      <c r="AE22" s="130"/>
    </row>
    <row r="23" spans="3:31" ht="24" thickBot="1" x14ac:dyDescent="0.35">
      <c r="D23" s="7"/>
      <c r="E23" s="1"/>
      <c r="F23" s="5"/>
      <c r="G23" s="5"/>
      <c r="H23" s="5"/>
      <c r="I23" s="5"/>
      <c r="J23" s="5"/>
      <c r="K23" s="5"/>
      <c r="L23" s="5"/>
      <c r="M23" s="173"/>
      <c r="N23" s="174" t="s">
        <v>18</v>
      </c>
      <c r="O23" s="175">
        <f>SUM(O17:O22)</f>
        <v>88878.5</v>
      </c>
      <c r="Q23" t="s">
        <v>26</v>
      </c>
    </row>
    <row r="24" spans="3:31" ht="21" x14ac:dyDescent="0.35">
      <c r="F24" s="5"/>
      <c r="G24" s="5"/>
      <c r="H24" s="155"/>
      <c r="I24" s="155"/>
      <c r="J24" s="155"/>
      <c r="K24" s="5"/>
      <c r="L24" s="5"/>
      <c r="M24" s="5"/>
      <c r="N24" s="71"/>
      <c r="O24" s="74"/>
      <c r="P24" s="130"/>
    </row>
    <row r="25" spans="3:31" ht="23.25" x14ac:dyDescent="0.3">
      <c r="D25" s="7"/>
      <c r="E25" s="1"/>
      <c r="F25" s="5"/>
      <c r="G25" s="5"/>
      <c r="H25" s="5"/>
      <c r="I25" s="5"/>
      <c r="J25" s="5"/>
      <c r="K25" s="5"/>
      <c r="L25" s="71"/>
      <c r="M25" s="207"/>
      <c r="N25" s="208"/>
      <c r="O25" s="209"/>
    </row>
    <row r="26" spans="3:31" ht="21" x14ac:dyDescent="0.35">
      <c r="F26" s="5"/>
      <c r="G26" s="5"/>
      <c r="H26" s="155"/>
      <c r="I26" s="155"/>
      <c r="J26" s="155"/>
      <c r="K26" s="5"/>
      <c r="L26" s="71"/>
      <c r="M26" s="71"/>
      <c r="N26" s="71"/>
      <c r="O26" s="74"/>
      <c r="P26" s="130"/>
    </row>
  </sheetData>
  <mergeCells count="11">
    <mergeCell ref="T2:AB2"/>
    <mergeCell ref="Z3:AB3"/>
    <mergeCell ref="T14:AB14"/>
    <mergeCell ref="Z15:AB15"/>
    <mergeCell ref="E2:M2"/>
    <mergeCell ref="K3:M3"/>
    <mergeCell ref="H22:K22"/>
    <mergeCell ref="W20:Z20"/>
    <mergeCell ref="E14:M14"/>
    <mergeCell ref="W7:Z7"/>
    <mergeCell ref="H10:K10"/>
  </mergeCells>
  <pageMargins left="0.25" right="0.25" top="0.75" bottom="0.75" header="0.3" footer="0.3"/>
  <pageSetup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B1:AA24"/>
  <sheetViews>
    <sheetView topLeftCell="A7" workbookViewId="0">
      <selection activeCell="D27" sqref="D27"/>
    </sheetView>
  </sheetViews>
  <sheetFormatPr baseColWidth="10" defaultRowHeight="15" x14ac:dyDescent="0.25"/>
  <cols>
    <col min="1" max="1" width="4" customWidth="1"/>
    <col min="2" max="2" width="13.7109375" style="7" customWidth="1"/>
    <col min="3" max="3" width="25" style="1" customWidth="1"/>
    <col min="4" max="4" width="12.85546875" customWidth="1"/>
    <col min="5" max="5" width="11.7109375" bestFit="1" customWidth="1"/>
    <col min="6" max="6" width="12.5703125" bestFit="1" customWidth="1"/>
    <col min="7" max="7" width="10.28515625" bestFit="1" customWidth="1"/>
    <col min="8" max="8" width="13.42578125" bestFit="1" customWidth="1"/>
    <col min="9" max="9" width="11.7109375" bestFit="1" customWidth="1"/>
    <col min="10" max="10" width="11.28515625" bestFit="1" customWidth="1"/>
    <col min="11" max="11" width="12.85546875" bestFit="1" customWidth="1"/>
    <col min="12" max="12" width="12" customWidth="1"/>
    <col min="13" max="13" width="5.140625" customWidth="1"/>
    <col min="14" max="14" width="16.140625" style="80" customWidth="1"/>
    <col min="15" max="15" width="14" style="80" customWidth="1"/>
    <col min="16" max="16" width="23.7109375" style="7" customWidth="1"/>
    <col min="17" max="17" width="25" customWidth="1"/>
    <col min="18" max="18" width="13.28515625" customWidth="1"/>
    <col min="19" max="19" width="11.5703125" bestFit="1" customWidth="1"/>
    <col min="20" max="20" width="12.42578125" bestFit="1" customWidth="1"/>
    <col min="21" max="21" width="10.140625" bestFit="1" customWidth="1"/>
    <col min="22" max="22" width="13.5703125" customWidth="1"/>
    <col min="23" max="23" width="12.85546875" customWidth="1"/>
    <col min="24" max="24" width="11.28515625" bestFit="1" customWidth="1"/>
    <col min="25" max="26" width="12.42578125" bestFit="1" customWidth="1"/>
  </cols>
  <sheetData>
    <row r="1" spans="2:27" ht="22.5" thickTop="1" thickBot="1" x14ac:dyDescent="0.4">
      <c r="C1" s="238" t="s">
        <v>36</v>
      </c>
      <c r="D1" s="239"/>
      <c r="E1" s="239"/>
      <c r="F1" s="239"/>
      <c r="G1" s="239"/>
      <c r="H1" s="239"/>
      <c r="I1" s="239"/>
      <c r="J1" s="239"/>
      <c r="K1" s="239"/>
      <c r="L1" s="127" t="s">
        <v>41</v>
      </c>
      <c r="M1" s="133"/>
      <c r="N1" s="81"/>
      <c r="O1" s="251" t="s">
        <v>19</v>
      </c>
      <c r="P1" s="252"/>
      <c r="Q1" s="252"/>
      <c r="R1" s="252"/>
      <c r="S1" s="252"/>
      <c r="T1" s="252"/>
      <c r="U1" s="252"/>
      <c r="V1" s="252"/>
      <c r="W1" s="252"/>
      <c r="X1" s="128" t="s">
        <v>41</v>
      </c>
    </row>
    <row r="2" spans="2:27" ht="16.5" thickBot="1" x14ac:dyDescent="0.3">
      <c r="I2" s="242" t="s">
        <v>129</v>
      </c>
      <c r="J2" s="243"/>
      <c r="K2" s="244"/>
      <c r="L2" s="68"/>
      <c r="M2" s="134"/>
      <c r="N2" s="74"/>
      <c r="O2" s="7"/>
      <c r="P2"/>
      <c r="V2" s="242" t="s">
        <v>107</v>
      </c>
      <c r="W2" s="243"/>
      <c r="X2" s="244"/>
    </row>
    <row r="3" spans="2:27" ht="64.5" thickTop="1" thickBot="1" x14ac:dyDescent="0.3">
      <c r="B3" s="6" t="s">
        <v>0</v>
      </c>
      <c r="C3" s="24" t="s">
        <v>1</v>
      </c>
      <c r="D3" s="25" t="s">
        <v>2</v>
      </c>
      <c r="E3" s="26" t="s">
        <v>7</v>
      </c>
      <c r="F3" s="56" t="s">
        <v>38</v>
      </c>
      <c r="G3" s="25" t="s">
        <v>3</v>
      </c>
      <c r="H3" s="27" t="s">
        <v>22</v>
      </c>
      <c r="I3" s="60" t="s">
        <v>4</v>
      </c>
      <c r="J3" s="61" t="s">
        <v>8</v>
      </c>
      <c r="K3" s="62" t="s">
        <v>5</v>
      </c>
      <c r="L3" s="99" t="s">
        <v>46</v>
      </c>
      <c r="M3" s="135"/>
      <c r="N3" s="82"/>
      <c r="O3" s="36" t="s">
        <v>0</v>
      </c>
      <c r="P3" s="143" t="s">
        <v>1</v>
      </c>
      <c r="Q3" s="137" t="s">
        <v>2</v>
      </c>
      <c r="R3" s="138" t="s">
        <v>16</v>
      </c>
      <c r="S3" s="139" t="s">
        <v>38</v>
      </c>
      <c r="T3" s="140" t="s">
        <v>3</v>
      </c>
      <c r="U3" s="140" t="s">
        <v>4</v>
      </c>
      <c r="V3" s="141" t="s">
        <v>25</v>
      </c>
      <c r="W3" s="136" t="s">
        <v>8</v>
      </c>
      <c r="X3" s="142" t="s">
        <v>5</v>
      </c>
    </row>
    <row r="4" spans="2:27" ht="75" x14ac:dyDescent="0.25">
      <c r="B4" s="93" t="s">
        <v>123</v>
      </c>
      <c r="C4" s="107" t="s">
        <v>130</v>
      </c>
      <c r="D4" s="72"/>
      <c r="E4" s="72"/>
      <c r="F4" s="72"/>
      <c r="G4" s="72"/>
      <c r="H4" s="72"/>
      <c r="I4" s="72"/>
      <c r="J4" s="72"/>
      <c r="K4" s="72">
        <f>2361+1550+386+1883+642+964</f>
        <v>7786</v>
      </c>
      <c r="L4" s="70"/>
      <c r="M4" s="131"/>
      <c r="N4" s="74"/>
      <c r="O4" s="93" t="s">
        <v>133</v>
      </c>
      <c r="P4" s="86" t="s">
        <v>134</v>
      </c>
      <c r="Q4" s="72"/>
      <c r="R4" s="72"/>
      <c r="S4" s="72"/>
      <c r="T4" s="72"/>
      <c r="U4" s="72"/>
      <c r="V4" s="72"/>
      <c r="W4" s="72"/>
      <c r="X4" s="72">
        <f>2377+2781+1874+429+754</f>
        <v>8215</v>
      </c>
    </row>
    <row r="5" spans="2:27" ht="61.5" customHeight="1" x14ac:dyDescent="0.25">
      <c r="B5" s="93" t="s">
        <v>123</v>
      </c>
      <c r="C5" s="44" t="s">
        <v>131</v>
      </c>
      <c r="D5" s="67"/>
      <c r="E5" s="67"/>
      <c r="F5" s="67">
        <f>1380+370+88+238</f>
        <v>2076</v>
      </c>
      <c r="G5" s="67"/>
      <c r="H5" s="67"/>
      <c r="I5" s="67"/>
      <c r="J5" s="67"/>
      <c r="K5" s="67"/>
      <c r="L5" s="67"/>
      <c r="M5" s="131"/>
      <c r="N5" s="74"/>
      <c r="O5" s="93" t="s">
        <v>133</v>
      </c>
      <c r="P5" s="89" t="s">
        <v>136</v>
      </c>
      <c r="Q5" s="72"/>
      <c r="R5" s="72"/>
      <c r="S5" s="72">
        <f>180+148+36+2475</f>
        <v>2839</v>
      </c>
      <c r="T5" s="72"/>
      <c r="U5" s="72"/>
      <c r="V5" s="72"/>
      <c r="W5" s="72"/>
      <c r="X5" s="67"/>
    </row>
    <row r="6" spans="2:27" ht="29.25" customHeight="1" x14ac:dyDescent="0.25">
      <c r="B6" s="93" t="s">
        <v>123</v>
      </c>
      <c r="C6" s="43" t="s">
        <v>124</v>
      </c>
      <c r="D6" s="67">
        <f>47+72.5+247+54+245</f>
        <v>665.5</v>
      </c>
      <c r="E6" s="67"/>
      <c r="F6" s="67"/>
      <c r="G6" s="67"/>
      <c r="H6" s="67"/>
      <c r="I6" s="67"/>
      <c r="J6" s="67"/>
      <c r="K6" s="67"/>
      <c r="L6" s="11"/>
      <c r="M6" s="131"/>
      <c r="N6" s="74"/>
      <c r="O6" s="93" t="s">
        <v>133</v>
      </c>
      <c r="P6" s="89" t="s">
        <v>137</v>
      </c>
      <c r="Q6" s="72">
        <f>330+158+288+87</f>
        <v>863</v>
      </c>
      <c r="R6" s="72"/>
      <c r="S6" s="72"/>
      <c r="T6" s="72"/>
      <c r="U6" s="72"/>
      <c r="V6" s="72"/>
      <c r="W6" s="72"/>
      <c r="X6" s="67"/>
    </row>
    <row r="7" spans="2:27" ht="66.75" customHeight="1" x14ac:dyDescent="0.25">
      <c r="B7" s="93" t="s">
        <v>123</v>
      </c>
      <c r="C7" s="96" t="s">
        <v>125</v>
      </c>
      <c r="D7" s="67"/>
      <c r="E7" s="67"/>
      <c r="F7" s="67"/>
      <c r="G7" s="67">
        <v>140</v>
      </c>
      <c r="H7" s="67"/>
      <c r="I7" s="67"/>
      <c r="J7" s="67"/>
      <c r="K7" s="67"/>
      <c r="L7" s="11"/>
      <c r="M7" s="131"/>
      <c r="N7" s="74"/>
      <c r="O7" s="93" t="s">
        <v>133</v>
      </c>
      <c r="P7" s="87" t="s">
        <v>135</v>
      </c>
      <c r="Q7" s="72"/>
      <c r="R7" s="72"/>
      <c r="S7" s="72"/>
      <c r="T7" s="72">
        <v>145</v>
      </c>
      <c r="U7" s="72"/>
      <c r="V7" s="72"/>
      <c r="W7" s="72"/>
      <c r="X7" s="67"/>
    </row>
    <row r="8" spans="2:27" ht="36" customHeight="1" x14ac:dyDescent="0.25">
      <c r="B8" s="93" t="s">
        <v>123</v>
      </c>
      <c r="C8" s="44" t="s">
        <v>46</v>
      </c>
      <c r="D8" s="67"/>
      <c r="E8" s="67"/>
      <c r="F8" s="67"/>
      <c r="G8" s="67"/>
      <c r="H8" s="67"/>
      <c r="I8" s="67"/>
      <c r="J8" s="67"/>
      <c r="K8" s="67"/>
      <c r="L8" s="11">
        <v>500</v>
      </c>
      <c r="M8" s="131"/>
      <c r="N8" s="74"/>
      <c r="O8" s="93" t="s">
        <v>133</v>
      </c>
      <c r="P8" s="89" t="s">
        <v>138</v>
      </c>
      <c r="Q8" s="72"/>
      <c r="R8" s="72">
        <v>1081</v>
      </c>
      <c r="S8" s="72"/>
      <c r="T8" s="72"/>
      <c r="U8" s="72"/>
      <c r="V8" s="72"/>
      <c r="W8" s="72"/>
      <c r="X8" s="67"/>
    </row>
    <row r="9" spans="2:27" ht="28.5" customHeight="1" x14ac:dyDescent="0.25">
      <c r="B9" s="93" t="s">
        <v>123</v>
      </c>
      <c r="C9" s="44" t="s">
        <v>126</v>
      </c>
      <c r="D9" s="67"/>
      <c r="E9" s="67">
        <v>68</v>
      </c>
      <c r="F9" s="67"/>
      <c r="G9" s="67"/>
      <c r="H9" s="67"/>
      <c r="I9" s="67"/>
      <c r="J9" s="67"/>
      <c r="K9" s="67"/>
      <c r="L9" s="11"/>
      <c r="M9" s="131"/>
      <c r="N9" s="74"/>
      <c r="O9" s="93" t="s">
        <v>133</v>
      </c>
      <c r="P9" s="89"/>
      <c r="Q9" s="72"/>
      <c r="R9" s="72"/>
      <c r="S9" s="72"/>
      <c r="T9" s="72"/>
      <c r="U9" s="72"/>
      <c r="V9" s="72"/>
      <c r="W9" s="72"/>
      <c r="X9" s="67"/>
    </row>
    <row r="10" spans="2:27" ht="31.5" customHeight="1" x14ac:dyDescent="0.25">
      <c r="B10" s="93" t="s">
        <v>123</v>
      </c>
      <c r="C10" s="44" t="s">
        <v>128</v>
      </c>
      <c r="D10" s="67"/>
      <c r="E10" s="67"/>
      <c r="F10" s="67"/>
      <c r="G10" s="67"/>
      <c r="H10" s="67"/>
      <c r="I10" s="67"/>
      <c r="J10" s="94">
        <f>155+626</f>
        <v>781</v>
      </c>
      <c r="K10" s="67"/>
      <c r="L10" s="11"/>
      <c r="M10" s="131"/>
      <c r="N10" s="74"/>
      <c r="O10" s="93" t="s">
        <v>133</v>
      </c>
      <c r="P10" s="87" t="s">
        <v>139</v>
      </c>
      <c r="Q10" s="72"/>
      <c r="R10" s="72"/>
      <c r="S10" s="72"/>
      <c r="T10" s="72"/>
      <c r="U10" s="72"/>
      <c r="V10" s="72"/>
      <c r="W10" s="72">
        <f>900+345</f>
        <v>1245</v>
      </c>
      <c r="X10" s="67"/>
      <c r="Y10" s="129"/>
      <c r="Z10" s="80"/>
      <c r="AA10" s="80"/>
    </row>
    <row r="11" spans="2:27" ht="48" x14ac:dyDescent="0.25">
      <c r="B11" s="93" t="s">
        <v>123</v>
      </c>
      <c r="C11" s="42" t="s">
        <v>127</v>
      </c>
      <c r="D11" s="67"/>
      <c r="E11" s="67"/>
      <c r="F11" s="67"/>
      <c r="G11" s="67"/>
      <c r="H11" s="67"/>
      <c r="I11" s="67">
        <v>850</v>
      </c>
      <c r="J11" s="67"/>
      <c r="K11" s="67"/>
      <c r="L11" s="11"/>
      <c r="M11" s="131"/>
      <c r="N11" s="74"/>
      <c r="O11" s="93" t="s">
        <v>133</v>
      </c>
      <c r="P11" s="90" t="s">
        <v>4</v>
      </c>
      <c r="Q11" s="72"/>
      <c r="R11" s="72"/>
      <c r="S11" s="72"/>
      <c r="T11" s="72"/>
      <c r="U11" s="72">
        <v>729</v>
      </c>
      <c r="V11" s="72"/>
      <c r="W11" s="72"/>
      <c r="X11" s="67"/>
    </row>
    <row r="12" spans="2:27" ht="22.5" customHeight="1" x14ac:dyDescent="0.25">
      <c r="B12" s="93" t="s">
        <v>123</v>
      </c>
      <c r="C12" s="95" t="s">
        <v>96</v>
      </c>
      <c r="D12" s="67"/>
      <c r="E12" s="67"/>
      <c r="F12" s="67"/>
      <c r="G12" s="67"/>
      <c r="H12" s="67">
        <f>119+51+68+68+102+68</f>
        <v>476</v>
      </c>
      <c r="I12" s="67"/>
      <c r="J12" s="67"/>
      <c r="K12" s="67"/>
      <c r="L12" s="11"/>
      <c r="M12" s="131"/>
      <c r="N12" s="74"/>
      <c r="O12" s="93" t="s">
        <v>133</v>
      </c>
      <c r="P12" s="98" t="s">
        <v>132</v>
      </c>
      <c r="Q12" s="72"/>
      <c r="R12" s="72"/>
      <c r="S12" s="72"/>
      <c r="T12" s="72"/>
      <c r="U12" s="72"/>
      <c r="V12" s="72">
        <f>270+153+170+204+170+204</f>
        <v>1171</v>
      </c>
      <c r="W12" s="72"/>
      <c r="X12" s="67"/>
    </row>
    <row r="13" spans="2:27" ht="18.75" customHeight="1" x14ac:dyDescent="0.25">
      <c r="B13" s="93" t="s">
        <v>123</v>
      </c>
      <c r="C13" s="42" t="s">
        <v>11</v>
      </c>
      <c r="D13" s="67"/>
      <c r="E13" s="67"/>
      <c r="F13" s="67"/>
      <c r="G13" s="67"/>
      <c r="H13" s="67">
        <f>380+380+470</f>
        <v>1230</v>
      </c>
      <c r="I13" s="67"/>
      <c r="J13" s="67"/>
      <c r="K13" s="67"/>
      <c r="L13" s="11"/>
      <c r="M13" s="131"/>
      <c r="N13" s="74"/>
      <c r="O13" s="93"/>
      <c r="P13" s="88" t="s">
        <v>140</v>
      </c>
      <c r="Q13" s="72"/>
      <c r="R13" s="72"/>
      <c r="S13" s="72"/>
      <c r="T13" s="72"/>
      <c r="U13" s="72"/>
      <c r="V13" s="72">
        <f>700+700+710+2566+310</f>
        <v>4986</v>
      </c>
      <c r="W13" s="72"/>
      <c r="X13" s="67"/>
    </row>
    <row r="14" spans="2:27" ht="18.75" customHeight="1" x14ac:dyDescent="0.25">
      <c r="B14" s="93" t="s">
        <v>123</v>
      </c>
      <c r="C14" s="95"/>
      <c r="D14" s="67"/>
      <c r="E14" s="67"/>
      <c r="F14" s="67"/>
      <c r="G14" s="67"/>
      <c r="H14" s="67"/>
      <c r="I14" s="67"/>
      <c r="J14" s="67"/>
      <c r="K14" s="67"/>
      <c r="L14" s="11"/>
      <c r="M14" s="131"/>
      <c r="N14" s="74"/>
      <c r="O14" s="93"/>
      <c r="P14" s="88"/>
      <c r="Q14" s="72"/>
      <c r="R14" s="72"/>
      <c r="S14" s="72"/>
      <c r="T14" s="72"/>
      <c r="U14" s="72"/>
      <c r="V14" s="72"/>
      <c r="W14" s="72"/>
      <c r="X14" s="67"/>
    </row>
    <row r="15" spans="2:27" ht="18.75" customHeight="1" x14ac:dyDescent="0.25">
      <c r="B15" s="93"/>
      <c r="C15" s="10"/>
      <c r="D15" s="67"/>
      <c r="E15" s="67"/>
      <c r="F15" s="67"/>
      <c r="G15" s="67"/>
      <c r="H15" s="67"/>
      <c r="I15" s="67"/>
      <c r="J15" s="67"/>
      <c r="K15" s="67"/>
      <c r="L15" s="11"/>
      <c r="M15" s="131"/>
      <c r="N15" s="74"/>
      <c r="O15" s="93"/>
      <c r="P15" s="91"/>
      <c r="Q15" s="67"/>
      <c r="R15" s="67"/>
      <c r="S15" s="67"/>
      <c r="T15" s="67"/>
      <c r="U15" s="67"/>
      <c r="V15" s="67"/>
      <c r="W15" s="67"/>
      <c r="X15" s="67"/>
    </row>
    <row r="16" spans="2:27" x14ac:dyDescent="0.25">
      <c r="B16" s="93"/>
      <c r="C16" s="10"/>
      <c r="D16" s="67"/>
      <c r="E16" s="67"/>
      <c r="F16" s="67"/>
      <c r="G16" s="67"/>
      <c r="H16" s="67"/>
      <c r="I16" s="67"/>
      <c r="J16" s="67"/>
      <c r="K16" s="67"/>
      <c r="L16" s="11"/>
      <c r="M16" s="131"/>
      <c r="N16" s="74"/>
      <c r="O16" s="93"/>
      <c r="P16" s="91"/>
      <c r="Q16" s="67"/>
      <c r="R16" s="67"/>
      <c r="S16" s="67"/>
      <c r="T16" s="67"/>
      <c r="U16" s="67"/>
      <c r="V16" s="67"/>
      <c r="W16" s="67"/>
      <c r="X16" s="67"/>
    </row>
    <row r="17" spans="2:24" ht="15.75" thickBot="1" x14ac:dyDescent="0.3">
      <c r="B17" s="9"/>
      <c r="C17" s="34"/>
      <c r="D17" s="73">
        <v>0</v>
      </c>
      <c r="E17" s="73"/>
      <c r="F17" s="73"/>
      <c r="G17" s="73"/>
      <c r="H17" s="73"/>
      <c r="I17" s="73"/>
      <c r="J17" s="73"/>
      <c r="K17" s="73"/>
      <c r="L17" s="20"/>
      <c r="M17" s="131"/>
      <c r="N17" s="74"/>
      <c r="O17" s="46"/>
      <c r="P17" s="51"/>
      <c r="Q17" s="73">
        <v>0</v>
      </c>
      <c r="R17" s="73"/>
      <c r="S17" s="73"/>
      <c r="T17" s="73"/>
      <c r="U17" s="73"/>
      <c r="V17" s="73"/>
      <c r="W17" s="73"/>
      <c r="X17" s="73"/>
    </row>
    <row r="18" spans="2:24" ht="24" thickBot="1" x14ac:dyDescent="0.3">
      <c r="C18" s="35" t="s">
        <v>18</v>
      </c>
      <c r="D18" s="30">
        <f t="shared" ref="D18" si="0">SUM(D4:D17)</f>
        <v>665.5</v>
      </c>
      <c r="E18" s="31">
        <f t="shared" ref="E18:L18" si="1">SUM(E4:E17)</f>
        <v>68</v>
      </c>
      <c r="F18" s="31">
        <f t="shared" si="1"/>
        <v>2076</v>
      </c>
      <c r="G18" s="31">
        <f t="shared" si="1"/>
        <v>140</v>
      </c>
      <c r="H18" s="31">
        <f t="shared" si="1"/>
        <v>1706</v>
      </c>
      <c r="I18" s="31">
        <f t="shared" si="1"/>
        <v>850</v>
      </c>
      <c r="J18" s="22">
        <f t="shared" si="1"/>
        <v>781</v>
      </c>
      <c r="K18" s="32">
        <f t="shared" si="1"/>
        <v>7786</v>
      </c>
      <c r="L18" s="100">
        <f t="shared" si="1"/>
        <v>500</v>
      </c>
      <c r="M18" s="132"/>
      <c r="N18" s="74"/>
      <c r="O18" s="7"/>
      <c r="P18" s="33" t="s">
        <v>18</v>
      </c>
      <c r="Q18" s="21">
        <f t="shared" ref="Q18:X18" si="2">SUM(Q4:Q17)</f>
        <v>863</v>
      </c>
      <c r="R18" s="21">
        <f t="shared" si="2"/>
        <v>1081</v>
      </c>
      <c r="S18" s="21">
        <f t="shared" si="2"/>
        <v>2839</v>
      </c>
      <c r="T18" s="21">
        <f t="shared" si="2"/>
        <v>145</v>
      </c>
      <c r="U18" s="21">
        <f t="shared" si="2"/>
        <v>729</v>
      </c>
      <c r="V18" s="21">
        <f t="shared" si="2"/>
        <v>6157</v>
      </c>
      <c r="W18" s="21">
        <f t="shared" si="2"/>
        <v>1245</v>
      </c>
      <c r="X18" s="21">
        <f t="shared" si="2"/>
        <v>8215</v>
      </c>
    </row>
    <row r="19" spans="2:24" ht="15.75" thickBot="1" x14ac:dyDescent="0.3">
      <c r="D19" s="5"/>
      <c r="E19" s="5"/>
      <c r="F19" s="5"/>
      <c r="G19" s="5"/>
      <c r="H19" s="5"/>
      <c r="I19" s="5"/>
      <c r="J19" s="5"/>
      <c r="K19" s="5"/>
      <c r="L19" s="78"/>
      <c r="M19" s="76"/>
      <c r="N19" s="74"/>
      <c r="O19" s="7"/>
      <c r="P19"/>
      <c r="Q19" s="5"/>
      <c r="R19" s="5"/>
      <c r="S19" s="5"/>
      <c r="T19" s="5"/>
      <c r="U19" s="5"/>
      <c r="V19" s="5"/>
      <c r="W19" s="5"/>
      <c r="X19" s="5"/>
    </row>
    <row r="20" spans="2:24" ht="21.75" thickBot="1" x14ac:dyDescent="0.4">
      <c r="D20" s="5"/>
      <c r="E20" s="5"/>
      <c r="F20" s="245">
        <f>K18+J18+I18+H18+G18+F18+E18+D18+L18</f>
        <v>14572.5</v>
      </c>
      <c r="G20" s="246"/>
      <c r="H20" s="247"/>
      <c r="I20" s="5"/>
      <c r="J20" s="5"/>
      <c r="K20" s="5"/>
      <c r="L20" s="71"/>
      <c r="M20" s="74"/>
      <c r="N20" s="74"/>
      <c r="O20" s="7"/>
      <c r="P20"/>
      <c r="Q20" s="5"/>
      <c r="R20" s="5"/>
      <c r="S20" s="248">
        <f>Q18+R18+S18+T18+U18+V18+W18+X18</f>
        <v>21274</v>
      </c>
      <c r="T20" s="249"/>
      <c r="U20" s="250"/>
      <c r="V20" s="5"/>
      <c r="W20" s="5"/>
      <c r="X20" s="5"/>
    </row>
    <row r="21" spans="2:24" x14ac:dyDescent="0.25">
      <c r="D21" s="5"/>
      <c r="E21" s="5"/>
      <c r="F21" s="5"/>
      <c r="G21" s="5"/>
      <c r="H21" s="5"/>
      <c r="J21" s="5"/>
      <c r="K21" s="5"/>
      <c r="L21" s="71"/>
      <c r="M21" s="74"/>
      <c r="N21" s="74"/>
      <c r="O21" s="7"/>
      <c r="P21"/>
      <c r="Q21" s="5"/>
      <c r="R21" s="5"/>
      <c r="S21" s="5"/>
      <c r="T21" s="5"/>
      <c r="U21" s="5"/>
      <c r="V21" s="5"/>
      <c r="W21" s="5"/>
      <c r="X21" s="5"/>
    </row>
    <row r="22" spans="2:24" x14ac:dyDescent="0.25">
      <c r="D22" s="5"/>
      <c r="E22" s="5"/>
      <c r="F22" s="5"/>
      <c r="G22" s="5"/>
      <c r="H22" s="5"/>
      <c r="I22" s="5"/>
      <c r="J22" s="5"/>
      <c r="K22" s="5"/>
      <c r="L22" s="71"/>
      <c r="M22" s="74"/>
      <c r="N22" s="74"/>
      <c r="O22" s="7"/>
      <c r="P22"/>
    </row>
    <row r="23" spans="2:24" x14ac:dyDescent="0.25">
      <c r="D23" s="5"/>
      <c r="E23" s="5"/>
      <c r="F23" s="5"/>
      <c r="G23" s="5"/>
      <c r="H23" s="5"/>
      <c r="I23" s="5"/>
      <c r="J23" s="5"/>
      <c r="K23" s="5"/>
      <c r="L23" s="71"/>
      <c r="M23" s="74"/>
      <c r="N23" s="74"/>
      <c r="O23" s="7"/>
      <c r="P23"/>
    </row>
    <row r="24" spans="2:24" x14ac:dyDescent="0.25">
      <c r="L24" s="130"/>
      <c r="M24" s="130"/>
      <c r="N24" s="74"/>
      <c r="O24" s="7"/>
      <c r="P24"/>
    </row>
  </sheetData>
  <mergeCells count="6">
    <mergeCell ref="F20:H20"/>
    <mergeCell ref="S20:U20"/>
    <mergeCell ref="C1:K1"/>
    <mergeCell ref="O1:W1"/>
    <mergeCell ref="I2:K2"/>
    <mergeCell ref="V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Hoja5</vt:lpstr>
      <vt:lpstr>Hoja2</vt:lpstr>
      <vt:lpstr>Hoja8</vt:lpstr>
      <vt:lpstr>GASTOS COMEDOR OCT-2023 </vt:lpstr>
      <vt:lpstr>GASTOS POR SEMANA  SEPT-23 </vt:lpstr>
      <vt:lpstr>CONSENTRADO X SEMANAS   </vt:lpstr>
      <vt:lpstr>GASTO X  MES </vt:lpstr>
      <vt:lpstr>Hoja7</vt:lpstr>
      <vt:lpstr>   GASTOS  POR MES        02   </vt:lpstr>
      <vt:lpstr>GASTOS POR MES          01     </vt:lpstr>
      <vt:lpstr>Hoja3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2023-10-07T20:55:18Z</cp:lastPrinted>
  <dcterms:created xsi:type="dcterms:W3CDTF">2023-08-22T02:09:42Z</dcterms:created>
  <dcterms:modified xsi:type="dcterms:W3CDTF">2023-10-28T18:10:19Z</dcterms:modified>
</cp:coreProperties>
</file>