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" i="38" l="1"/>
  <c r="Q52" i="38"/>
  <c r="S153" i="38" l="1"/>
  <c r="T153" i="38"/>
  <c r="S154" i="38"/>
  <c r="T154" i="38"/>
  <c r="S155" i="38"/>
  <c r="T155" i="38"/>
  <c r="S156" i="38"/>
  <c r="T156" i="38"/>
  <c r="S157" i="38"/>
  <c r="T157" i="38"/>
  <c r="S158" i="38"/>
  <c r="T158" i="38"/>
  <c r="S159" i="38"/>
  <c r="T159" i="38"/>
  <c r="I153" i="38" l="1"/>
  <c r="S143" i="38"/>
  <c r="T143" i="38" s="1"/>
  <c r="I143" i="38"/>
  <c r="S128" i="38"/>
  <c r="T128" i="38" s="1"/>
  <c r="I128" i="38"/>
  <c r="T127" i="38"/>
  <c r="S127" i="38"/>
  <c r="I127" i="38"/>
  <c r="S126" i="38"/>
  <c r="T126" i="38" s="1"/>
  <c r="I126" i="38"/>
  <c r="S125" i="38"/>
  <c r="T125" i="38" s="1"/>
  <c r="S124" i="38"/>
  <c r="T124" i="38" s="1"/>
  <c r="I125" i="38"/>
  <c r="I124" i="38"/>
  <c r="S122" i="38"/>
  <c r="T122" i="38" s="1"/>
  <c r="I122" i="38"/>
  <c r="S123" i="38"/>
  <c r="T123" i="38" s="1"/>
  <c r="I123" i="38"/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52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55" i="38"/>
  <c r="I154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2" i="38"/>
  <c r="F101" i="38"/>
  <c r="I101" i="38" s="1"/>
  <c r="S111" i="38" l="1"/>
  <c r="T111" i="38"/>
  <c r="I111" i="38"/>
  <c r="S113" i="38"/>
  <c r="T113" i="38" s="1"/>
  <c r="I113" i="38"/>
  <c r="S117" i="38"/>
  <c r="T117" i="38" s="1"/>
  <c r="Q117" i="38"/>
  <c r="F117" i="38"/>
  <c r="I117" i="38"/>
  <c r="S118" i="38"/>
  <c r="T118" i="38" s="1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9" i="38"/>
  <c r="T129" i="38" s="1"/>
  <c r="I121" i="38"/>
  <c r="S130" i="38"/>
  <c r="T130" i="38" s="1"/>
  <c r="S131" i="38"/>
  <c r="T131" i="38" s="1"/>
  <c r="I129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2" i="38"/>
  <c r="T152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0" i="38"/>
  <c r="I149" i="38"/>
  <c r="I148" i="38"/>
  <c r="I147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1" i="38"/>
  <c r="T151" i="38" s="1"/>
  <c r="S139" i="38" l="1"/>
  <c r="T139" i="38" s="1"/>
  <c r="I139" i="38"/>
  <c r="S135" i="38"/>
  <c r="T135" i="38" s="1"/>
  <c r="S134" i="38"/>
  <c r="T134" i="38" s="1"/>
  <c r="S133" i="38"/>
  <c r="T133" i="38" s="1"/>
  <c r="I135" i="38"/>
  <c r="I134" i="38"/>
  <c r="I133" i="38"/>
  <c r="I146" i="38"/>
  <c r="S137" i="38" l="1"/>
  <c r="T137" i="38" s="1"/>
  <c r="I137" i="38"/>
  <c r="S109" i="38" l="1"/>
  <c r="T109" i="38" s="1"/>
  <c r="S132" i="38" l="1"/>
  <c r="T132" i="38" s="1"/>
  <c r="S136" i="38"/>
  <c r="T136" i="38" s="1"/>
  <c r="S138" i="38"/>
  <c r="T138" i="38" s="1"/>
  <c r="S140" i="38"/>
  <c r="T140" i="38" s="1"/>
  <c r="S141" i="38"/>
  <c r="T141" i="38" s="1"/>
  <c r="S142" i="38"/>
  <c r="T142" i="38" s="1"/>
  <c r="I136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32" i="38" l="1"/>
  <c r="I131" i="38"/>
  <c r="I13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4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4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2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0" i="38" l="1"/>
  <c r="AE1" i="1" l="1"/>
  <c r="F10" i="156" l="1"/>
  <c r="I151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5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<sst xmlns="http://schemas.openxmlformats.org/spreadsheetml/2006/main" count="5244" uniqueCount="967">
  <si>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</si>
  <si>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</si>
  <si>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</si>
  <si>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</si>
  <si>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</si>
  <si>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</si>
  <si>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</si>
  <si>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</si>
  <si>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</si>
  <si>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</si>
  <si>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</si>
  <si>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</si>
  <si>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</si>
  <si>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</si>
  <si>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</si>
  <si>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</si>
  <si>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</si>
  <si>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</si>
  <si>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</si>
  <si>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</si>
  <si>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</si>
  <si>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</si>
  <si>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</si>
  <si>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</si>
  <si>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</si>
  <si>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</si>
  <si>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</si>
  <si>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</si>
  <si>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</si>
  <si>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</si>
  <si>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</si>
  <si>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</si>
  <si>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</si>
  <si>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</si>
  <si>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</si>
  <si>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</si>
  <si>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</si>
  <si>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</si>
  <si>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</si>
  <si>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</si>
  <si>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</si>
  <si>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</si>
  <si>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</si>
  <si>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</si>
  <si>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</si>
  <si>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</si>
  <si>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</si>
  <si>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</si>
  <si>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</si>
  <si>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</si>
  <si>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</si>
  <si>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</si>
  <si>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</si>
  <si>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</si>
  <si>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</si>
  <si>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</si>
  <si>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</si>
  <si>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</si>
  <si>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</si>
  <si>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</si>
  <si>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</si>
  <si>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</si>
  <si>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</si>
  <si>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</si>
  <si>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</si>
  <si>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</si>
  <si>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</si>
  <si>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</si>
  <si>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</si>
  <si>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</si>
  <si>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</si>
  <si>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</si>
  <si>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</si>
  <si>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</si>
  <si>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</si>
  <si>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</si>
  <si>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</si>
  <si>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</si>
  <si>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</si>
  <si>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</si>
  <si>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</si>
  <si>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</si>
  <si>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</si>
  <si>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</si>
  <si>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</si>
  <si>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</si>
  <si>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</si>
  <si>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</si>
  <si>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</si>
  <si>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</si>
  <si>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</si>
  <si>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</si>
  <si>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</si>
  <si>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</si>
  <si>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</si>
  <si>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</si>
  <si>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</si>
  <si>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</si>
  <si>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</si>
  <si>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</si>
  <si>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</si>
  <si>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</si>
  <si>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</si>
  <si>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</si>
  <si>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</si>
  <si>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</si>
  <si>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</si>
  <si>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</si>
  <si>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</si>
  <si>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</si>
  <si>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</si>
  <si>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</si>
  <si>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</si>
  <si>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</si>
  <si>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</si>
  <si>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</si>
  <si>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</si>
  <si>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</si>
  <si>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</si>
  <si>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</si>
  <si>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</si>
  <si>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</si>
  <si>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</si>
  <si>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</si>
  <si>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</si>
  <si>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</si>
  <si>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</si>
  <si>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</si>
  <si>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</si>
  <si>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</si>
  <si>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</si>
  <si>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</si>
  <si>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</si>
  <si>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</si>
  <si>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</si>
  <si>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</si>
  <si>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</si>
  <si>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</si>
  <si>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</si>
  <si>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</si>
  <si>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</si>
  <si>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</si>
  <si>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</si>
  <si>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</si>
  <si>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</si>
  <si>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</si>
  <si>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</si>
  <si>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</si>
  <si>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</si>
  <si>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</si>
  <si>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</si>
  <si>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</si>
  <si>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</si>
  <si>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</si>
  <si>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</si>
  <si>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</si>
  <si>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</si>
  <si>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</si>
  <si>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</si>
  <si>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</si>
  <si>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</si>
  <si>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</si>
  <si>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</si>
  <si>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</si>
  <si>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</si>
  <si>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</si>
  <si>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</si>
  <si>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</si>
  <si>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</si>
  <si>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</si>
  <si>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</si>
  <si>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</si>
  <si>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</si>
  <si>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</si>
  <si>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</si>
  <si>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</si>
  <si>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</si>
  <si>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</si>
  <si>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</si>
  <si>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</si>
  <si>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</si>
  <si>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</si>
  <si>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</si>
  <si>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</si>
  <si>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</si>
  <si>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</si>
  <si>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</si>
  <si>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</si>
  <si>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</si>
  <si>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</si>
  <si>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</si>
  <si>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</si>
  <si>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</si>
  <si>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</si>
  <si>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</si>
  <si>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</si>
  <si>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</si>
  <si>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</si>
  <si>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</si>
  <si>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</si>
  <si>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</si>
  <si>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</si>
  <si>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</si>
  <si>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</si>
  <si>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</si>
  <si>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</si>
  <si>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</si>
  <si>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</si>
  <si>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</si>
  <si>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</si>
  <si>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</si>
  <si>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</si>
  <si>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</si>
  <si>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</si>
  <si>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</si>
  <si>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</si>
  <si>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</si>
  <si>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</si>
  <si>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</si>
  <si>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</si>
  <si>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</si>
  <si>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</si>
  <si>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</si>
  <si>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</si>
  <si>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</si>
  <si>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</si>
  <si>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</si>
  <si>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</si>
  <si>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</si>
  <si>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</si>
  <si>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</si>
  <si>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</si>
  <si>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</si>
  <si>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</si>
  <si>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</si>
  <si>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</si>
  <si>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</si>
  <si>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</si>
  <si>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</si>
  <si>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</si>
  <si>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</si>
  <si>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</si>
  <si>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</si>
  <si>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</si>
  <si>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</si>
  <si>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</si>
  <si>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</si>
  <si>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</si>
  <si>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</si>
  <si>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</si>
  <si>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</si>
  <si>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</si>
  <si>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</si>
  <si>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</si>
  <si>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</si>
  <si>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</si>
  <si>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</si>
  <si>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</si>
  <si>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</si>
  <si>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</si>
  <si>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</si>
  <si>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</si>
  <si>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</si>
  <si>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</si>
  <si>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</si>
  <si>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</si>
  <si>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</si>
  <si>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</si>
  <si>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</si>
  <si>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</si>
  <si>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</si>
  <si>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</si>
  <si>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</si>
  <si>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</si>
  <si>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</si>
  <si>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</si>
  <si>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</si>
  <si>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</si>
  <si>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</si>
  <si>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</si>
  <si>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</si>
  <si>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</si>
  <si>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</si>
  <si>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</si>
  <si>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</si>
  <si>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</si>
  <si>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</si>
  <si>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</si>
  <si>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</si>
  <si>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</si>
  <si>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</si>
  <si>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</si>
  <si>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</si>
  <si>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</si>
  <si>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</si>
  <si>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</si>
  <si>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</si>
  <si>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</si>
  <si>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</si>
  <si>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</si>
  <si>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</si>
  <si>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</si>
  <si>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</si>
  <si>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</si>
  <si>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</si>
  <si>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</si>
  <si>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</si>
  <si>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</si>
  <si>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</si>
  <si>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</si>
  <si>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</si>
  <si>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</si>
  <si>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</si>
  <si>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</si>
  <si>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</si>
  <si>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</si>
  <si>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</si>
  <si>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</si>
  <si>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</si>
  <si>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</si>
  <si>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</si>
  <si>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</si>
  <si>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</si>
  <si>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</si>
  <si>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</si>
  <si>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</si>
  <si>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</si>
  <si>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</si>
  <si>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</si>
  <si>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</si>
  <si>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</si>
  <si>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</si>
  <si>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</si>
  <si>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</si>
  <si>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</si>
  <si>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</si>
  <si>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</si>
  <si>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</si>
  <si>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</si>
  <si>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</si>
  <si>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</si>
  <si>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</si>
  <si>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</si>
  <si>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</si>
  <si>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</si>
  <si>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</si>
  <si>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</si>
  <si>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</si>
  <si>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</si>
  <si>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</si>
  <si>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</si>
  <si>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</si>
  <si>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</si>
  <si>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</si>
  <si>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</si>
  <si>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</si>
  <si>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</si>
  <si>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</si>
  <si>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</si>
  <si>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</si>
  <si>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</si>
  <si>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</si>
  <si>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</si>
  <si>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</si>
  <si>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</si>
  <si>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</si>
  <si>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</si>
  <si>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</si>
  <si>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</si>
  <si>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</si>
  <si>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</si>
  <si>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</si>
  <si>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</si>
  <si>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</si>
  <si>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</si>
  <si>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</si>
  <si>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</si>
  <si>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</si>
  <si>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</si>
  <si>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</si>
  <si>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</si>
  <si>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</si>
  <si>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</si>
  <si>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</si>
  <si>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</si>
  <si>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</si>
  <si>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</si>
  <si>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</si>
  <si>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</si>
  <si>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</si>
  <si>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</si>
  <si>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</si>
  <si>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</si>
  <si>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</si>
  <si>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</si>
  <si>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</si>
  <si>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</si>
  <si>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</si>
  <si>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</si>
  <si>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</si>
  <si>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</si>
  <si>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</si>
  <si>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</si>
  <si>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</si>
  <si>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</si>
  <si>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</si>
  <si>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</si>
  <si>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</si>
  <si>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</si>
  <si>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</si>
  <si>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</si>
  <si>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</si>
  <si>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</si>
  <si>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</si>
  <si>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</si>
  <si>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</si>
  <si>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</si>
  <si>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</si>
  <si>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</si>
  <si>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</si>
  <si>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</si>
  <si>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</si>
  <si>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</si>
  <si>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</si>
  <si>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</si>
  <si>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</si>
  <si>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</si>
  <si>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</si>
  <si>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</si>
  <si>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</si>
  <si>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</si>
  <si>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</si>
  <si>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</si>
  <si>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</si>
  <si>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</si>
  <si>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</si>
  <si>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</si>
  <si>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</si>
  <si>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</si>
  <si>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</si>
  <si>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</si>
  <si>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</si>
  <si>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</si>
  <si>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</si>
  <si>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</si>
  <si>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</si>
  <si>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</si>
  <si>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</si>
  <si>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</si>
  <si>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</si>
  <si>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</si>
  <si>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</si>
  <si>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</si>
  <si>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</si>
  <si>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</si>
  <si>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</si>
  <si>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</si>
  <si>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</si>
  <si>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</si>
  <si>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</si>
  <si>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</si>
  <si>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</si>
  <si>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</si>
  <si>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</si>
  <si>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</si>
  <si>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</si>
  <si>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</si>
  <si>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</si>
  <si>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</si>
  <si>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</si>
  <si>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</si>
  <si>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</si>
  <si>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</si>
  <si>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</si>
  <si>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</si>
  <si>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</si>
  <si>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</si>
  <si>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</si>
  <si>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</si>
  <si>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</si>
  <si>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</si>
  <si>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</si>
  <si>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</si>
  <si>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</si>
  <si>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</si>
  <si>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</si>
  <si>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</si>
  <si>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</si>
  <si>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</si>
  <si>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</si>
  <si>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</si>
  <si>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</si>
  <si>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</si>
  <si>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</si>
  <si>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</si>
  <si>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</si>
  <si>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</si>
  <si>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</si>
  <si>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</si>
  <si>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</si>
  <si>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</si>
  <si>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</si>
  <si>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</si>
  <si>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</si>
  <si>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</si>
  <si>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</si>
  <si>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</si>
  <si>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</si>
  <si>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</si>
  <si>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</si>
  <si>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</si>
  <si>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</si>
  <si>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</si>
  <si>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</si>
  <si>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</si>
  <si>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</si>
  <si>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</si>
  <si>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</si>
  <si>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</si>
  <si>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</si>
  <si>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</si>
  <si>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</si>
  <si>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</si>
  <si>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</si>
  <si>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</si>
  <si>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</si>
  <si>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</si>
  <si>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</si>
  <si>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</si>
  <si>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</si>
  <si>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</si>
  <si>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</si>
  <si>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</si>
  <si>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</si>
  <si>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</si>
  <si>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</si>
  <si>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</si>
  <si>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</si>
  <si>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</si>
  <si>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</si>
  <si>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</si>
  <si>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</si>
  <si>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</si>
  <si>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</si>
  <si>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</si>
  <si>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</si>
  <si>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</si>
  <si>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</si>
  <si>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</si>
  <si>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</si>
  <si>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</si>
  <si>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</si>
  <si>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</si>
  <si>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</si>
  <si>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</si>
  <si>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</si>
  <si>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</si>
  <si>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</si>
  <si>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</si>
  <si>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</si>
  <si>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</si>
  <si>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</si>
  <si>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</si>
  <si>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</si>
  <si>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</si>
  <si>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</si>
  <si>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</si>
  <si>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</si>
  <si>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</si>
  <si>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</si>
  <si>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</si>
  <si>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</si>
  <si>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</si>
  <si>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</si>
  <si>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</si>
  <si>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</si>
  <si>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</si>
  <si>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</si>
  <si>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</si>
  <si>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</si>
  <si>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</si>
  <si>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</si>
  <si>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</si>
  <si>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</si>
  <si>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</si>
  <si>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</si>
  <si>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</si>
  <si>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</si>
  <si>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</si>
  <si>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</si>
  <si>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</si>
  <si>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</si>
  <si>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</si>
  <si>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</si>
  <si>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</si>
  <si>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</si>
  <si>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</si>
  <si>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</si>
  <si>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</si>
  <si>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</si>
  <si>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</si>
  <si>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</si>
  <si>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</si>
  <si>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</si>
  <si>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</si>
  <si>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</si>
  <si>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</si>
  <si>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</si>
  <si>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</si>
  <si>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</si>
  <si>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</si>
  <si>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</si>
  <si>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</si>
  <si>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</si>
  <si>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</si>
  <si>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</si>
  <si>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</si>
  <si>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</si>
  <si>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</si>
  <si>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</si>
  <si>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</si>
  <si>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</si>
  <si>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</si>
  <si>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</si>
  <si>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</si>
  <si>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</si>
  <si>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</si>
  <si>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</si>
  <si>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</si>
  <si>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</si>
  <si>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</si>
  <si>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</si>
  <si>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</si>
  <si>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</si>
  <si>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</si>
  <si>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</si>
  <si>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</si>
  <si>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</si>
  <si>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</si>
  <si>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</si>
  <si>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</si>
  <si>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</si>
  <si>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</si>
  <si>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</si>
  <si>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</si>
  <si>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</si>
  <si>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</si>
  <si>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</si>
  <si>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</si>
  <si>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</si>
  <si>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</si>
  <si>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</si>
  <si>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</si>
  <si>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</si>
  <si>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</si>
  <si>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</si>
  <si>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</si>
  <si>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</si>
  <si>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</si>
  <si>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</si>
  <si>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</si>
  <si>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</si>
  <si>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</si>
  <si>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</si>
  <si>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</si>
  <si>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</si>
  <si>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</si>
  <si>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</si>
  <si>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</si>
  <si>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</si>
  <si>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</si>
  <si>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</si>
  <si>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</si>
  <si>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</si>
  <si>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</si>
  <si>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</si>
  <si>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</si>
  <si>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</si>
  <si>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</si>
  <si>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</si>
  <si>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</si>
  <si>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</si>
  <si>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</si>
  <si>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</si>
  <si>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</si>
  <si>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</si>
  <si>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</si>
  <si>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</si>
  <si>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</si>
  <si>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</si>
  <si>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</si>
  <si>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</si>
  <si>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</si>
  <si>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</si>
  <si>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</si>
  <si>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</si>
  <si>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</si>
  <si>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</si>
  <si>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</si>
  <si>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</si>
  <si>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</si>
  <si>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</si>
  <si>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</si>
  <si>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</si>
  <si>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</si>
  <si>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</si>
  <si>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</si>
  <si>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</si>
  <si>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</si>
  <si>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</si>
  <si>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</si>
  <si>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</si>
  <si>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</si>
  <si>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</si>
  <si>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</si>
  <si>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</si>
  <si>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</si>
  <si>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</si>
  <si>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</si>
  <si>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</si>
  <si>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</si>
  <si>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</si>
  <si>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</si>
  <si>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</si>
  <si>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</si>
  <si>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</si>
  <si>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</si>
  <si>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</si>
  <si>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</si>
  <si>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</si>
  <si>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</si>
  <si>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</si>
  <si>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</si>
  <si>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</si>
  <si>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</si>
  <si>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</si>
  <si>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</si>
  <si>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</si>
  <si>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</si>
  <si>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</si>
  <si>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</si>
  <si>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</si>
  <si>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</si>
  <si>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</si>
  <si>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</si>
  <si>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</si>
  <si>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</si>
  <si>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</si>
  <si>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</si>
  <si>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</si>
  <si>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</si>
  <si>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</si>
  <si>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</si>
  <si>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</si>
  <si>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</si>
  <si>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</si>
  <si>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</si>
  <si>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</si>
  <si>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</si>
  <si>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</si>
  <si>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</si>
  <si>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</si>
  <si>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</si>
  <si>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</si>
  <si>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</si>
  <si>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</si>
  <si>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</si>
  <si>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</si>
  <si>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</si>
  <si>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</si>
  <si>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</si>
  <si>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</si>
  <si>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</si>
  <si>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</si>
  <si>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</si>
  <si>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</si>
  <si>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</si>
  <si>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</si>
  <si>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</si>
  <si>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</si>
  <si>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</si>
  <si>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</si>
  <si>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</si>
  <si>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</si>
  <si>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</si>
  <si>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</si>
  <si>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</si>
  <si>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</si>
  <si>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</si>
  <si>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</si>
  <si>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</si>
  <si>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</si>
  <si>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</si>
  <si>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</si>
  <si>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</si>
  <si>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</si>
  <si>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</si>
  <si>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</si>
  <si>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</si>
  <si>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</si>
  <si>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</si>
  <si>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</si>
  <si>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</si>
  <si>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</si>
  <si>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</si>
  <si>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</si>
  <si>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</si>
  <si>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</si>
  <si>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</si>
  <si>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</si>
  <si>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</si>
  <si>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</si>
  <si>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</si>
  <si>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</si>
  <si>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</si>
  <si>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</si>
  <si>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</si>
  <si>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</si>
  <si>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</si>
  <si>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</si>
  <si>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</si>
  <si>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</si>
  <si>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</si>
  <si>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</si>
  <si>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</si>
  <si>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</si>
  <si>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</si>
  <si>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</si>
  <si>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</si>
  <si>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</si>
  <si>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</si>
  <si>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</si>
  <si>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</si>
  <si>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</si>
  <si>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</si>
  <si>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</si>
  <si>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</si>
  <si>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</si>
  <si>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</si>
  <si>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</si>
  <si>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</si>
  <si>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</si>
  <si>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</si>
  <si>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</si>
  <si>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</si>
  <si>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</si>
  <si>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</si>
  <si>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</si>
  <si>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</si>
  <si>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</si>
  <si>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</si>
  <si>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</si>
  <si>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</si>
  <si>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</si>
  <si>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</si>
  <si>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</si>
  <si>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</si>
  <si>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</si>
  <si>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</si>
  <si>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</si>
  <si>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</si>
  <si>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</si>
  <si>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</si>
  <si>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</si>
  <si>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</si>
  <si>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</si>
  <si>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</si>
  <si>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</si>
  <si>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</si>
  <si>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</si>
  <si>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</si>
  <si>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</si>
  <si>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</si>
  <si>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</si>
  <si>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</si>
  <si>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</si>
  <si>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</si>
  <si>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</si>
  <si>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</si>
  <si>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</si>
  <si>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</si>
  <si>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</si>
  <si>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</si>
  <si>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</si>
  <si>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</si>
  <si>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</si>
  <si>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</si>
  <si>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</si>
  <si>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</si>
  <si>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</si>
  <si>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</si>
  <si>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</si>
  <si>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</si>
  <si>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</si>
  <si>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</si>
  <si>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</si>
  <si>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</si>
  <si>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</si>
  <si>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</si>
  <si>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</si>
  <si>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</si>
  <si>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</si>
  <si>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</si>
  <si>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</si>
  <si>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</si>
  <si>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</si>
  <si>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</si>
  <si>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</si>
  <si>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</si>
  <si>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</si>
  <si>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</si>
  <si>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</si>
  <si>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</si>
  <si>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</si>
  <si>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</si>
  <si>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</si>
  <si>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</si>
  <si>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</si>
  <si>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</si>
  <si>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</si>
  <si>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</si>
  <si>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</si>
  <si>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</si>
  <si>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</si>
  <si>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</si>
  <si>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</si>
  <si>
    <t>HC-12236</t>
  </si>
  <si>
    <t>Transfer S 9-Ene-23</t>
  </si>
  <si>
    <t>Transfer B 5-Ene-23</t>
  </si>
  <si>
    <t>HC-12251</t>
  </si>
  <si>
    <t xml:space="preserve">ODELPA </t>
  </si>
  <si>
    <t>Transfer B 13--Ene-23</t>
  </si>
  <si>
    <t>Transfer B 9-Ene-23</t>
  </si>
  <si>
    <t>ALBICIA</t>
  </si>
  <si>
    <t>VARIOS</t>
  </si>
  <si>
    <t>A-336521</t>
  </si>
  <si>
    <t>A-336365</t>
  </si>
  <si>
    <t>POLLO</t>
  </si>
  <si>
    <t>PIERNA AHUMADA</t>
  </si>
  <si>
    <t>A-336371</t>
  </si>
  <si>
    <t>A-336376</t>
  </si>
  <si>
    <t>Transfer S 2--Ene-23</t>
  </si>
  <si>
    <t>A-336435</t>
  </si>
  <si>
    <t>FOLIO CENTRAL 11228</t>
  </si>
  <si>
    <t>Nota 4732</t>
  </si>
  <si>
    <t>FOLIO CENTRAL 11219</t>
  </si>
  <si>
    <t>Nota 3929</t>
  </si>
  <si>
    <t>FOLIO CENTRAL 11223</t>
  </si>
  <si>
    <t>Nota 4177</t>
  </si>
  <si>
    <t>FOLIO CENTRAL 11216</t>
  </si>
  <si>
    <t>Nota 3812</t>
  </si>
  <si>
    <t>FOLIO CENTRAL  11215</t>
  </si>
  <si>
    <t>NOTA 3688</t>
  </si>
  <si>
    <t>FOLIO CENTRAL 11213</t>
  </si>
  <si>
    <t>NOTA  3581</t>
  </si>
  <si>
    <t>A-336480</t>
  </si>
  <si>
    <t>A12-70900</t>
  </si>
  <si>
    <t>Transfer S 11-Ene-23</t>
  </si>
  <si>
    <t>Transfe B 6-Ene-23</t>
  </si>
  <si>
    <t>Transfer Bnte 3-Ene-23</t>
  </si>
  <si>
    <t>Transfer Bnte 4-Ene-23</t>
  </si>
  <si>
    <t>Transfer Bnte 5-Ene-23</t>
  </si>
  <si>
    <t>Tranfer Bnte 6-Ene-23</t>
  </si>
  <si>
    <t>Transfer Bnte 6-Ene-23</t>
  </si>
  <si>
    <t>Transfer Bnte 13-Ene-23</t>
  </si>
  <si>
    <t>HC-12300</t>
  </si>
  <si>
    <t>Transfer B 19-Ene-23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</si>
</sst>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4"/>
      <color rgb="FF0000FF"/>
      <name val="Times New Roman"/>
      <family val="2"/>
      <scheme val="minor"/>
    </font>
    <font>
      <b/>
      <sz val="10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" fontId="7" fillId="4" borderId="33" xfId="0" applyNumberFormat="1" applyFont="1" applyFill="1" applyBorder="1" applyAlignment="1">
      <alignment vertical="center"/>
    </xf>
    <xf numFmtId="168" fontId="7" fillId="0" borderId="0" xfId="0" applyNumberFormat="1" applyFont="1" applyBorder="1" applyAlignment="1"/>
    <xf numFmtId="1" fontId="41" fillId="0" borderId="0" xfId="0" applyNumberFormat="1" applyFont="1" applyFill="1" applyBorder="1" applyAlignment="1">
      <alignment vertical="center" wrapText="1"/>
    </xf>
    <xf numFmtId="44" fontId="10" fillId="2" borderId="90" xfId="1" applyFont="1" applyFill="1" applyBorder="1" applyAlignment="1"/>
    <xf numFmtId="44" fontId="7" fillId="0" borderId="74" xfId="1" applyFont="1" applyFill="1" applyBorder="1" applyAlignment="1"/>
    <xf numFmtId="44" fontId="10" fillId="2" borderId="125" xfId="1" applyFont="1" applyFill="1" applyBorder="1" applyAlignment="1"/>
    <xf numFmtId="44" fontId="10" fillId="2" borderId="33" xfId="1" applyFont="1" applyFill="1" applyBorder="1" applyAlignment="1"/>
    <xf numFmtId="164" fontId="10" fillId="2" borderId="99" xfId="0" applyNumberFormat="1" applyFont="1" applyFill="1" applyBorder="1" applyAlignment="1">
      <alignment vertical="center" wrapText="1"/>
    </xf>
    <xf numFmtId="168" fontId="10" fillId="0" borderId="33" xfId="0" applyNumberFormat="1" applyFont="1" applyBorder="1" applyAlignment="1">
      <alignment vertical="center" wrapText="1"/>
    </xf>
    <xf numFmtId="44" fontId="10" fillId="2" borderId="90" xfId="1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 wrapText="1"/>
    </xf>
    <xf numFmtId="1" fontId="7" fillId="0" borderId="126" xfId="0" applyNumberFormat="1" applyFont="1" applyFill="1" applyBorder="1" applyAlignment="1">
      <alignment horizontal="center" vertical="center"/>
    </xf>
    <xf numFmtId="0" fontId="90" fillId="0" borderId="91" xfId="0" applyFont="1" applyFill="1" applyBorder="1" applyAlignment="1">
      <alignment vertical="center"/>
    </xf>
    <xf numFmtId="0" fontId="55" fillId="0" borderId="33" xfId="0" applyFont="1" applyBorder="1" applyAlignment="1">
      <alignment horizontal="center" vertical="center" wrapText="1"/>
    </xf>
    <xf numFmtId="0" fontId="7" fillId="0" borderId="79" xfId="0" applyFont="1" applyBorder="1" applyAlignment="1"/>
    <xf numFmtId="0" fontId="7" fillId="0" borderId="79" xfId="0" applyFont="1" applyBorder="1" applyAlignment="1">
      <alignment vertical="center"/>
    </xf>
    <xf numFmtId="0" fontId="55" fillId="0" borderId="127" xfId="0" applyFont="1" applyBorder="1" applyAlignment="1">
      <alignment horizontal="center" wrapText="1"/>
    </xf>
    <xf numFmtId="0" fontId="55" fillId="0" borderId="48" xfId="0" applyFont="1" applyBorder="1" applyAlignment="1">
      <alignment horizontal="center" wrapText="1"/>
    </xf>
    <xf numFmtId="0" fontId="22" fillId="0" borderId="68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7" fillId="0" borderId="125" xfId="0" applyFont="1" applyBorder="1" applyAlignment="1">
      <alignment horizontal="center"/>
    </xf>
    <xf numFmtId="0" fontId="7" fillId="0" borderId="90" xfId="0" applyFont="1" applyBorder="1" applyAlignment="1">
      <alignment horizontal="center"/>
    </xf>
    <xf numFmtId="0" fontId="40" fillId="0" borderId="90" xfId="0" applyFont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0" fontId="7" fillId="0" borderId="90" xfId="0" applyFont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/>
    </xf>
    <xf numFmtId="1" fontId="17" fillId="0" borderId="68" xfId="0" applyNumberFormat="1" applyFont="1" applyFill="1" applyBorder="1" applyAlignment="1">
      <alignment vertical="center" wrapText="1"/>
    </xf>
    <xf numFmtId="0" fontId="91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0" fontId="15" fillId="0" borderId="74" xfId="0" applyFont="1" applyBorder="1" applyAlignment="1">
      <alignment vertical="center" wrapText="1"/>
    </xf>
    <xf numFmtId="0" fontId="90" fillId="0" borderId="79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vertical="center"/>
    </xf>
    <xf numFmtId="166" fontId="7" fillId="28" borderId="33" xfId="0" applyNumberFormat="1" applyFont="1" applyFill="1" applyBorder="1" applyAlignment="1">
      <alignment horizontal="right"/>
    </xf>
    <xf numFmtId="0" fontId="7" fillId="28" borderId="93" xfId="0" applyFont="1" applyFill="1" applyBorder="1" applyAlignment="1">
      <alignment horizontal="center"/>
    </xf>
    <xf numFmtId="0" fontId="28" fillId="28" borderId="93" xfId="0" applyFont="1" applyFill="1" applyBorder="1" applyAlignment="1">
      <alignment horizontal="center"/>
    </xf>
    <xf numFmtId="0" fontId="41" fillId="28" borderId="93" xfId="0" applyFont="1" applyFill="1" applyBorder="1" applyAlignment="1">
      <alignment horizontal="center" wrapText="1"/>
    </xf>
    <xf numFmtId="0" fontId="28" fillId="28" borderId="93" xfId="0" applyFont="1" applyFill="1" applyBorder="1" applyAlignment="1">
      <alignment horizontal="center" wrapText="1"/>
    </xf>
    <xf numFmtId="0" fontId="59" fillId="28" borderId="93" xfId="0" applyFont="1" applyFill="1" applyBorder="1" applyAlignment="1">
      <alignment horizontal="center" vertical="center"/>
    </xf>
    <xf numFmtId="0" fontId="76" fillId="28" borderId="93" xfId="0" applyFont="1" applyFill="1" applyBorder="1" applyAlignment="1">
      <alignment horizontal="center" vertical="center"/>
    </xf>
    <xf numFmtId="0" fontId="53" fillId="28" borderId="93" xfId="0" applyFont="1" applyFill="1" applyBorder="1" applyAlignment="1">
      <alignment horizontal="center"/>
    </xf>
    <xf numFmtId="166" fontId="7" fillId="6" borderId="33" xfId="0" applyNumberFormat="1" applyFont="1" applyFill="1" applyBorder="1" applyAlignment="1">
      <alignment horizontal="right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7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6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 wrapText="1"/>
    </xf>
    <xf numFmtId="1" fontId="41" fillId="0" borderId="124" xfId="0" applyNumberFormat="1" applyFont="1" applyFill="1" applyBorder="1" applyAlignment="1">
      <alignment horizontal="center" vertical="center" wrapText="1"/>
    </xf>
    <xf numFmtId="1" fontId="41" fillId="0" borderId="85" xfId="0" applyNumberFormat="1" applyFont="1" applyFill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" fontId="28" fillId="0" borderId="70" xfId="0" applyNumberFormat="1" applyFont="1" applyFill="1" applyBorder="1" applyAlignment="1">
      <alignment horizontal="center" vertical="center"/>
    </xf>
    <xf numFmtId="1" fontId="28" fillId="0" borderId="120" xfId="0" applyNumberFormat="1" applyFont="1" applyFill="1" applyBorder="1" applyAlignment="1">
      <alignment horizontal="center" vertical="center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21" xfId="0" applyNumberFormat="1" applyFont="1" applyFill="1" applyBorder="1" applyAlignment="1">
      <alignment horizontal="center" vertical="center"/>
    </xf>
    <xf numFmtId="1" fontId="7" fillId="4" borderId="122" xfId="0" applyNumberFormat="1" applyFont="1" applyFill="1" applyBorder="1" applyAlignment="1">
      <alignment horizontal="center" vertical="center"/>
    </xf>
    <xf numFmtId="1" fontId="7" fillId="4" borderId="12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66" fillId="0" borderId="33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CCFF"/>
      <color rgb="FFCC99FF"/>
      <color rgb="FF99FFCC"/>
      <color rgb="FFFF3399"/>
      <color rgb="FF00FFCC"/>
      <color rgb="FFFFCCFF"/>
      <color rgb="FF66FFFF"/>
      <color rgb="FF33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  <c:pt idx="46" formatCode="&quot;$&quot;#,##0.00">
                  <c:v>11424</c:v>
                </c:pt>
                <c:pt idx="47" formatCode="&quot;$&quot;#,##0.00">
                  <c:v>12424</c:v>
                </c:pt>
                <c:pt idx="48" formatCode="&quot;$&quot;#,##0.00">
                  <c:v>10124</c:v>
                </c:pt>
                <c:pt idx="49" formatCode="&quot;$&quot;#,##0.00">
                  <c:v>12424</c:v>
                </c:pt>
                <c:pt idx="50" formatCode="&quot;$&quot;#,##0.00">
                  <c:v>10124</c:v>
                </c:pt>
                <c:pt idx="51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  <c:pt idx="46" formatCode="[$$-80A]#,##0.00">
                  <c:v>37120</c:v>
                </c:pt>
                <c:pt idx="47" formatCode="[$$-80A]#,##0.00">
                  <c:v>37120</c:v>
                </c:pt>
                <c:pt idx="48" formatCode="[$$-80A]#,##0.00">
                  <c:v>37120</c:v>
                </c:pt>
                <c:pt idx="49" formatCode="[$$-80A]#,##0.00">
                  <c:v>37120</c:v>
                </c:pt>
                <c:pt idx="50" formatCode="[$$-80A]#,##0.00">
                  <c:v>27840</c:v>
                </c:pt>
                <c:pt idx="51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  <c:pt idx="46" formatCode="[$-C0A]d\-mmm\-yy;@">
                  <c:v>0</c:v>
                </c:pt>
                <c:pt idx="47" formatCode="[$-C0A]d\-mmm\-yy;@">
                  <c:v>0</c:v>
                </c:pt>
                <c:pt idx="48" formatCode="[$-C0A]d\-mmm\-yy;@">
                  <c:v>0</c:v>
                </c:pt>
                <c:pt idx="49" formatCode="[$-C0A]d\-mmm\-yy;@">
                  <c:v>0</c:v>
                </c:pt>
                <c:pt idx="50" formatCode="[$-C0A]d\-mmm\-yy;@">
                  <c:v>0</c:v>
                </c:pt>
                <c:pt idx="5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48">
                  <c:v>1259424</c:v>
                </c:pt>
                <c:pt idx="49">
                  <c:v>1260647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4930</c:v>
                </c:pt>
                <c:pt idx="5" formatCode="[$$-80A]#,##0.00">
                  <c:v>5278</c:v>
                </c:pt>
                <c:pt idx="6" formatCode="[$$-80A]#,##0.00">
                  <c:v>0</c:v>
                </c:pt>
                <c:pt idx="7" formatCode="[$$-80A]#,##0.00">
                  <c:v>4930</c:v>
                </c:pt>
                <c:pt idx="8" formatCode="[$$-80A]#,##0.00">
                  <c:v>5162</c:v>
                </c:pt>
                <c:pt idx="9" formatCode="[$$-80A]#,##0.00">
                  <c:v>5231.6000000000004</c:v>
                </c:pt>
                <c:pt idx="10" formatCode="[$$-80A]#,##0.00">
                  <c:v>4930</c:v>
                </c:pt>
                <c:pt idx="11" formatCode="[$$-80A]#,##0.00">
                  <c:v>5162</c:v>
                </c:pt>
                <c:pt idx="12" formatCode="[$$-80A]#,##0.00">
                  <c:v>4988</c:v>
                </c:pt>
                <c:pt idx="13" formatCode="[$$-80A]#,##0.00">
                  <c:v>4988</c:v>
                </c:pt>
                <c:pt idx="14" formatCode="[$$-80A]#,##0.00">
                  <c:v>4988</c:v>
                </c:pt>
                <c:pt idx="15" formatCode="[$$-80A]#,##0.00">
                  <c:v>4988</c:v>
                </c:pt>
                <c:pt idx="16" formatCode="[$$-80A]#,##0.00">
                  <c:v>5104</c:v>
                </c:pt>
                <c:pt idx="17" formatCode="[$$-80A]#,##0.00">
                  <c:v>5220</c:v>
                </c:pt>
                <c:pt idx="18" formatCode="[$$-80A]#,##0.00">
                  <c:v>5220</c:v>
                </c:pt>
                <c:pt idx="19" formatCode="[$$-80A]#,##0.00">
                  <c:v>5278</c:v>
                </c:pt>
                <c:pt idx="20" formatCode="[$$-80A]#,##0.00">
                  <c:v>5220</c:v>
                </c:pt>
                <c:pt idx="21" formatCode="[$$-80A]#,##0.00">
                  <c:v>5220</c:v>
                </c:pt>
                <c:pt idx="22" formatCode="[$$-80A]#,##0.00">
                  <c:v>5394</c:v>
                </c:pt>
                <c:pt idx="23" formatCode="[$$-80A]#,##0.00">
                  <c:v>5278</c:v>
                </c:pt>
                <c:pt idx="24" formatCode="[$$-80A]#,##0.00">
                  <c:v>5394</c:v>
                </c:pt>
                <c:pt idx="25" formatCode="[$$-80A]#,##0.00">
                  <c:v>5220</c:v>
                </c:pt>
                <c:pt idx="26" formatCode="[$$-80A]#,##0.00">
                  <c:v>5394</c:v>
                </c:pt>
                <c:pt idx="27" formatCode="[$$-80A]#,##0.00">
                  <c:v>5220</c:v>
                </c:pt>
                <c:pt idx="28" formatCode="[$$-80A]#,##0.00">
                  <c:v>5104</c:v>
                </c:pt>
                <c:pt idx="29" formatCode="[$$-80A]#,##0.00">
                  <c:v>5133</c:v>
                </c:pt>
                <c:pt idx="30" formatCode="[$$-80A]#,##0.00">
                  <c:v>5075</c:v>
                </c:pt>
                <c:pt idx="31" formatCode="[$$-80A]#,##0.00">
                  <c:v>5075</c:v>
                </c:pt>
                <c:pt idx="32" formatCode="[$$-80A]#,##0.00">
                  <c:v>4988</c:v>
                </c:pt>
                <c:pt idx="33" formatCode="[$$-80A]#,##0.00">
                  <c:v>5075</c:v>
                </c:pt>
                <c:pt idx="34" formatCode="[$$-80A]#,##0.00">
                  <c:v>4959</c:v>
                </c:pt>
                <c:pt idx="35" formatCode="[$$-80A]#,##0.00">
                  <c:v>4988</c:v>
                </c:pt>
                <c:pt idx="36" formatCode="[$$-80A]#,##0.00">
                  <c:v>4988</c:v>
                </c:pt>
                <c:pt idx="37" formatCode="[$$-80A]#,##0.00">
                  <c:v>5075</c:v>
                </c:pt>
                <c:pt idx="38" formatCode="[$$-80A]#,##0.00">
                  <c:v>4930</c:v>
                </c:pt>
                <c:pt idx="39" formatCode="[$$-80A]#,##0.00">
                  <c:v>4698</c:v>
                </c:pt>
                <c:pt idx="40" formatCode="[$$-80A]#,##0.00">
                  <c:v>4930</c:v>
                </c:pt>
                <c:pt idx="41" formatCode="[$$-80A]#,##0.00">
                  <c:v>5046</c:v>
                </c:pt>
                <c:pt idx="42" formatCode="[$$-80A]#,##0.00">
                  <c:v>5133</c:v>
                </c:pt>
                <c:pt idx="43" formatCode="[$$-80A]#,##0.00">
                  <c:v>5104</c:v>
                </c:pt>
                <c:pt idx="44" formatCode="[$$-80A]#,##0.00">
                  <c:v>4988</c:v>
                </c:pt>
                <c:pt idx="45" formatCode="[$$-80A]#,##0.00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756451.21054999996</c:v>
                </c:pt>
                <c:pt idx="49">
                  <c:v>758175.73919999995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847613.81715000002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838412.92920000001</c:v>
                </c:pt>
                <c:pt idx="8">
                  <c:v>882032.16310000001</c:v>
                </c:pt>
                <c:pt idx="9">
                  <c:v>889727.26890000002</c:v>
                </c:pt>
                <c:pt idx="10">
                  <c:v>842395.84005</c:v>
                </c:pt>
                <c:pt idx="11">
                  <c:v>880899.83279999986</c:v>
                </c:pt>
                <c:pt idx="12">
                  <c:v>858565.98600000003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866038.42759999994</c:v>
                </c:pt>
                <c:pt idx="17">
                  <c:v>895508.17279999994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886627.97724999988</c:v>
                </c:pt>
                <c:pt idx="21">
                  <c:v>871342.8848</c:v>
                </c:pt>
                <c:pt idx="22">
                  <c:v>913611.19410000008</c:v>
                </c:pt>
                <c:pt idx="23">
                  <c:v>903266.31720000005</c:v>
                </c:pt>
                <c:pt idx="24">
                  <c:v>903791.3173</c:v>
                </c:pt>
                <c:pt idx="25">
                  <c:v>892808.46959999995</c:v>
                </c:pt>
                <c:pt idx="26">
                  <c:v>907259.92820000008</c:v>
                </c:pt>
                <c:pt idx="27">
                  <c:v>894772.73719999997</c:v>
                </c:pt>
                <c:pt idx="28">
                  <c:v>872798.27959999989</c:v>
                </c:pt>
                <c:pt idx="29">
                  <c:v>867679.09090000007</c:v>
                </c:pt>
                <c:pt idx="30">
                  <c:v>871242.52959999989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854249.25600000005</c:v>
                </c:pt>
                <c:pt idx="37">
                  <c:v>861726.3232000001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820205.61730000004</c:v>
                </c:pt>
                <c:pt idx="47">
                  <c:v>826760.13270000007</c:v>
                </c:pt>
                <c:pt idx="48">
                  <c:v>803695.21054999996</c:v>
                </c:pt>
                <c:pt idx="49">
                  <c:v>807719.73919999995</c:v>
                </c:pt>
                <c:pt idx="50">
                  <c:v>823964.76489999995</c:v>
                </c:pt>
                <c:pt idx="51">
                  <c:v>808549.67599999998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47.1697826001244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46.595836801242235</c:v>
                </c:pt>
                <c:pt idx="8">
                  <c:v>46.326647123256087</c:v>
                </c:pt>
                <c:pt idx="9">
                  <c:v>47.80241238562656</c:v>
                </c:pt>
                <c:pt idx="10">
                  <c:v>44.911388024171885</c:v>
                </c:pt>
                <c:pt idx="11">
                  <c:v>48.126875908102846</c:v>
                </c:pt>
                <c:pt idx="12">
                  <c:v>45.595858048995041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45.779156017460686</c:v>
                </c:pt>
                <c:pt idx="17">
                  <c:v>47.437803968832924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47.720857194035169</c:v>
                </c:pt>
                <c:pt idx="21">
                  <c:v>47.877539947909526</c:v>
                </c:pt>
                <c:pt idx="22">
                  <c:v>48.73514474846953</c:v>
                </c:pt>
                <c:pt idx="23">
                  <c:v>47.35605003583705</c:v>
                </c:pt>
                <c:pt idx="24">
                  <c:v>47.356568156149997</c:v>
                </c:pt>
                <c:pt idx="25">
                  <c:v>47.044951131021861</c:v>
                </c:pt>
                <c:pt idx="26">
                  <c:v>47.709947901197005</c:v>
                </c:pt>
                <c:pt idx="27">
                  <c:v>47.260567820417542</c:v>
                </c:pt>
                <c:pt idx="28">
                  <c:v>46.001721296904989</c:v>
                </c:pt>
                <c:pt idx="29">
                  <c:v>46.362697137050084</c:v>
                </c:pt>
                <c:pt idx="30">
                  <c:v>45.998594429430135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44.630881339498423</c:v>
                </c:pt>
                <c:pt idx="37">
                  <c:v>44.92531422537337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43.677443981745277</c:v>
                </c:pt>
                <c:pt idx="47">
                  <c:v>43.711774552049022</c:v>
                </c:pt>
                <c:pt idx="48">
                  <c:v>42.983226470059705</c:v>
                </c:pt>
                <c:pt idx="49">
                  <c:v>43.611045586655997</c:v>
                </c:pt>
                <c:pt idx="50">
                  <c:v>44.488159914777768</c:v>
                </c:pt>
                <c:pt idx="51">
                  <c:v>42.494411999663633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D36" activePane="bottomRight" state="frozen"/>
      <selection pane="topRight" activeCell="B1" sqref="B1"/>
      <selection pane="bottomLeft" activeCell="A3" sqref="A3"/>
      <selection pane="bottomRight" activeCell="P51" sqref="P5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4" style="5" customWidth="1"/>
    <col min="7" max="7" width="7.28515625" style="12" customWidth="1"/>
    <col min="8" max="8" width="14.5703125" style="5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11" customWidth="1"/>
    <col min="15" max="15" width="16.28515625" style="334" customWidth="1"/>
    <col min="16" max="16" width="14.425781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299" t="s">
        <v>26</v>
      </c>
      <c r="L1" s="643"/>
      <c r="M1" s="1301" t="s">
        <v>27</v>
      </c>
      <c r="N1" s="904"/>
      <c r="P1" s="97" t="s">
        <v>38</v>
      </c>
      <c r="Q1" s="1297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300"/>
      <c r="L2" s="644" t="s">
        <v>29</v>
      </c>
      <c r="M2" s="1302"/>
      <c r="N2" s="905" t="s">
        <v>29</v>
      </c>
      <c r="O2" s="386" t="s">
        <v>30</v>
      </c>
      <c r="P2" s="98" t="s">
        <v>39</v>
      </c>
      <c r="Q2" s="1298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04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84" t="str">
        <f>PIERNA!C4</f>
        <v>Seaboard</v>
      </c>
      <c r="D4" s="785" t="str">
        <f>PIERNA!D4</f>
        <v>PED. 90393224</v>
      </c>
      <c r="E4" s="786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89">
        <f>PIERNA!I4</f>
        <v>-30.479999999999563</v>
      </c>
      <c r="J4" s="1019" t="s">
        <v>229</v>
      </c>
      <c r="K4" s="967">
        <v>11151</v>
      </c>
      <c r="L4" s="901" t="s">
        <v>232</v>
      </c>
      <c r="M4" s="752">
        <v>37120</v>
      </c>
      <c r="N4" s="766" t="s">
        <v>232</v>
      </c>
      <c r="O4" s="767">
        <v>2111044</v>
      </c>
      <c r="P4" s="1138">
        <v>5278</v>
      </c>
      <c r="Q4" s="895">
        <f>43549.97*19.45</f>
        <v>847046.91649999993</v>
      </c>
      <c r="R4" s="896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89">
        <f>PIERNA!I5</f>
        <v>14.740000000001601</v>
      </c>
      <c r="J5" s="764" t="s">
        <v>230</v>
      </c>
      <c r="K5" s="900">
        <v>12151</v>
      </c>
      <c r="L5" s="901" t="s">
        <v>232</v>
      </c>
      <c r="M5" s="752">
        <v>37120</v>
      </c>
      <c r="N5" s="766" t="s">
        <v>232</v>
      </c>
      <c r="O5" s="767">
        <v>2111045</v>
      </c>
      <c r="P5" s="1138">
        <v>5278</v>
      </c>
      <c r="Q5" s="895">
        <f>43741.62*19.45</f>
        <v>850774.50899999996</v>
      </c>
      <c r="R5" s="896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89">
        <f>PIERNA!I6</f>
        <v>-78.520000000000437</v>
      </c>
      <c r="J6" s="791" t="s">
        <v>353</v>
      </c>
      <c r="K6" s="967">
        <v>12161</v>
      </c>
      <c r="L6" s="1034" t="s">
        <v>232</v>
      </c>
      <c r="M6" s="752">
        <v>37120</v>
      </c>
      <c r="N6" s="766" t="s">
        <v>388</v>
      </c>
      <c r="O6" s="769">
        <v>1211480</v>
      </c>
      <c r="P6" s="1137">
        <v>5336</v>
      </c>
      <c r="Q6" s="1032">
        <f>44062.9*19.3</f>
        <v>850413.97000000009</v>
      </c>
      <c r="R6" s="1033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89">
        <f>PIERNA!I7</f>
        <v>14.209999999999127</v>
      </c>
      <c r="J7" s="775" t="s">
        <v>351</v>
      </c>
      <c r="K7" s="967">
        <v>9851</v>
      </c>
      <c r="L7" s="1034" t="s">
        <v>232</v>
      </c>
      <c r="M7" s="752">
        <v>37120</v>
      </c>
      <c r="N7" s="766" t="s">
        <v>388</v>
      </c>
      <c r="O7" s="769">
        <v>2111540</v>
      </c>
      <c r="P7" s="1137">
        <v>5452</v>
      </c>
      <c r="Q7" s="897">
        <f>45575.34*19.41</f>
        <v>884617.34939999995</v>
      </c>
      <c r="R7" s="896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89">
        <f>PIERNA!I8</f>
        <v>46.490000000001601</v>
      </c>
      <c r="J8" s="1255" t="s">
        <v>354</v>
      </c>
      <c r="K8" s="751">
        <v>12151</v>
      </c>
      <c r="L8" s="778" t="s">
        <v>387</v>
      </c>
      <c r="M8" s="752">
        <v>37120</v>
      </c>
      <c r="N8" s="771" t="s">
        <v>389</v>
      </c>
      <c r="O8" s="1052">
        <v>2111874</v>
      </c>
      <c r="P8" s="1254">
        <v>4930</v>
      </c>
      <c r="Q8" s="897">
        <f>40887.03*19.405</f>
        <v>793412.81715000002</v>
      </c>
      <c r="R8" s="899" t="s">
        <v>369</v>
      </c>
      <c r="S8" s="65">
        <f t="shared" si="0"/>
        <v>847613.81715000002</v>
      </c>
      <c r="T8" s="65">
        <f t="shared" si="1"/>
        <v>47.1697826001244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89">
        <f>PIERNA!I9</f>
        <v>84.119999999998981</v>
      </c>
      <c r="J9" s="1255" t="s">
        <v>356</v>
      </c>
      <c r="K9" s="967">
        <v>12161</v>
      </c>
      <c r="L9" s="1034" t="s">
        <v>232</v>
      </c>
      <c r="M9" s="752">
        <v>37120</v>
      </c>
      <c r="N9" s="771" t="s">
        <v>389</v>
      </c>
      <c r="O9" s="773">
        <v>1213583</v>
      </c>
      <c r="P9" s="1254">
        <v>5278</v>
      </c>
      <c r="Q9" s="521">
        <f>43731.05*19.445</f>
        <v>850350.26725000003</v>
      </c>
      <c r="R9" s="774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89">
        <f>PIERNA!I10</f>
        <v>0</v>
      </c>
      <c r="J10" s="1041" t="s">
        <v>361</v>
      </c>
      <c r="K10" s="751"/>
      <c r="L10" s="778"/>
      <c r="M10" s="752"/>
      <c r="N10" s="771"/>
      <c r="O10" s="773" t="s">
        <v>357</v>
      </c>
      <c r="P10" s="1254">
        <v>0</v>
      </c>
      <c r="Q10" s="521">
        <f>134+65000</f>
        <v>65134</v>
      </c>
      <c r="R10" s="774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89">
        <f>PIERNA!I11</f>
        <v>-17.299999999999272</v>
      </c>
      <c r="J11" s="1256" t="s">
        <v>360</v>
      </c>
      <c r="K11" s="751">
        <v>11151</v>
      </c>
      <c r="L11" s="772" t="s">
        <v>389</v>
      </c>
      <c r="M11" s="752">
        <v>27840</v>
      </c>
      <c r="N11" s="771" t="s">
        <v>393</v>
      </c>
      <c r="O11" s="776">
        <v>2111873</v>
      </c>
      <c r="P11" s="1254">
        <v>4930</v>
      </c>
      <c r="Q11" s="895">
        <f>40942.64*19.405</f>
        <v>794491.92920000001</v>
      </c>
      <c r="R11" s="898" t="s">
        <v>369</v>
      </c>
      <c r="S11" s="65">
        <f t="shared" si="0"/>
        <v>838412.92920000001</v>
      </c>
      <c r="T11" s="65">
        <f t="shared" si="1"/>
        <v>46.595836801242235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89">
        <f>PIERNA!I12</f>
        <v>140.40000000000146</v>
      </c>
      <c r="J12" s="1255" t="s">
        <v>350</v>
      </c>
      <c r="K12" s="751">
        <v>11151</v>
      </c>
      <c r="L12" s="772" t="s">
        <v>390</v>
      </c>
      <c r="M12" s="752">
        <v>37120</v>
      </c>
      <c r="N12" s="771" t="s">
        <v>391</v>
      </c>
      <c r="O12" s="776">
        <v>2113851</v>
      </c>
      <c r="P12" s="1254">
        <v>5162</v>
      </c>
      <c r="Q12" s="895">
        <f>43121.86*19.335</f>
        <v>833761.16310000001</v>
      </c>
      <c r="R12" s="898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89">
        <f>PIERNA!I13</f>
        <v>-27.669999999998254</v>
      </c>
      <c r="J13" s="1257" t="s">
        <v>362</v>
      </c>
      <c r="K13" s="751">
        <v>11151</v>
      </c>
      <c r="L13" s="772" t="s">
        <v>391</v>
      </c>
      <c r="M13" s="752">
        <v>37120</v>
      </c>
      <c r="N13" s="771" t="s">
        <v>385</v>
      </c>
      <c r="O13" s="776">
        <v>1219005</v>
      </c>
      <c r="P13" s="1254">
        <v>5231.6000000000004</v>
      </c>
      <c r="Q13" s="385">
        <f>42254.91*19.79</f>
        <v>836224.66890000005</v>
      </c>
      <c r="R13" s="774" t="s">
        <v>386</v>
      </c>
      <c r="S13" s="65">
        <f t="shared" si="0"/>
        <v>889727.26890000002</v>
      </c>
      <c r="T13" s="65">
        <f t="shared" si="1"/>
        <v>47.80241238562656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89">
        <f>PIERNA!I14</f>
        <v>89.799999999999272</v>
      </c>
      <c r="J14" s="1256" t="s">
        <v>363</v>
      </c>
      <c r="K14" s="751">
        <v>12001</v>
      </c>
      <c r="L14" s="772" t="s">
        <v>385</v>
      </c>
      <c r="M14" s="752">
        <v>37120</v>
      </c>
      <c r="N14" s="771" t="s">
        <v>392</v>
      </c>
      <c r="O14" s="773">
        <v>2113852</v>
      </c>
      <c r="P14" s="1254">
        <v>4930</v>
      </c>
      <c r="Q14" s="385">
        <f>41091.73*19.185</f>
        <v>788344.84005</v>
      </c>
      <c r="R14" s="777" t="s">
        <v>379</v>
      </c>
      <c r="S14" s="65">
        <f t="shared" si="0"/>
        <v>842395.84005</v>
      </c>
      <c r="T14" s="65">
        <f t="shared" si="1"/>
        <v>44.911388024171885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89">
        <f>PIERNA!I15</f>
        <v>24.270000000000437</v>
      </c>
      <c r="J15" s="1258" t="s">
        <v>364</v>
      </c>
      <c r="K15" s="751">
        <v>12543</v>
      </c>
      <c r="L15" s="772" t="s">
        <v>391</v>
      </c>
      <c r="M15" s="752">
        <v>37120</v>
      </c>
      <c r="N15" s="778" t="s">
        <v>385</v>
      </c>
      <c r="O15" s="779">
        <v>1220853</v>
      </c>
      <c r="P15" s="1254">
        <v>5162</v>
      </c>
      <c r="Q15" s="385">
        <f>41553.06*19.88</f>
        <v>826074.83279999986</v>
      </c>
      <c r="R15" s="780" t="s">
        <v>488</v>
      </c>
      <c r="S15" s="65">
        <f t="shared" si="0"/>
        <v>880899.83279999986</v>
      </c>
      <c r="T15" s="65">
        <f t="shared" si="1"/>
        <v>48.126875908102846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89">
        <f>PIERNA!I16</f>
        <v>-24.18999999999869</v>
      </c>
      <c r="J16" s="1260" t="s">
        <v>365</v>
      </c>
      <c r="K16" s="751">
        <v>11151</v>
      </c>
      <c r="L16" s="772" t="s">
        <v>392</v>
      </c>
      <c r="M16" s="752">
        <v>37120</v>
      </c>
      <c r="N16" s="778" t="s">
        <v>393</v>
      </c>
      <c r="O16" s="776">
        <v>2114514</v>
      </c>
      <c r="P16" s="1254">
        <v>4988</v>
      </c>
      <c r="Q16" s="521">
        <f>40672.07*19.8</f>
        <v>805306.98600000003</v>
      </c>
      <c r="R16" s="774" t="s">
        <v>384</v>
      </c>
      <c r="S16" s="65">
        <f t="shared" si="0"/>
        <v>858565.98600000003</v>
      </c>
      <c r="T16" s="65">
        <f t="shared" si="1"/>
        <v>45.595858048995041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89">
        <f>PIERNA!I17</f>
        <v>-55.319999999999709</v>
      </c>
      <c r="J17" s="1259" t="s">
        <v>366</v>
      </c>
      <c r="K17" s="751">
        <v>9851</v>
      </c>
      <c r="L17" s="772" t="s">
        <v>392</v>
      </c>
      <c r="M17" s="752">
        <v>37120</v>
      </c>
      <c r="N17" s="778" t="s">
        <v>393</v>
      </c>
      <c r="O17" s="776">
        <v>2114320</v>
      </c>
      <c r="P17" s="1254">
        <v>4988</v>
      </c>
      <c r="Q17" s="895">
        <f>41349.55*19.335</f>
        <v>799493.54925000004</v>
      </c>
      <c r="R17" s="898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89">
        <f>PIERNA!I18</f>
        <v>-30.56000000000131</v>
      </c>
      <c r="J18" s="1256" t="s">
        <v>423</v>
      </c>
      <c r="K18" s="751">
        <v>12001</v>
      </c>
      <c r="L18" s="772" t="s">
        <v>392</v>
      </c>
      <c r="M18" s="752">
        <v>37120</v>
      </c>
      <c r="N18" s="778" t="s">
        <v>487</v>
      </c>
      <c r="O18" s="767">
        <v>2114513</v>
      </c>
      <c r="P18" s="1254">
        <v>4988</v>
      </c>
      <c r="Q18" s="521">
        <f>40564.53*19.445</f>
        <v>788777.28584999999</v>
      </c>
      <c r="R18" s="777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89">
        <f>PIERNA!I19</f>
        <v>21.489999999997963</v>
      </c>
      <c r="J19" s="1256" t="s">
        <v>424</v>
      </c>
      <c r="K19" s="751">
        <v>12161</v>
      </c>
      <c r="L19" s="772" t="s">
        <v>392</v>
      </c>
      <c r="M19" s="752">
        <v>27840</v>
      </c>
      <c r="N19" s="771" t="s">
        <v>496</v>
      </c>
      <c r="O19" s="773">
        <v>2114512</v>
      </c>
      <c r="P19" s="1254">
        <v>4988</v>
      </c>
      <c r="Q19" s="521">
        <f>40576.27*19.445</f>
        <v>789005.57014999993</v>
      </c>
      <c r="R19" s="766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89">
        <f>PIERNA!I20</f>
        <v>-38.479999999999563</v>
      </c>
      <c r="J20" s="1255" t="s">
        <v>425</v>
      </c>
      <c r="K20" s="751">
        <v>11151</v>
      </c>
      <c r="L20" s="772" t="s">
        <v>393</v>
      </c>
      <c r="M20" s="752">
        <v>37120</v>
      </c>
      <c r="N20" s="771" t="s">
        <v>393</v>
      </c>
      <c r="O20" s="773">
        <v>1220782</v>
      </c>
      <c r="P20" s="1254">
        <v>5104</v>
      </c>
      <c r="Q20" s="521">
        <f>41547.21*19.56</f>
        <v>812663.42759999994</v>
      </c>
      <c r="R20" s="766" t="s">
        <v>461</v>
      </c>
      <c r="S20" s="65">
        <f t="shared" si="0"/>
        <v>866038.42759999994</v>
      </c>
      <c r="T20" s="65">
        <f t="shared" si="1"/>
        <v>45.779156017460686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89">
        <f>PIERNA!I21</f>
        <v>74.769999999996799</v>
      </c>
      <c r="J21" s="1255" t="s">
        <v>429</v>
      </c>
      <c r="K21" s="751">
        <v>12151</v>
      </c>
      <c r="L21" s="772" t="s">
        <v>492</v>
      </c>
      <c r="M21" s="752">
        <v>37120</v>
      </c>
      <c r="N21" s="771" t="s">
        <v>492</v>
      </c>
      <c r="O21" s="776">
        <v>2116427</v>
      </c>
      <c r="P21" s="1254">
        <v>5220</v>
      </c>
      <c r="Q21" s="521">
        <f>42604.72*19.74</f>
        <v>841017.17279999994</v>
      </c>
      <c r="R21" s="766" t="s">
        <v>486</v>
      </c>
      <c r="S21" s="65">
        <f t="shared" si="0"/>
        <v>895508.17279999994</v>
      </c>
      <c r="T21" s="65">
        <f t="shared" si="1"/>
        <v>47.437803968832924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89">
        <f>PIERNA!I22</f>
        <v>76.470000000001164</v>
      </c>
      <c r="J22" s="1256" t="s">
        <v>430</v>
      </c>
      <c r="K22" s="751">
        <v>12151</v>
      </c>
      <c r="L22" s="772" t="s">
        <v>492</v>
      </c>
      <c r="M22" s="752">
        <v>37120</v>
      </c>
      <c r="N22" s="771" t="s">
        <v>492</v>
      </c>
      <c r="O22" s="776">
        <v>2116428</v>
      </c>
      <c r="P22" s="1254">
        <v>5220</v>
      </c>
      <c r="Q22" s="521">
        <f>42500.53*19.74</f>
        <v>838960.46219999995</v>
      </c>
      <c r="R22" s="766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89">
        <f>PIERNA!I23</f>
        <v>108.14999999999782</v>
      </c>
      <c r="J23" s="1255" t="s">
        <v>431</v>
      </c>
      <c r="K23" s="751">
        <v>9851</v>
      </c>
      <c r="L23" s="772" t="s">
        <v>492</v>
      </c>
      <c r="M23" s="752">
        <v>37120</v>
      </c>
      <c r="N23" s="771" t="s">
        <v>492</v>
      </c>
      <c r="O23" s="767">
        <v>2116429</v>
      </c>
      <c r="P23" s="1254">
        <v>5278</v>
      </c>
      <c r="Q23" s="521">
        <f>42921.39*19.81</f>
        <v>850272.73589999997</v>
      </c>
      <c r="R23" s="766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89">
        <f>PIERNA!I24</f>
        <v>-27.630000000001019</v>
      </c>
      <c r="J24" s="1256" t="s">
        <v>432</v>
      </c>
      <c r="K24" s="751">
        <v>11001</v>
      </c>
      <c r="L24" s="772" t="s">
        <v>492</v>
      </c>
      <c r="M24" s="752">
        <v>37120</v>
      </c>
      <c r="N24" s="771" t="s">
        <v>493</v>
      </c>
      <c r="O24" s="773">
        <v>1231770</v>
      </c>
      <c r="P24" s="1254">
        <v>5220</v>
      </c>
      <c r="Q24" s="521">
        <f>42032.13*19.825</f>
        <v>833286.97724999988</v>
      </c>
      <c r="R24" s="766" t="s">
        <v>463</v>
      </c>
      <c r="S24" s="65">
        <f t="shared" si="0"/>
        <v>886627.97724999988</v>
      </c>
      <c r="T24" s="65">
        <f t="shared" si="1"/>
        <v>47.720857194035169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89">
        <f>PIERNA!I25</f>
        <v>19.380000000001019</v>
      </c>
      <c r="J25" s="1255" t="s">
        <v>433</v>
      </c>
      <c r="K25" s="751">
        <v>12151</v>
      </c>
      <c r="L25" s="772" t="s">
        <v>492</v>
      </c>
      <c r="M25" s="752">
        <v>37120</v>
      </c>
      <c r="N25" s="771" t="s">
        <v>493</v>
      </c>
      <c r="O25" s="773">
        <v>1231769</v>
      </c>
      <c r="P25" s="1254">
        <v>5220</v>
      </c>
      <c r="Q25" s="521">
        <f>41171.97*19.84</f>
        <v>816851.8848</v>
      </c>
      <c r="R25" s="768" t="s">
        <v>464</v>
      </c>
      <c r="S25" s="65">
        <f t="shared" si="0"/>
        <v>871342.8848</v>
      </c>
      <c r="T25" s="65">
        <f t="shared" si="1"/>
        <v>47.877539947909526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89">
        <f>PIERNA!I26</f>
        <v>-31.220000000001164</v>
      </c>
      <c r="J26" s="1256" t="s">
        <v>435</v>
      </c>
      <c r="K26" s="751">
        <v>9851</v>
      </c>
      <c r="L26" s="765" t="s">
        <v>493</v>
      </c>
      <c r="M26" s="752">
        <v>37120</v>
      </c>
      <c r="N26" s="766" t="s">
        <v>495</v>
      </c>
      <c r="O26" s="773">
        <v>1233100</v>
      </c>
      <c r="P26" s="1254">
        <v>5394</v>
      </c>
      <c r="Q26" s="521">
        <f>43530.26*19.785</f>
        <v>861246.19410000008</v>
      </c>
      <c r="R26" s="766" t="s">
        <v>458</v>
      </c>
      <c r="S26" s="65">
        <f t="shared" si="0"/>
        <v>913611.19410000008</v>
      </c>
      <c r="T26" s="65">
        <f t="shared" si="1"/>
        <v>48.73514474846953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89">
        <f>PIERNA!I27</f>
        <v>1.8899999999994179</v>
      </c>
      <c r="J27" s="1256" t="s">
        <v>436</v>
      </c>
      <c r="K27" s="751">
        <v>12001</v>
      </c>
      <c r="L27" s="765" t="s">
        <v>492</v>
      </c>
      <c r="M27" s="752">
        <v>37120</v>
      </c>
      <c r="N27" s="766" t="s">
        <v>493</v>
      </c>
      <c r="O27" s="773">
        <v>2116430</v>
      </c>
      <c r="P27" s="1254">
        <v>5278</v>
      </c>
      <c r="Q27" s="521">
        <f>43046.01*19.72</f>
        <v>848867.31720000005</v>
      </c>
      <c r="R27" s="766" t="s">
        <v>385</v>
      </c>
      <c r="S27" s="65">
        <f>Q27+M27+K27+P27</f>
        <v>903266.31720000005</v>
      </c>
      <c r="T27" s="65">
        <f t="shared" si="1"/>
        <v>47.35605003583705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89">
        <f>PIERNA!I28</f>
        <v>40.639999999999418</v>
      </c>
      <c r="J28" s="1256" t="s">
        <v>437</v>
      </c>
      <c r="K28" s="751"/>
      <c r="L28" s="765"/>
      <c r="M28" s="752">
        <v>27840</v>
      </c>
      <c r="N28" s="766" t="s">
        <v>552</v>
      </c>
      <c r="O28" s="773">
        <v>2116432</v>
      </c>
      <c r="P28" s="1254">
        <v>5394</v>
      </c>
      <c r="Q28" s="521">
        <f>44213.17*19.69</f>
        <v>870557.3173</v>
      </c>
      <c r="R28" s="768" t="s">
        <v>386</v>
      </c>
      <c r="S28" s="65">
        <f t="shared" si="0"/>
        <v>903791.3173</v>
      </c>
      <c r="T28" s="65">
        <f t="shared" si="1"/>
        <v>47.356568156149997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7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89">
        <f>PIERNA!I29</f>
        <v>34.099999999998545</v>
      </c>
      <c r="J29" s="1261" t="s">
        <v>438</v>
      </c>
      <c r="K29" s="691">
        <v>12001</v>
      </c>
      <c r="L29" s="765" t="s">
        <v>495</v>
      </c>
      <c r="M29" s="752">
        <v>37120</v>
      </c>
      <c r="N29" s="766" t="s">
        <v>496</v>
      </c>
      <c r="O29" s="767">
        <v>2117525</v>
      </c>
      <c r="P29" s="1254">
        <v>5220</v>
      </c>
      <c r="Q29" s="521">
        <f>42368.24*19.79</f>
        <v>838467.46959999995</v>
      </c>
      <c r="R29" s="768" t="s">
        <v>487</v>
      </c>
      <c r="S29" s="65">
        <f t="shared" si="0"/>
        <v>892808.46959999995</v>
      </c>
      <c r="T29" s="65">
        <f t="shared" si="1"/>
        <v>47.044951131021861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89">
        <f>PIERNA!I30</f>
        <v>75.950000000000728</v>
      </c>
      <c r="J30" s="1255" t="s">
        <v>439</v>
      </c>
      <c r="K30" s="751">
        <v>12001</v>
      </c>
      <c r="L30" s="765" t="s">
        <v>494</v>
      </c>
      <c r="M30" s="752">
        <v>27840</v>
      </c>
      <c r="N30" s="766" t="s">
        <v>552</v>
      </c>
      <c r="O30" s="767">
        <v>2116431</v>
      </c>
      <c r="P30" s="1254">
        <v>5394</v>
      </c>
      <c r="Q30" s="521">
        <f>44053.78*19.69</f>
        <v>867418.92820000008</v>
      </c>
      <c r="R30" s="768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89">
        <f>PIERNA!I31</f>
        <v>49.19999999999709</v>
      </c>
      <c r="J31" s="1255" t="s">
        <v>440</v>
      </c>
      <c r="K31" s="751">
        <v>12161</v>
      </c>
      <c r="L31" s="765" t="s">
        <v>495</v>
      </c>
      <c r="M31" s="752">
        <v>37120</v>
      </c>
      <c r="N31" s="766" t="s">
        <v>496</v>
      </c>
      <c r="O31" s="767">
        <v>2117526</v>
      </c>
      <c r="P31" s="1254">
        <v>5220</v>
      </c>
      <c r="Q31" s="521">
        <f>42267.19*19.88</f>
        <v>840271.73719999997</v>
      </c>
      <c r="R31" s="768" t="s">
        <v>488</v>
      </c>
      <c r="S31" s="65">
        <f t="shared" si="0"/>
        <v>894772.73719999997</v>
      </c>
      <c r="T31" s="65">
        <f t="shared" si="1"/>
        <v>47.260567820417542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25" t="str">
        <f>PIERNA!KG5</f>
        <v>PED. 91307670</v>
      </c>
      <c r="E32" s="926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89">
        <f>PIERNA!I32</f>
        <v>-2.7900000000008731</v>
      </c>
      <c r="J32" s="764" t="s">
        <v>446</v>
      </c>
      <c r="K32" s="751">
        <v>12161</v>
      </c>
      <c r="L32" s="765" t="s">
        <v>552</v>
      </c>
      <c r="M32" s="752">
        <v>37120</v>
      </c>
      <c r="N32" s="766" t="s">
        <v>553</v>
      </c>
      <c r="O32" s="767">
        <v>2118200</v>
      </c>
      <c r="P32" s="1262">
        <v>5104</v>
      </c>
      <c r="Q32" s="521">
        <f>41167.67*19.88</f>
        <v>818413.27959999989</v>
      </c>
      <c r="R32" s="768" t="s">
        <v>488</v>
      </c>
      <c r="S32" s="65">
        <f>Q32+M32+K32+P32</f>
        <v>872798.27959999989</v>
      </c>
      <c r="T32" s="65">
        <f t="shared" ref="T32:T41" si="8">S32/H32+0.1</f>
        <v>46.001721296904989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25" t="str">
        <f>PIERNA!KQ5</f>
        <v>PED. 91354477</v>
      </c>
      <c r="E33" s="926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0">
        <f>PIERNA!I33</f>
        <v>33.610000000000582</v>
      </c>
      <c r="J33" s="764" t="s">
        <v>447</v>
      </c>
      <c r="K33" s="691">
        <v>11151</v>
      </c>
      <c r="L33" s="765" t="s">
        <v>552</v>
      </c>
      <c r="M33" s="752">
        <v>37120</v>
      </c>
      <c r="N33" s="766" t="s">
        <v>553</v>
      </c>
      <c r="O33" s="767">
        <v>1238364</v>
      </c>
      <c r="P33" s="1262">
        <v>5133</v>
      </c>
      <c r="Q33" s="521">
        <f>41312.79*19.71</f>
        <v>814275.09090000007</v>
      </c>
      <c r="R33" s="768" t="s">
        <v>491</v>
      </c>
      <c r="S33" s="65">
        <f>Q33+M33+K33+P33</f>
        <v>867679.09090000007</v>
      </c>
      <c r="T33" s="65">
        <f t="shared" si="8"/>
        <v>46.362697137050084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89">
        <f>PIERNA!I34</f>
        <v>68.309999999997672</v>
      </c>
      <c r="J34" s="764" t="s">
        <v>448</v>
      </c>
      <c r="K34" s="751">
        <v>12001</v>
      </c>
      <c r="L34" s="765" t="s">
        <v>553</v>
      </c>
      <c r="M34" s="752">
        <v>37120</v>
      </c>
      <c r="N34" s="766" t="s">
        <v>554</v>
      </c>
      <c r="O34" s="769">
        <v>2118754</v>
      </c>
      <c r="P34" s="1262">
        <v>5075</v>
      </c>
      <c r="Q34" s="522">
        <f>41098.92*19.88</f>
        <v>817046.52959999989</v>
      </c>
      <c r="R34" s="770" t="s">
        <v>488</v>
      </c>
      <c r="S34" s="65">
        <f>Q34+M34+K34+P34</f>
        <v>871242.52959999989</v>
      </c>
      <c r="T34" s="65">
        <f t="shared" si="8"/>
        <v>45.998594429430135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89">
        <f>PIERNA!I35</f>
        <v>-57.650000000001455</v>
      </c>
      <c r="J35" s="764" t="s">
        <v>449</v>
      </c>
      <c r="K35" s="751">
        <v>11151</v>
      </c>
      <c r="L35" s="765" t="s">
        <v>553</v>
      </c>
      <c r="M35" s="752">
        <v>37120</v>
      </c>
      <c r="N35" s="766" t="s">
        <v>554</v>
      </c>
      <c r="O35" s="769">
        <v>1239758</v>
      </c>
      <c r="P35" s="1262">
        <v>5075</v>
      </c>
      <c r="Q35" s="385">
        <f>40653.15*19.67</f>
        <v>799647.46050000004</v>
      </c>
      <c r="R35" s="768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89">
        <f>PIERNA!I36</f>
        <v>-107.37000000000262</v>
      </c>
      <c r="J36" s="764" t="s">
        <v>450</v>
      </c>
      <c r="K36" s="751">
        <v>11151</v>
      </c>
      <c r="L36" s="765" t="s">
        <v>554</v>
      </c>
      <c r="M36" s="752">
        <v>37120</v>
      </c>
      <c r="N36" s="771" t="s">
        <v>555</v>
      </c>
      <c r="O36" s="769">
        <v>2118201</v>
      </c>
      <c r="P36" s="1262">
        <v>4988</v>
      </c>
      <c r="Q36" s="385">
        <f>40458.59*19.62</f>
        <v>793797.53579999995</v>
      </c>
      <c r="R36" s="766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89">
        <f>PIERNA!I37</f>
        <v>74.990000000001601</v>
      </c>
      <c r="J37" s="764" t="s">
        <v>451</v>
      </c>
      <c r="K37" s="751">
        <v>10101</v>
      </c>
      <c r="L37" s="765" t="s">
        <v>553</v>
      </c>
      <c r="M37" s="752">
        <v>37120</v>
      </c>
      <c r="N37" s="766" t="s">
        <v>554</v>
      </c>
      <c r="O37" s="773">
        <v>2118756</v>
      </c>
      <c r="P37" s="1262">
        <v>5075</v>
      </c>
      <c r="Q37" s="521">
        <f>41169.63*19.62</f>
        <v>807748.14060000004</v>
      </c>
      <c r="R37" s="766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89">
        <f>PIERNA!I38</f>
        <v>-33.580000000001746</v>
      </c>
      <c r="J38" s="781" t="s">
        <v>452</v>
      </c>
      <c r="K38" s="751">
        <v>10101</v>
      </c>
      <c r="L38" s="782" t="s">
        <v>554</v>
      </c>
      <c r="M38" s="752">
        <v>37120</v>
      </c>
      <c r="N38" s="766" t="s">
        <v>555</v>
      </c>
      <c r="O38" s="773">
        <v>1243711</v>
      </c>
      <c r="P38" s="1262">
        <v>4959</v>
      </c>
      <c r="Q38" s="521">
        <f>39717.88*19.495</f>
        <v>774300.07059999998</v>
      </c>
      <c r="R38" s="768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83" t="s">
        <v>453</v>
      </c>
      <c r="K39" s="385">
        <v>12161</v>
      </c>
      <c r="L39" s="782" t="s">
        <v>555</v>
      </c>
      <c r="M39" s="752">
        <v>37120</v>
      </c>
      <c r="N39" s="766" t="s">
        <v>556</v>
      </c>
      <c r="O39" s="767">
        <v>2120376</v>
      </c>
      <c r="P39" s="1262">
        <v>4988</v>
      </c>
      <c r="Q39" s="521">
        <f>40079.81*19.84</f>
        <v>795183.43039999995</v>
      </c>
      <c r="R39" s="768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5" t="s">
        <v>454</v>
      </c>
      <c r="K40" s="752">
        <v>12001</v>
      </c>
      <c r="L40" s="765" t="s">
        <v>555</v>
      </c>
      <c r="M40" s="752">
        <v>37120</v>
      </c>
      <c r="N40" s="766" t="s">
        <v>556</v>
      </c>
      <c r="O40" s="767">
        <v>2120377</v>
      </c>
      <c r="P40" s="1262">
        <v>4988</v>
      </c>
      <c r="Q40" s="521">
        <f>40329.65*19.84</f>
        <v>800140.25600000005</v>
      </c>
      <c r="R40" s="768" t="s">
        <v>490</v>
      </c>
      <c r="S40" s="65">
        <f>Q40+M40+K40+P40</f>
        <v>854249.25600000005</v>
      </c>
      <c r="T40" s="65">
        <f t="shared" si="8"/>
        <v>44.630881339498423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5" t="s">
        <v>522</v>
      </c>
      <c r="K41" s="385">
        <v>12161</v>
      </c>
      <c r="L41" s="765" t="s">
        <v>553</v>
      </c>
      <c r="M41" s="752">
        <v>27840</v>
      </c>
      <c r="N41" s="766" t="s">
        <v>557</v>
      </c>
      <c r="O41" s="767">
        <v>2118755</v>
      </c>
      <c r="P41" s="1262">
        <v>5075</v>
      </c>
      <c r="Q41" s="521">
        <f>41623.36*19.62</f>
        <v>816650.3232000001</v>
      </c>
      <c r="R41" s="768" t="s">
        <v>461</v>
      </c>
      <c r="S41" s="65">
        <f>Q41+M41+K41+P41</f>
        <v>861726.3232000001</v>
      </c>
      <c r="T41" s="65">
        <f t="shared" si="8"/>
        <v>44.92531422537337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5" t="s">
        <v>523</v>
      </c>
      <c r="K42" s="752">
        <v>12151</v>
      </c>
      <c r="L42" s="765" t="s">
        <v>554</v>
      </c>
      <c r="M42" s="752">
        <v>27840</v>
      </c>
      <c r="N42" s="766" t="s">
        <v>557</v>
      </c>
      <c r="O42" s="767">
        <v>2118757</v>
      </c>
      <c r="P42" s="1262">
        <v>4930</v>
      </c>
      <c r="Q42" s="521">
        <f>41001.07*19.825</f>
        <v>812846.21274999995</v>
      </c>
      <c r="R42" s="768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5" t="s">
        <v>524</v>
      </c>
      <c r="K43" s="752">
        <v>11151</v>
      </c>
      <c r="L43" s="765" t="s">
        <v>556</v>
      </c>
      <c r="M43" s="752">
        <v>37120</v>
      </c>
      <c r="N43" s="766" t="s">
        <v>556</v>
      </c>
      <c r="O43" s="767">
        <v>2120378</v>
      </c>
      <c r="P43" s="1262">
        <v>4698</v>
      </c>
      <c r="Q43" s="521">
        <f>39456.7*19.785</f>
        <v>780650.80949999997</v>
      </c>
      <c r="R43" s="768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2">
        <v>27840</v>
      </c>
      <c r="N44" s="771" t="s">
        <v>557</v>
      </c>
      <c r="O44" s="384">
        <v>2119673</v>
      </c>
      <c r="P44" s="1262">
        <v>4930</v>
      </c>
      <c r="Q44" s="385">
        <f>41440.77*19.825</f>
        <v>821563.26524999994</v>
      </c>
      <c r="R44" s="1136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1262">
        <v>5046</v>
      </c>
      <c r="Q45" s="385">
        <f>41121.55*19.755</f>
        <v>812356.22025000001</v>
      </c>
      <c r="R45" s="1136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1262">
        <v>5133</v>
      </c>
      <c r="Q46" s="385">
        <f>41897.13*19.755</f>
        <v>827677.80314999993</v>
      </c>
      <c r="R46" s="1136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1262">
        <v>5104</v>
      </c>
      <c r="Q47" s="385">
        <f>41038.39*19.385</f>
        <v>795529.19015000004</v>
      </c>
      <c r="R47" s="1136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1262">
        <v>4988</v>
      </c>
      <c r="Q48" s="385">
        <f>39019.09*19.4</f>
        <v>756970.3459999999</v>
      </c>
      <c r="R48" s="1136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1262">
        <v>4872</v>
      </c>
      <c r="Q49" s="385">
        <f>39410.18*19.755</f>
        <v>778548.10589999997</v>
      </c>
      <c r="R49" s="1136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07" t="s">
        <v>917</v>
      </c>
      <c r="K50" s="381">
        <v>11424</v>
      </c>
      <c r="L50" s="1247" t="s">
        <v>959</v>
      </c>
      <c r="M50" s="579">
        <v>37120</v>
      </c>
      <c r="N50" s="592" t="s">
        <v>960</v>
      </c>
      <c r="O50" s="1210">
        <v>2123690</v>
      </c>
      <c r="P50" s="383"/>
      <c r="Q50" s="897">
        <f>39582.54*19.495</f>
        <v>771661.61730000004</v>
      </c>
      <c r="R50" s="1211" t="s">
        <v>542</v>
      </c>
      <c r="S50" s="65">
        <f t="shared" si="13"/>
        <v>820205.61730000004</v>
      </c>
      <c r="T50" s="65">
        <f t="shared" si="12"/>
        <v>43.677443981745277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07" t="s">
        <v>918</v>
      </c>
      <c r="K51" s="381">
        <v>12424</v>
      </c>
      <c r="L51" s="1247" t="s">
        <v>959</v>
      </c>
      <c r="M51" s="579">
        <v>37120</v>
      </c>
      <c r="N51" s="592" t="s">
        <v>960</v>
      </c>
      <c r="O51" s="1210">
        <v>2123691</v>
      </c>
      <c r="P51" s="580"/>
      <c r="Q51" s="897">
        <f>39867.46*19.495</f>
        <v>777216.13270000007</v>
      </c>
      <c r="R51" s="1211" t="s">
        <v>542</v>
      </c>
      <c r="S51" s="65">
        <f t="shared" si="13"/>
        <v>826760.13270000007</v>
      </c>
      <c r="T51" s="65">
        <f t="shared" si="12"/>
        <v>43.711774552049022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07" t="s">
        <v>919</v>
      </c>
      <c r="K52" s="381">
        <v>10124</v>
      </c>
      <c r="L52" s="1247" t="s">
        <v>959</v>
      </c>
      <c r="M52" s="579">
        <v>37120</v>
      </c>
      <c r="N52" s="592" t="s">
        <v>960</v>
      </c>
      <c r="O52" s="1210">
        <v>1259424</v>
      </c>
      <c r="P52" s="383"/>
      <c r="Q52" s="385">
        <f>39103.19*19.345</f>
        <v>756451.21054999996</v>
      </c>
      <c r="R52" s="1246" t="s">
        <v>928</v>
      </c>
      <c r="S52" s="65">
        <f t="shared" si="13"/>
        <v>803695.21054999996</v>
      </c>
      <c r="T52" s="65">
        <f t="shared" si="12"/>
        <v>42.983226470059705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07" t="s">
        <v>920</v>
      </c>
      <c r="K53" s="381">
        <v>12424</v>
      </c>
      <c r="L53" s="591" t="s">
        <v>960</v>
      </c>
      <c r="M53" s="579">
        <v>37120</v>
      </c>
      <c r="N53" s="592" t="s">
        <v>961</v>
      </c>
      <c r="O53" s="1210">
        <v>1260647</v>
      </c>
      <c r="P53" s="383"/>
      <c r="Q53" s="385">
        <f>39161.97*19.36</f>
        <v>758175.73919999995</v>
      </c>
      <c r="R53" s="1136" t="s">
        <v>958</v>
      </c>
      <c r="S53" s="65">
        <f t="shared" si="13"/>
        <v>807719.73919999995</v>
      </c>
      <c r="T53" s="65">
        <f t="shared" si="12"/>
        <v>43.611045586655997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07" t="s">
        <v>921</v>
      </c>
      <c r="K54" s="381">
        <v>10124</v>
      </c>
      <c r="L54" s="591" t="s">
        <v>960</v>
      </c>
      <c r="M54" s="579">
        <v>27840</v>
      </c>
      <c r="N54" s="592" t="s">
        <v>964</v>
      </c>
      <c r="O54" s="1210">
        <v>2123692</v>
      </c>
      <c r="P54" s="383"/>
      <c r="Q54" s="897">
        <f>40442.54*19.435</f>
        <v>786000.76489999995</v>
      </c>
      <c r="R54" s="1212" t="s">
        <v>549</v>
      </c>
      <c r="S54" s="65">
        <f t="shared" si="10"/>
        <v>823964.76489999995</v>
      </c>
      <c r="T54" s="65">
        <f t="shared" si="12"/>
        <v>44.488159914777768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07" t="s">
        <v>922</v>
      </c>
      <c r="K55" s="381">
        <v>10124</v>
      </c>
      <c r="L55" s="591" t="s">
        <v>963</v>
      </c>
      <c r="M55" s="579">
        <v>37120</v>
      </c>
      <c r="N55" s="592" t="s">
        <v>962</v>
      </c>
      <c r="O55" s="1210">
        <v>2124980</v>
      </c>
      <c r="P55" s="383"/>
      <c r="Q55" s="897">
        <f>39141.68*19.45</f>
        <v>761305.67599999998</v>
      </c>
      <c r="R55" s="1212" t="s">
        <v>544</v>
      </c>
      <c r="S55" s="65">
        <f t="shared" si="10"/>
        <v>808549.67599999998</v>
      </c>
      <c r="T55" s="65">
        <f t="shared" si="12"/>
        <v>42.494411999663633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0"/>
      <c r="P98" s="790"/>
      <c r="Q98" s="884"/>
      <c r="R98" s="797"/>
      <c r="S98" s="65"/>
      <c r="T98" s="170"/>
    </row>
    <row r="99" spans="1:20" s="152" customFormat="1" ht="26.25" customHeight="1" x14ac:dyDescent="0.25">
      <c r="A99" s="100">
        <v>61</v>
      </c>
      <c r="B99" s="886" t="s">
        <v>352</v>
      </c>
      <c r="C99" s="789" t="s">
        <v>71</v>
      </c>
      <c r="D99" s="1233"/>
      <c r="E99" s="1027">
        <v>44893</v>
      </c>
      <c r="F99" s="1021">
        <v>2810.63</v>
      </c>
      <c r="G99" s="789">
        <v>94</v>
      </c>
      <c r="H99" s="1022">
        <v>2810.63</v>
      </c>
      <c r="I99" s="466">
        <f>H99-F99</f>
        <v>0</v>
      </c>
      <c r="J99" s="951"/>
      <c r="K99" s="752"/>
      <c r="L99" s="765"/>
      <c r="M99" s="752"/>
      <c r="N99" s="952"/>
      <c r="O99" s="762"/>
      <c r="P99" s="756"/>
      <c r="Q99" s="1023"/>
      <c r="R99" s="102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25" t="s">
        <v>177</v>
      </c>
      <c r="D100" s="1026"/>
      <c r="E100" s="1028">
        <v>44894</v>
      </c>
      <c r="F100" s="1050">
        <v>248.57</v>
      </c>
      <c r="G100" s="1051">
        <v>21</v>
      </c>
      <c r="H100" s="1029">
        <v>248.57</v>
      </c>
      <c r="I100" s="466">
        <f>H100-F100</f>
        <v>0</v>
      </c>
      <c r="J100" s="951"/>
      <c r="K100" s="752"/>
      <c r="L100" s="765"/>
      <c r="M100" s="752"/>
      <c r="N100" s="952"/>
      <c r="O100" s="1069" t="s">
        <v>381</v>
      </c>
      <c r="P100" s="756"/>
      <c r="Q100" s="520">
        <v>21128.45</v>
      </c>
      <c r="R100" s="1074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01" t="s">
        <v>467</v>
      </c>
      <c r="C101" s="1099" t="s">
        <v>483</v>
      </c>
      <c r="D101" s="1026" t="s">
        <v>484</v>
      </c>
      <c r="E101" s="1028">
        <v>44896</v>
      </c>
      <c r="F101" s="1050">
        <f>74.1+62.32+77.38+71.36</f>
        <v>285.15999999999997</v>
      </c>
      <c r="G101" s="1051"/>
      <c r="H101" s="1029">
        <v>285.16000000000003</v>
      </c>
      <c r="I101" s="466">
        <f t="shared" ref="I101:I102" si="18">H101-F101</f>
        <v>0</v>
      </c>
      <c r="J101" s="951"/>
      <c r="K101" s="752"/>
      <c r="L101" s="765"/>
      <c r="M101" s="752"/>
      <c r="N101" s="952"/>
      <c r="O101" s="1091" t="s">
        <v>485</v>
      </c>
      <c r="P101" s="1080"/>
      <c r="Q101" s="1083">
        <f>74.1*38+62.32*78+77.38*90+71.36*110</f>
        <v>22490.559999999998</v>
      </c>
      <c r="R101" s="1100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303" t="s">
        <v>80</v>
      </c>
      <c r="C102" s="892" t="s">
        <v>178</v>
      </c>
      <c r="D102" s="274"/>
      <c r="E102" s="887">
        <v>44897</v>
      </c>
      <c r="F102" s="889">
        <v>1004.87</v>
      </c>
      <c r="G102" s="885">
        <v>84</v>
      </c>
      <c r="H102" s="889">
        <v>1004.87</v>
      </c>
      <c r="I102" s="466">
        <f t="shared" si="18"/>
        <v>0</v>
      </c>
      <c r="J102" s="954"/>
      <c r="K102" s="752"/>
      <c r="L102" s="955"/>
      <c r="M102" s="752"/>
      <c r="N102" s="1055"/>
      <c r="O102" s="1305" t="s">
        <v>355</v>
      </c>
      <c r="P102" s="1076"/>
      <c r="Q102" s="1073">
        <v>99482.13</v>
      </c>
      <c r="R102" s="1366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304"/>
      <c r="C103" s="1030" t="s">
        <v>177</v>
      </c>
      <c r="D103" s="1233"/>
      <c r="E103" s="1020">
        <v>44897</v>
      </c>
      <c r="F103" s="1021">
        <v>106.18</v>
      </c>
      <c r="G103" s="789">
        <v>9</v>
      </c>
      <c r="H103" s="1022">
        <v>106.18</v>
      </c>
      <c r="I103" s="466">
        <f t="shared" ref="I103:I139" si="21">H103-F103</f>
        <v>0</v>
      </c>
      <c r="J103" s="953"/>
      <c r="K103" s="956"/>
      <c r="L103" s="957"/>
      <c r="M103" s="752"/>
      <c r="N103" s="1055"/>
      <c r="O103" s="1306"/>
      <c r="P103" s="1076"/>
      <c r="Q103" s="1073">
        <v>9025.2999999999993</v>
      </c>
      <c r="R103" s="1367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087" t="s">
        <v>467</v>
      </c>
      <c r="C104" s="1090" t="s">
        <v>473</v>
      </c>
      <c r="D104" s="1233" t="s">
        <v>468</v>
      </c>
      <c r="E104" s="1020">
        <v>44897</v>
      </c>
      <c r="F104" s="1021">
        <v>7423.12</v>
      </c>
      <c r="G104" s="789">
        <v>8</v>
      </c>
      <c r="H104" s="1022">
        <v>7423.12</v>
      </c>
      <c r="I104" s="466">
        <f t="shared" si="21"/>
        <v>0</v>
      </c>
      <c r="J104" s="953"/>
      <c r="K104" s="956"/>
      <c r="L104" s="957"/>
      <c r="M104" s="752"/>
      <c r="N104" s="1055"/>
      <c r="O104" s="1085" t="s">
        <v>469</v>
      </c>
      <c r="P104" s="1076"/>
      <c r="Q104" s="1073">
        <v>181867</v>
      </c>
      <c r="R104" s="1086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31" t="s">
        <v>97</v>
      </c>
      <c r="C105" s="885" t="s">
        <v>358</v>
      </c>
      <c r="D105" s="274"/>
      <c r="E105" s="887">
        <v>44898</v>
      </c>
      <c r="F105" s="889">
        <v>5008.4799999999996</v>
      </c>
      <c r="G105" s="885">
        <v>184</v>
      </c>
      <c r="H105" s="889">
        <v>5008.4799999999996</v>
      </c>
      <c r="I105" s="466">
        <f t="shared" si="21"/>
        <v>0</v>
      </c>
      <c r="J105" s="954"/>
      <c r="K105" s="752"/>
      <c r="L105" s="955"/>
      <c r="M105" s="752"/>
      <c r="N105" s="960"/>
      <c r="O105" s="1077" t="s">
        <v>455</v>
      </c>
      <c r="P105" s="1065" t="s">
        <v>456</v>
      </c>
      <c r="Q105" s="523">
        <v>443250.48</v>
      </c>
      <c r="R105" s="1075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39" t="s">
        <v>176</v>
      </c>
      <c r="C106" s="885" t="s">
        <v>358</v>
      </c>
      <c r="D106" s="903"/>
      <c r="E106" s="887">
        <v>44900</v>
      </c>
      <c r="F106" s="889">
        <v>9016.44</v>
      </c>
      <c r="G106" s="885">
        <v>331</v>
      </c>
      <c r="H106" s="889">
        <v>9016.44</v>
      </c>
      <c r="I106" s="466">
        <f t="shared" si="21"/>
        <v>0</v>
      </c>
      <c r="J106" s="954"/>
      <c r="K106" s="752"/>
      <c r="L106" s="955"/>
      <c r="M106" s="752"/>
      <c r="N106" s="960"/>
      <c r="O106" s="757" t="s">
        <v>359</v>
      </c>
      <c r="P106" s="754"/>
      <c r="Q106" s="523">
        <v>775413.84</v>
      </c>
      <c r="R106" s="761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307" t="s">
        <v>370</v>
      </c>
      <c r="C107" s="1030" t="s">
        <v>43</v>
      </c>
      <c r="D107" s="1233"/>
      <c r="E107" s="1020">
        <v>44900</v>
      </c>
      <c r="F107" s="1021">
        <v>1502.74</v>
      </c>
      <c r="G107" s="789">
        <v>331</v>
      </c>
      <c r="H107" s="1022">
        <v>1502.74</v>
      </c>
      <c r="I107" s="466">
        <f t="shared" si="21"/>
        <v>0</v>
      </c>
      <c r="J107" s="951"/>
      <c r="K107" s="752"/>
      <c r="L107" s="955"/>
      <c r="M107" s="752"/>
      <c r="N107" s="959"/>
      <c r="O107" s="1310" t="s">
        <v>373</v>
      </c>
      <c r="P107" s="961"/>
      <c r="Q107" s="523">
        <v>66120.56</v>
      </c>
      <c r="R107" s="1371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308"/>
      <c r="C108" s="1038" t="s">
        <v>371</v>
      </c>
      <c r="D108" s="572"/>
      <c r="E108" s="887">
        <v>44900</v>
      </c>
      <c r="F108" s="889">
        <v>150</v>
      </c>
      <c r="G108" s="885">
        <v>15</v>
      </c>
      <c r="H108" s="889">
        <v>150</v>
      </c>
      <c r="I108" s="466">
        <f t="shared" si="21"/>
        <v>0</v>
      </c>
      <c r="J108" s="951"/>
      <c r="K108" s="752"/>
      <c r="L108" s="955"/>
      <c r="M108" s="752"/>
      <c r="N108" s="959"/>
      <c r="O108" s="1311"/>
      <c r="P108" s="961"/>
      <c r="Q108" s="523">
        <v>12750</v>
      </c>
      <c r="R108" s="1372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308"/>
      <c r="C109" s="892" t="s">
        <v>75</v>
      </c>
      <c r="D109" s="274"/>
      <c r="E109" s="887">
        <v>44900</v>
      </c>
      <c r="F109" s="889">
        <v>5</v>
      </c>
      <c r="G109" s="885">
        <v>1</v>
      </c>
      <c r="H109" s="889">
        <v>5</v>
      </c>
      <c r="I109" s="894">
        <f t="shared" si="21"/>
        <v>0</v>
      </c>
      <c r="J109" s="951"/>
      <c r="K109" s="752"/>
      <c r="L109" s="955"/>
      <c r="M109" s="752"/>
      <c r="N109" s="959"/>
      <c r="O109" s="1311"/>
      <c r="P109" s="752"/>
      <c r="Q109" s="523">
        <v>1500</v>
      </c>
      <c r="R109" s="1372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309"/>
      <c r="C110" s="892" t="s">
        <v>372</v>
      </c>
      <c r="D110" s="274"/>
      <c r="E110" s="887">
        <v>44900</v>
      </c>
      <c r="F110" s="889">
        <v>20</v>
      </c>
      <c r="G110" s="885">
        <v>1</v>
      </c>
      <c r="H110" s="889">
        <v>20</v>
      </c>
      <c r="I110" s="408">
        <f t="shared" si="21"/>
        <v>0</v>
      </c>
      <c r="J110" s="951"/>
      <c r="K110" s="752"/>
      <c r="L110" s="955"/>
      <c r="M110" s="752"/>
      <c r="N110" s="959"/>
      <c r="O110" s="1312"/>
      <c r="P110" s="752"/>
      <c r="Q110" s="523">
        <v>4600</v>
      </c>
      <c r="R110" s="1373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098" t="s">
        <v>467</v>
      </c>
      <c r="C111" s="892" t="s">
        <v>480</v>
      </c>
      <c r="D111" s="903" t="s">
        <v>481</v>
      </c>
      <c r="E111" s="1096">
        <v>44901</v>
      </c>
      <c r="F111" s="889">
        <v>23628</v>
      </c>
      <c r="G111" s="885"/>
      <c r="H111" s="889">
        <v>23628</v>
      </c>
      <c r="I111" s="466">
        <f t="shared" si="21"/>
        <v>0</v>
      </c>
      <c r="J111" s="951"/>
      <c r="K111" s="752"/>
      <c r="L111" s="955"/>
      <c r="M111" s="752"/>
      <c r="N111" s="959"/>
      <c r="O111" s="1070" t="s">
        <v>482</v>
      </c>
      <c r="P111" s="1097"/>
      <c r="Q111" s="523">
        <v>23628</v>
      </c>
      <c r="R111" s="1068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40" t="s">
        <v>179</v>
      </c>
      <c r="C112" s="902" t="s">
        <v>180</v>
      </c>
      <c r="D112" s="688"/>
      <c r="E112" s="798">
        <v>44902</v>
      </c>
      <c r="F112" s="888">
        <v>1984.8</v>
      </c>
      <c r="G112" s="675">
        <v>5</v>
      </c>
      <c r="H112" s="891">
        <v>1984.8</v>
      </c>
      <c r="I112" s="466">
        <f t="shared" ref="I112:I113" si="28">H112-F112</f>
        <v>0</v>
      </c>
      <c r="J112" s="951"/>
      <c r="K112" s="752"/>
      <c r="L112" s="955"/>
      <c r="M112" s="752">
        <v>4176</v>
      </c>
      <c r="N112" s="959" t="s">
        <v>546</v>
      </c>
      <c r="O112" s="1053" t="s">
        <v>378</v>
      </c>
      <c r="P112" s="1067"/>
      <c r="Q112" s="523">
        <f>150000+42336</f>
        <v>192336</v>
      </c>
      <c r="R112" s="761" t="s">
        <v>380</v>
      </c>
      <c r="S112" s="65">
        <f t="shared" si="26"/>
        <v>196512</v>
      </c>
      <c r="T112" s="170">
        <f t="shared" si="27"/>
        <v>99.008464328899635</v>
      </c>
    </row>
    <row r="113" spans="1:20" s="1094" customFormat="1" ht="43.5" customHeight="1" thickBot="1" x14ac:dyDescent="0.3">
      <c r="A113" s="100">
        <v>75</v>
      </c>
      <c r="B113" s="1095" t="s">
        <v>467</v>
      </c>
      <c r="C113" s="1030" t="s">
        <v>477</v>
      </c>
      <c r="D113" s="1233" t="s">
        <v>478</v>
      </c>
      <c r="E113" s="1020">
        <v>44902</v>
      </c>
      <c r="F113" s="1021">
        <v>272</v>
      </c>
      <c r="G113" s="789"/>
      <c r="H113" s="1022">
        <v>272</v>
      </c>
      <c r="I113" s="466">
        <f t="shared" si="28"/>
        <v>0</v>
      </c>
      <c r="J113" s="951"/>
      <c r="K113" s="752"/>
      <c r="L113" s="955"/>
      <c r="M113" s="752"/>
      <c r="N113" s="1055"/>
      <c r="O113" s="1091" t="s">
        <v>479</v>
      </c>
      <c r="P113" s="1092"/>
      <c r="Q113" s="1066">
        <v>34000</v>
      </c>
      <c r="R113" s="1093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325" t="s">
        <v>421</v>
      </c>
      <c r="C114" s="892" t="s">
        <v>77</v>
      </c>
      <c r="D114" s="274"/>
      <c r="E114" s="557">
        <v>44900</v>
      </c>
      <c r="F114" s="889">
        <v>1109.3900000000001</v>
      </c>
      <c r="G114" s="885">
        <v>40</v>
      </c>
      <c r="H114" s="889">
        <v>1109.3900000000001</v>
      </c>
      <c r="I114" s="466">
        <f t="shared" si="21"/>
        <v>0</v>
      </c>
      <c r="J114" s="951"/>
      <c r="K114" s="752"/>
      <c r="L114" s="955"/>
      <c r="M114" s="752"/>
      <c r="N114" s="1055"/>
      <c r="O114" s="1328">
        <v>19343</v>
      </c>
      <c r="P114" s="1316" t="s">
        <v>456</v>
      </c>
      <c r="Q114" s="1066">
        <v>99845.1</v>
      </c>
      <c r="R114" s="1313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326"/>
      <c r="C115" s="892" t="s">
        <v>422</v>
      </c>
      <c r="D115" s="274"/>
      <c r="E115" s="557">
        <v>44900</v>
      </c>
      <c r="F115" s="889">
        <v>3050.42</v>
      </c>
      <c r="G115" s="885">
        <v>115</v>
      </c>
      <c r="H115" s="889">
        <v>3050.42</v>
      </c>
      <c r="I115" s="466">
        <f t="shared" si="21"/>
        <v>0</v>
      </c>
      <c r="J115" s="951"/>
      <c r="K115" s="752"/>
      <c r="L115" s="958"/>
      <c r="M115" s="752"/>
      <c r="N115" s="1056"/>
      <c r="O115" s="1329"/>
      <c r="P115" s="1317"/>
      <c r="Q115" s="1066">
        <v>222680.66</v>
      </c>
      <c r="R115" s="1314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327"/>
      <c r="C116" s="892" t="s">
        <v>394</v>
      </c>
      <c r="D116" s="274"/>
      <c r="E116" s="557">
        <v>44900</v>
      </c>
      <c r="F116" s="889">
        <v>2944.1</v>
      </c>
      <c r="G116" s="885">
        <v>125</v>
      </c>
      <c r="H116" s="889">
        <v>2944.1</v>
      </c>
      <c r="I116" s="466">
        <f t="shared" si="21"/>
        <v>0</v>
      </c>
      <c r="J116" s="951"/>
      <c r="K116" s="752"/>
      <c r="L116" s="958"/>
      <c r="M116" s="752"/>
      <c r="N116" s="1056"/>
      <c r="O116" s="1330"/>
      <c r="P116" s="1318"/>
      <c r="Q116" s="1066">
        <v>247304.4</v>
      </c>
      <c r="R116" s="1315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087" t="s">
        <v>467</v>
      </c>
      <c r="C117" s="892" t="s">
        <v>475</v>
      </c>
      <c r="D117" s="903" t="s">
        <v>474</v>
      </c>
      <c r="E117" s="557">
        <v>44902</v>
      </c>
      <c r="F117" s="889">
        <f>89.34+101.98+78.24+11.36+78.9+43.92+2.5+90.96</f>
        <v>497.20000000000005</v>
      </c>
      <c r="G117" s="885"/>
      <c r="H117" s="889">
        <v>497.2</v>
      </c>
      <c r="I117" s="466">
        <f t="shared" si="21"/>
        <v>0</v>
      </c>
      <c r="J117" s="951"/>
      <c r="K117" s="752"/>
      <c r="L117" s="958"/>
      <c r="M117" s="752"/>
      <c r="N117" s="1056"/>
      <c r="O117" s="1088" t="s">
        <v>476</v>
      </c>
      <c r="P117" s="1089"/>
      <c r="Q117" s="1066">
        <f>89.34*80+101.98*90+78.24*110+11.36*90+78.9*90+43.92*90+2.5*80+90.96*78</f>
        <v>44302.880000000005</v>
      </c>
      <c r="R117" s="1071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087" t="s">
        <v>467</v>
      </c>
      <c r="C118" s="892" t="s">
        <v>472</v>
      </c>
      <c r="D118" s="903" t="s">
        <v>471</v>
      </c>
      <c r="E118" s="557">
        <v>44903</v>
      </c>
      <c r="F118" s="889">
        <f>14.78+87.72+20.76+112.18+123.34+78.74</f>
        <v>437.52</v>
      </c>
      <c r="G118" s="885"/>
      <c r="H118" s="889">
        <v>437.52</v>
      </c>
      <c r="I118" s="466">
        <f t="shared" si="21"/>
        <v>0</v>
      </c>
      <c r="J118" s="951"/>
      <c r="K118" s="752"/>
      <c r="L118" s="958"/>
      <c r="M118" s="752"/>
      <c r="N118" s="1056"/>
      <c r="O118" s="1088" t="s">
        <v>470</v>
      </c>
      <c r="P118" s="1089"/>
      <c r="Q118" s="1066">
        <f>14.78*90+87.72*80+20.76*80+112.18*90+123.34*90+78.74*110</f>
        <v>39866.800000000003</v>
      </c>
      <c r="R118" s="1071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58" t="s">
        <v>421</v>
      </c>
      <c r="C119" s="892" t="s">
        <v>426</v>
      </c>
      <c r="D119" s="903"/>
      <c r="E119" s="1059">
        <v>44905</v>
      </c>
      <c r="F119" s="889">
        <v>2835.98</v>
      </c>
      <c r="G119" s="885">
        <v>120</v>
      </c>
      <c r="H119" s="889">
        <v>2835.98</v>
      </c>
      <c r="I119" s="466">
        <f t="shared" si="21"/>
        <v>0</v>
      </c>
      <c r="J119" s="951"/>
      <c r="K119" s="752"/>
      <c r="L119" s="958"/>
      <c r="M119" s="752"/>
      <c r="N119" s="960"/>
      <c r="O119" s="1057">
        <v>19336</v>
      </c>
      <c r="P119" s="1072" t="s">
        <v>456</v>
      </c>
      <c r="Q119" s="523">
        <v>198518.6</v>
      </c>
      <c r="R119" s="753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31" t="s">
        <v>370</v>
      </c>
      <c r="C120" s="885" t="s">
        <v>427</v>
      </c>
      <c r="D120" s="274"/>
      <c r="E120" s="887">
        <v>44907</v>
      </c>
      <c r="F120" s="889">
        <v>150</v>
      </c>
      <c r="G120" s="885">
        <v>15</v>
      </c>
      <c r="H120" s="889">
        <v>150</v>
      </c>
      <c r="I120" s="466">
        <f t="shared" si="21"/>
        <v>0</v>
      </c>
      <c r="J120" s="951"/>
      <c r="K120" s="752"/>
      <c r="L120" s="955"/>
      <c r="M120" s="752"/>
      <c r="N120" s="959"/>
      <c r="O120" s="763" t="s">
        <v>428</v>
      </c>
      <c r="P120" s="883"/>
      <c r="Q120" s="523">
        <v>15000</v>
      </c>
      <c r="R120" s="753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x14ac:dyDescent="0.25">
      <c r="A121" s="100">
        <v>83</v>
      </c>
      <c r="B121" s="1061" t="s">
        <v>97</v>
      </c>
      <c r="C121" s="885" t="s">
        <v>434</v>
      </c>
      <c r="D121" s="903"/>
      <c r="E121" s="1064">
        <v>44909</v>
      </c>
      <c r="F121" s="889">
        <v>5032.8</v>
      </c>
      <c r="G121" s="885">
        <v>166</v>
      </c>
      <c r="H121" s="889">
        <v>5029.8</v>
      </c>
      <c r="I121" s="700">
        <f t="shared" si="21"/>
        <v>-3</v>
      </c>
      <c r="J121" s="951"/>
      <c r="K121" s="752"/>
      <c r="L121" s="955"/>
      <c r="M121" s="752"/>
      <c r="N121" s="959"/>
      <c r="O121" s="1081" t="s">
        <v>545</v>
      </c>
      <c r="P121" s="1065" t="s">
        <v>456</v>
      </c>
      <c r="Q121" s="1217">
        <v>624067.19999999995</v>
      </c>
      <c r="R121" s="1084" t="s">
        <v>544</v>
      </c>
      <c r="S121" s="65">
        <f t="shared" ref="S121:S129" si="38">Q121+M121+K121</f>
        <v>624067.19999999995</v>
      </c>
      <c r="T121" s="170">
        <f t="shared" ref="T121:T129" si="39">S121/H121</f>
        <v>124.07395920314922</v>
      </c>
    </row>
    <row r="122" spans="1:20" s="152" customFormat="1" ht="45.75" customHeight="1" thickBot="1" x14ac:dyDescent="0.3">
      <c r="A122" s="100">
        <v>84</v>
      </c>
      <c r="B122" s="1101" t="s">
        <v>933</v>
      </c>
      <c r="C122" s="892" t="s">
        <v>934</v>
      </c>
      <c r="D122" s="1230" t="s">
        <v>953</v>
      </c>
      <c r="E122" s="1214">
        <v>44909</v>
      </c>
      <c r="F122" s="1063">
        <v>81636</v>
      </c>
      <c r="G122" s="885">
        <v>1</v>
      </c>
      <c r="H122" s="889">
        <v>81636</v>
      </c>
      <c r="I122" s="700">
        <f t="shared" si="21"/>
        <v>0</v>
      </c>
      <c r="J122" s="1241" t="s">
        <v>954</v>
      </c>
      <c r="K122" s="752"/>
      <c r="L122" s="955"/>
      <c r="M122" s="752"/>
      <c r="N122" s="1055"/>
      <c r="O122" s="1215" t="s">
        <v>936</v>
      </c>
      <c r="P122" s="1078"/>
      <c r="Q122" s="1219">
        <v>81636</v>
      </c>
      <c r="R122" s="1144" t="s">
        <v>925</v>
      </c>
      <c r="S122" s="65">
        <f t="shared" si="38"/>
        <v>81636</v>
      </c>
      <c r="T122" s="170">
        <f t="shared" si="39"/>
        <v>1</v>
      </c>
    </row>
    <row r="123" spans="1:20" s="152" customFormat="1" ht="51" customHeight="1" thickBot="1" x14ac:dyDescent="0.3">
      <c r="A123" s="100">
        <v>85</v>
      </c>
      <c r="B123" s="1101" t="s">
        <v>933</v>
      </c>
      <c r="C123" s="1228" t="s">
        <v>934</v>
      </c>
      <c r="D123" s="1231" t="s">
        <v>951</v>
      </c>
      <c r="E123" s="1214">
        <v>44910</v>
      </c>
      <c r="F123" s="1063">
        <v>60595</v>
      </c>
      <c r="G123" s="885">
        <v>1</v>
      </c>
      <c r="H123" s="889">
        <v>60595</v>
      </c>
      <c r="I123" s="700">
        <f t="shared" si="21"/>
        <v>0</v>
      </c>
      <c r="J123" s="1240" t="s">
        <v>952</v>
      </c>
      <c r="K123" s="752"/>
      <c r="L123" s="955"/>
      <c r="M123" s="752"/>
      <c r="N123" s="1055"/>
      <c r="O123" s="1215" t="s">
        <v>935</v>
      </c>
      <c r="P123" s="1078"/>
      <c r="Q123" s="1219">
        <v>60595</v>
      </c>
      <c r="R123" s="1220" t="s">
        <v>925</v>
      </c>
      <c r="S123" s="65">
        <f t="shared" si="38"/>
        <v>60595</v>
      </c>
      <c r="T123" s="170">
        <f t="shared" si="39"/>
        <v>1</v>
      </c>
    </row>
    <row r="124" spans="1:20" s="152" customFormat="1" ht="42.75" customHeight="1" thickTop="1" x14ac:dyDescent="0.25">
      <c r="A124" s="100">
        <v>86</v>
      </c>
      <c r="B124" s="1335" t="s">
        <v>933</v>
      </c>
      <c r="C124" s="1229" t="s">
        <v>937</v>
      </c>
      <c r="D124" s="1343" t="s">
        <v>949</v>
      </c>
      <c r="E124" s="1214">
        <v>44911</v>
      </c>
      <c r="F124" s="1063">
        <v>119.04</v>
      </c>
      <c r="G124" s="885">
        <v>1</v>
      </c>
      <c r="H124" s="889">
        <v>119.04</v>
      </c>
      <c r="I124" s="700">
        <f t="shared" si="21"/>
        <v>0</v>
      </c>
      <c r="J124" s="1354" t="s">
        <v>950</v>
      </c>
      <c r="K124" s="751"/>
      <c r="L124" s="955"/>
      <c r="M124" s="752"/>
      <c r="N124" s="1055"/>
      <c r="O124" s="1337" t="s">
        <v>939</v>
      </c>
      <c r="P124" s="1078"/>
      <c r="Q124" s="1218">
        <v>9523.2000000000007</v>
      </c>
      <c r="R124" s="1358" t="s">
        <v>925</v>
      </c>
      <c r="S124" s="65">
        <f t="shared" si="38"/>
        <v>9523.2000000000007</v>
      </c>
      <c r="T124" s="170">
        <f t="shared" si="39"/>
        <v>80</v>
      </c>
    </row>
    <row r="125" spans="1:20" s="152" customFormat="1" ht="42.75" customHeight="1" thickBot="1" x14ac:dyDescent="0.3">
      <c r="A125" s="100">
        <v>87</v>
      </c>
      <c r="B125" s="1336"/>
      <c r="C125" s="1229" t="s">
        <v>938</v>
      </c>
      <c r="D125" s="1344"/>
      <c r="E125" s="1214">
        <v>44911</v>
      </c>
      <c r="F125" s="1063">
        <v>265.12</v>
      </c>
      <c r="G125" s="885">
        <v>1</v>
      </c>
      <c r="H125" s="889">
        <v>265.12</v>
      </c>
      <c r="I125" s="700">
        <f t="shared" si="21"/>
        <v>0</v>
      </c>
      <c r="J125" s="1355"/>
      <c r="K125" s="751"/>
      <c r="L125" s="955"/>
      <c r="M125" s="752"/>
      <c r="N125" s="1055"/>
      <c r="O125" s="1338"/>
      <c r="P125" s="1078"/>
      <c r="Q125" s="1216">
        <v>29163.200000000001</v>
      </c>
      <c r="R125" s="1359"/>
      <c r="S125" s="65">
        <f t="shared" si="38"/>
        <v>29163.200000000001</v>
      </c>
      <c r="T125" s="170">
        <f t="shared" si="39"/>
        <v>110</v>
      </c>
    </row>
    <row r="126" spans="1:20" s="152" customFormat="1" ht="25.5" customHeight="1" x14ac:dyDescent="0.25">
      <c r="A126" s="100">
        <v>88</v>
      </c>
      <c r="B126" s="1340" t="s">
        <v>80</v>
      </c>
      <c r="C126" s="892" t="s">
        <v>178</v>
      </c>
      <c r="D126" s="1234"/>
      <c r="E126" s="1374">
        <v>44911</v>
      </c>
      <c r="F126" s="1063">
        <v>1008.29</v>
      </c>
      <c r="G126" s="885">
        <v>82</v>
      </c>
      <c r="H126" s="889">
        <v>1008.29</v>
      </c>
      <c r="I126" s="105">
        <f t="shared" ref="I126:I128" si="40">H126-F126</f>
        <v>0</v>
      </c>
      <c r="J126" s="1232"/>
      <c r="K126" s="752"/>
      <c r="L126" s="955"/>
      <c r="M126" s="752"/>
      <c r="N126" s="1055"/>
      <c r="O126" s="1377" t="s">
        <v>513</v>
      </c>
      <c r="P126" s="1080"/>
      <c r="Q126" s="1083">
        <v>99820.71</v>
      </c>
      <c r="R126" s="1380" t="s">
        <v>548</v>
      </c>
      <c r="S126" s="65">
        <f t="shared" si="38"/>
        <v>99820.71</v>
      </c>
      <c r="T126" s="170">
        <f t="shared" si="39"/>
        <v>99.000000000000014</v>
      </c>
    </row>
    <row r="127" spans="1:20" s="152" customFormat="1" ht="25.5" customHeight="1" x14ac:dyDescent="0.25">
      <c r="A127" s="100">
        <v>89</v>
      </c>
      <c r="B127" s="1341"/>
      <c r="C127" s="1114" t="s">
        <v>514</v>
      </c>
      <c r="D127" s="1117"/>
      <c r="E127" s="1375"/>
      <c r="F127" s="1115">
        <v>503.78</v>
      </c>
      <c r="G127" s="675">
        <v>42</v>
      </c>
      <c r="H127" s="891">
        <v>503.78</v>
      </c>
      <c r="I127" s="105">
        <f t="shared" si="40"/>
        <v>0</v>
      </c>
      <c r="J127" s="951"/>
      <c r="K127" s="752"/>
      <c r="L127" s="955"/>
      <c r="M127" s="752"/>
      <c r="N127" s="1055"/>
      <c r="O127" s="1378"/>
      <c r="P127" s="1080"/>
      <c r="Q127" s="1083">
        <v>47859.1</v>
      </c>
      <c r="R127" s="1381"/>
      <c r="S127" s="65">
        <f t="shared" si="38"/>
        <v>47859.1</v>
      </c>
      <c r="T127" s="170">
        <f t="shared" si="39"/>
        <v>95</v>
      </c>
    </row>
    <row r="128" spans="1:20" s="152" customFormat="1" ht="25.5" customHeight="1" thickBot="1" x14ac:dyDescent="0.3">
      <c r="A128" s="100">
        <v>90</v>
      </c>
      <c r="B128" s="1342"/>
      <c r="C128" s="1114" t="s">
        <v>177</v>
      </c>
      <c r="D128" s="1117"/>
      <c r="E128" s="1376"/>
      <c r="F128" s="1115">
        <v>508.54</v>
      </c>
      <c r="G128" s="675">
        <v>43</v>
      </c>
      <c r="H128" s="891">
        <v>508.54</v>
      </c>
      <c r="I128" s="105">
        <f t="shared" si="40"/>
        <v>0</v>
      </c>
      <c r="J128" s="951"/>
      <c r="K128" s="752"/>
      <c r="L128" s="955"/>
      <c r="M128" s="752"/>
      <c r="N128" s="1055"/>
      <c r="O128" s="1379"/>
      <c r="P128" s="1080"/>
      <c r="Q128" s="1083">
        <v>43225.9</v>
      </c>
      <c r="R128" s="1382"/>
      <c r="S128" s="65">
        <f t="shared" si="38"/>
        <v>43225.9</v>
      </c>
      <c r="T128" s="170">
        <f t="shared" si="39"/>
        <v>85</v>
      </c>
    </row>
    <row r="129" spans="1:20" s="152" customFormat="1" ht="42.75" customHeight="1" thickTop="1" x14ac:dyDescent="0.25">
      <c r="A129" s="100">
        <v>91</v>
      </c>
      <c r="B129" s="1331" t="s">
        <v>179</v>
      </c>
      <c r="C129" s="1060" t="s">
        <v>441</v>
      </c>
      <c r="D129" s="1062"/>
      <c r="E129" s="1333">
        <v>44914</v>
      </c>
      <c r="F129" s="1063">
        <v>59.25</v>
      </c>
      <c r="G129" s="885"/>
      <c r="H129" s="889">
        <v>59.25</v>
      </c>
      <c r="I129" s="700">
        <f t="shared" si="21"/>
        <v>0</v>
      </c>
      <c r="J129" s="951"/>
      <c r="K129" s="752"/>
      <c r="L129" s="955"/>
      <c r="M129" s="752"/>
      <c r="N129" s="1055"/>
      <c r="O129" s="1339" t="s">
        <v>465</v>
      </c>
      <c r="P129" s="1078"/>
      <c r="Q129" s="1073">
        <v>8235.75</v>
      </c>
      <c r="R129" s="1356" t="s">
        <v>466</v>
      </c>
      <c r="S129" s="65">
        <f t="shared" si="38"/>
        <v>8235.75</v>
      </c>
      <c r="T129" s="170">
        <f t="shared" si="39"/>
        <v>139</v>
      </c>
    </row>
    <row r="130" spans="1:20" s="152" customFormat="1" ht="35.25" customHeight="1" x14ac:dyDescent="0.25">
      <c r="A130" s="100">
        <v>92</v>
      </c>
      <c r="B130" s="1332"/>
      <c r="C130" s="892" t="s">
        <v>442</v>
      </c>
      <c r="D130" s="1235"/>
      <c r="E130" s="1334"/>
      <c r="F130" s="1063">
        <v>70.45</v>
      </c>
      <c r="G130" s="885"/>
      <c r="H130" s="889">
        <v>70.45</v>
      </c>
      <c r="I130" s="105">
        <f t="shared" si="21"/>
        <v>0</v>
      </c>
      <c r="J130" s="951"/>
      <c r="K130" s="752"/>
      <c r="L130" s="955"/>
      <c r="M130" s="752"/>
      <c r="N130" s="1055"/>
      <c r="O130" s="1323"/>
      <c r="P130" s="1079"/>
      <c r="Q130" s="1083">
        <v>9792.5499999999993</v>
      </c>
      <c r="R130" s="1357"/>
      <c r="S130" s="65">
        <f t="shared" ref="S130:S131" si="41">Q130+M130+K130</f>
        <v>9792.5499999999993</v>
      </c>
      <c r="T130" s="170">
        <f t="shared" ref="T130:T131" si="42">S130/H130</f>
        <v>138.99999999999997</v>
      </c>
    </row>
    <row r="131" spans="1:20" s="152" customFormat="1" ht="38.25" customHeight="1" x14ac:dyDescent="0.25">
      <c r="A131" s="100">
        <v>93</v>
      </c>
      <c r="B131" s="1332"/>
      <c r="C131" s="892" t="s">
        <v>442</v>
      </c>
      <c r="D131" s="1235"/>
      <c r="E131" s="1334"/>
      <c r="F131" s="1063">
        <v>38.5</v>
      </c>
      <c r="G131" s="885"/>
      <c r="H131" s="889">
        <v>38.5</v>
      </c>
      <c r="I131" s="105">
        <f t="shared" si="21"/>
        <v>0</v>
      </c>
      <c r="J131" s="951"/>
      <c r="K131" s="752"/>
      <c r="L131" s="955"/>
      <c r="M131" s="752"/>
      <c r="N131" s="1055"/>
      <c r="O131" s="1323"/>
      <c r="P131" s="1080"/>
      <c r="Q131" s="1083">
        <v>5197.5</v>
      </c>
      <c r="R131" s="1357"/>
      <c r="S131" s="65">
        <f t="shared" si="41"/>
        <v>5197.5</v>
      </c>
      <c r="T131" s="170">
        <f t="shared" si="42"/>
        <v>135</v>
      </c>
    </row>
    <row r="132" spans="1:20" s="152" customFormat="1" ht="38.25" customHeight="1" x14ac:dyDescent="0.25">
      <c r="A132" s="100">
        <v>94</v>
      </c>
      <c r="B132" s="1332"/>
      <c r="C132" s="892" t="s">
        <v>443</v>
      </c>
      <c r="D132" s="1235"/>
      <c r="E132" s="1334"/>
      <c r="F132" s="1063">
        <v>60.9</v>
      </c>
      <c r="G132" s="885"/>
      <c r="H132" s="889">
        <v>60.9</v>
      </c>
      <c r="I132" s="105">
        <f t="shared" si="21"/>
        <v>0</v>
      </c>
      <c r="J132" s="951"/>
      <c r="K132" s="752"/>
      <c r="L132" s="955"/>
      <c r="M132" s="752"/>
      <c r="N132" s="1055"/>
      <c r="O132" s="1323"/>
      <c r="P132" s="1080"/>
      <c r="Q132" s="1083">
        <v>8160.6</v>
      </c>
      <c r="R132" s="1357"/>
      <c r="S132" s="65">
        <f t="shared" ref="S132:S143" si="43">Q132+M132+K132</f>
        <v>8160.6</v>
      </c>
      <c r="T132" s="170">
        <f t="shared" ref="T132:T143" si="44">S132/H132</f>
        <v>134</v>
      </c>
    </row>
    <row r="133" spans="1:20" s="152" customFormat="1" ht="27.75" customHeight="1" x14ac:dyDescent="0.25">
      <c r="A133" s="100">
        <v>95</v>
      </c>
      <c r="B133" s="1332"/>
      <c r="C133" s="892" t="s">
        <v>444</v>
      </c>
      <c r="D133" s="1235"/>
      <c r="E133" s="1334"/>
      <c r="F133" s="1063">
        <v>105.55</v>
      </c>
      <c r="G133" s="885"/>
      <c r="H133" s="889">
        <v>105.55</v>
      </c>
      <c r="I133" s="105">
        <f t="shared" si="21"/>
        <v>0</v>
      </c>
      <c r="J133" s="951"/>
      <c r="K133" s="752"/>
      <c r="L133" s="955"/>
      <c r="M133" s="752"/>
      <c r="N133" s="1055"/>
      <c r="O133" s="1323"/>
      <c r="P133" s="1080"/>
      <c r="Q133" s="1083">
        <v>13615.95</v>
      </c>
      <c r="R133" s="1357"/>
      <c r="S133" s="65">
        <f t="shared" si="43"/>
        <v>13615.95</v>
      </c>
      <c r="T133" s="170">
        <f t="shared" si="44"/>
        <v>129</v>
      </c>
    </row>
    <row r="134" spans="1:20" s="152" customFormat="1" ht="31.5" customHeight="1" thickBot="1" x14ac:dyDescent="0.3">
      <c r="A134" s="100">
        <v>96</v>
      </c>
      <c r="B134" s="1332"/>
      <c r="C134" s="892" t="s">
        <v>445</v>
      </c>
      <c r="D134" s="1235"/>
      <c r="E134" s="1334"/>
      <c r="F134" s="1063">
        <v>120</v>
      </c>
      <c r="G134" s="885"/>
      <c r="H134" s="889">
        <v>120</v>
      </c>
      <c r="I134" s="105">
        <f t="shared" si="21"/>
        <v>0</v>
      </c>
      <c r="J134" s="951"/>
      <c r="K134" s="752"/>
      <c r="L134" s="955"/>
      <c r="M134" s="752"/>
      <c r="N134" s="1055"/>
      <c r="O134" s="1324"/>
      <c r="P134" s="1080"/>
      <c r="Q134" s="1083">
        <v>9480</v>
      </c>
      <c r="R134" s="1357"/>
      <c r="S134" s="65">
        <f t="shared" si="43"/>
        <v>9480</v>
      </c>
      <c r="T134" s="170">
        <f t="shared" si="44"/>
        <v>79</v>
      </c>
    </row>
    <row r="135" spans="1:20" s="152" customFormat="1" ht="45" thickTop="1" thickBot="1" x14ac:dyDescent="0.3">
      <c r="A135" s="100">
        <v>97</v>
      </c>
      <c r="B135" s="1248" t="s">
        <v>933</v>
      </c>
      <c r="C135" s="892" t="s">
        <v>937</v>
      </c>
      <c r="D135" s="1062" t="s">
        <v>945</v>
      </c>
      <c r="E135" s="1221">
        <v>44914</v>
      </c>
      <c r="F135" s="1063">
        <v>216.9</v>
      </c>
      <c r="G135" s="885"/>
      <c r="H135" s="889">
        <v>216.9</v>
      </c>
      <c r="I135" s="105">
        <f t="shared" si="21"/>
        <v>0</v>
      </c>
      <c r="J135" s="1241" t="s">
        <v>946</v>
      </c>
      <c r="K135" s="752"/>
      <c r="L135" s="955"/>
      <c r="M135" s="752"/>
      <c r="N135" s="1055"/>
      <c r="O135" s="1082" t="s">
        <v>940</v>
      </c>
      <c r="P135" s="1080"/>
      <c r="Q135" s="1222">
        <v>17352</v>
      </c>
      <c r="R135" s="1144" t="s">
        <v>941</v>
      </c>
      <c r="S135" s="65">
        <f t="shared" si="43"/>
        <v>17352</v>
      </c>
      <c r="T135" s="170">
        <f t="shared" si="44"/>
        <v>80</v>
      </c>
    </row>
    <row r="136" spans="1:20" s="152" customFormat="1" ht="38.25" customHeight="1" x14ac:dyDescent="0.25">
      <c r="A136" s="100">
        <v>98</v>
      </c>
      <c r="B136" s="1319" t="s">
        <v>370</v>
      </c>
      <c r="C136" s="1114" t="s">
        <v>43</v>
      </c>
      <c r="D136" s="1236"/>
      <c r="E136" s="1321">
        <v>44914</v>
      </c>
      <c r="F136" s="1115">
        <v>1003.34</v>
      </c>
      <c r="G136" s="675">
        <v>22</v>
      </c>
      <c r="H136" s="888">
        <v>1003.34</v>
      </c>
      <c r="I136" s="105">
        <f t="shared" si="21"/>
        <v>0</v>
      </c>
      <c r="J136" s="951"/>
      <c r="K136" s="752"/>
      <c r="L136" s="955"/>
      <c r="M136" s="752"/>
      <c r="N136" s="1055"/>
      <c r="O136" s="1323" t="s">
        <v>515</v>
      </c>
      <c r="P136" s="1080"/>
      <c r="Q136" s="1142"/>
      <c r="R136" s="1143"/>
      <c r="S136" s="65">
        <f t="shared" si="43"/>
        <v>0</v>
      </c>
      <c r="T136" s="170">
        <f t="shared" si="44"/>
        <v>0</v>
      </c>
    </row>
    <row r="137" spans="1:20" s="152" customFormat="1" ht="38.25" customHeight="1" thickBot="1" x14ac:dyDescent="0.3">
      <c r="A137" s="100">
        <v>99</v>
      </c>
      <c r="B137" s="1320"/>
      <c r="C137" s="1114" t="s">
        <v>427</v>
      </c>
      <c r="D137" s="1117"/>
      <c r="E137" s="1322"/>
      <c r="F137" s="1115">
        <v>150</v>
      </c>
      <c r="G137" s="675">
        <v>15</v>
      </c>
      <c r="H137" s="888">
        <v>150</v>
      </c>
      <c r="I137" s="105">
        <f t="shared" si="21"/>
        <v>0</v>
      </c>
      <c r="J137" s="951"/>
      <c r="K137" s="752"/>
      <c r="L137" s="955"/>
      <c r="M137" s="752"/>
      <c r="N137" s="1055"/>
      <c r="O137" s="1324"/>
      <c r="P137" s="1080"/>
      <c r="Q137" s="1142"/>
      <c r="R137" s="1144"/>
      <c r="S137" s="65">
        <f t="shared" si="43"/>
        <v>0</v>
      </c>
      <c r="T137" s="170">
        <f t="shared" si="44"/>
        <v>0</v>
      </c>
    </row>
    <row r="138" spans="1:20" s="152" customFormat="1" ht="33" customHeight="1" x14ac:dyDescent="0.25">
      <c r="A138" s="100">
        <v>100</v>
      </c>
      <c r="B138" s="1116" t="s">
        <v>516</v>
      </c>
      <c r="C138" s="788" t="s">
        <v>517</v>
      </c>
      <c r="D138" s="675"/>
      <c r="E138" s="798">
        <v>44915</v>
      </c>
      <c r="F138" s="888">
        <v>1063.33</v>
      </c>
      <c r="G138" s="675">
        <v>52</v>
      </c>
      <c r="H138" s="888">
        <v>1085.3399999999999</v>
      </c>
      <c r="I138" s="105">
        <f t="shared" si="21"/>
        <v>22.009999999999991</v>
      </c>
      <c r="J138" s="951"/>
      <c r="K138" s="752"/>
      <c r="L138" s="955"/>
      <c r="M138" s="752"/>
      <c r="N138" s="959"/>
      <c r="O138" s="1077">
        <v>1666</v>
      </c>
      <c r="P138" s="1135" t="s">
        <v>456</v>
      </c>
      <c r="Q138" s="520">
        <v>150992.85999999999</v>
      </c>
      <c r="R138" s="753" t="s">
        <v>542</v>
      </c>
      <c r="S138" s="65">
        <f t="shared" si="43"/>
        <v>150992.85999999999</v>
      </c>
      <c r="T138" s="170">
        <f t="shared" si="44"/>
        <v>139.12033095619805</v>
      </c>
    </row>
    <row r="139" spans="1:20" s="152" customFormat="1" ht="29.25" thickBot="1" x14ac:dyDescent="0.3">
      <c r="A139" s="100">
        <v>101</v>
      </c>
      <c r="B139" s="1119" t="s">
        <v>80</v>
      </c>
      <c r="C139" s="788" t="s">
        <v>81</v>
      </c>
      <c r="D139" s="688"/>
      <c r="E139" s="674">
        <v>44916</v>
      </c>
      <c r="F139" s="888">
        <v>511.68</v>
      </c>
      <c r="G139" s="675">
        <v>29</v>
      </c>
      <c r="H139" s="888">
        <v>511.68</v>
      </c>
      <c r="I139" s="105">
        <f t="shared" si="21"/>
        <v>0</v>
      </c>
      <c r="J139" s="440"/>
      <c r="K139" s="381"/>
      <c r="L139" s="646"/>
      <c r="M139" s="381"/>
      <c r="N139" s="962"/>
      <c r="O139" s="1123" t="s">
        <v>518</v>
      </c>
      <c r="P139" s="755"/>
      <c r="Q139" s="520">
        <v>18420.48</v>
      </c>
      <c r="R139" s="753" t="s">
        <v>549</v>
      </c>
      <c r="S139" s="65">
        <f t="shared" si="43"/>
        <v>18420.48</v>
      </c>
      <c r="T139" s="170">
        <f t="shared" si="44"/>
        <v>36</v>
      </c>
    </row>
    <row r="140" spans="1:20" s="152" customFormat="1" ht="35.25" customHeight="1" x14ac:dyDescent="0.25">
      <c r="A140" s="100">
        <v>102</v>
      </c>
      <c r="B140" s="1266" t="s">
        <v>97</v>
      </c>
      <c r="C140" s="1114" t="s">
        <v>519</v>
      </c>
      <c r="D140" s="675"/>
      <c r="E140" s="749">
        <v>44916</v>
      </c>
      <c r="F140" s="888">
        <v>524.9</v>
      </c>
      <c r="G140" s="675">
        <v>17</v>
      </c>
      <c r="H140" s="888">
        <v>524.9</v>
      </c>
      <c r="I140" s="105">
        <f t="shared" ref="I140:I144" si="45">H140-F140</f>
        <v>0</v>
      </c>
      <c r="J140" s="440"/>
      <c r="K140" s="381"/>
      <c r="L140" s="646"/>
      <c r="M140" s="381"/>
      <c r="N140" s="1122"/>
      <c r="O140" s="1268" t="s">
        <v>543</v>
      </c>
      <c r="P140" s="1348" t="s">
        <v>456</v>
      </c>
      <c r="Q140" s="520">
        <v>44616.5</v>
      </c>
      <c r="R140" s="1352" t="s">
        <v>544</v>
      </c>
      <c r="S140" s="65">
        <f t="shared" si="43"/>
        <v>44616.5</v>
      </c>
      <c r="T140" s="170">
        <f t="shared" si="44"/>
        <v>85</v>
      </c>
    </row>
    <row r="141" spans="1:20" s="152" customFormat="1" ht="30" customHeight="1" thickBot="1" x14ac:dyDescent="0.35">
      <c r="A141" s="100">
        <v>103</v>
      </c>
      <c r="B141" s="1267"/>
      <c r="C141" s="1118" t="s">
        <v>520</v>
      </c>
      <c r="D141" s="1237"/>
      <c r="E141" s="749">
        <v>44916</v>
      </c>
      <c r="F141" s="1121">
        <v>255.24</v>
      </c>
      <c r="G141" s="274">
        <v>10</v>
      </c>
      <c r="H141" s="890">
        <v>255.24</v>
      </c>
      <c r="I141" s="466">
        <f t="shared" si="45"/>
        <v>0</v>
      </c>
      <c r="J141" s="502"/>
      <c r="K141" s="381"/>
      <c r="L141" s="646"/>
      <c r="M141" s="381"/>
      <c r="N141" s="906"/>
      <c r="O141" s="1269"/>
      <c r="P141" s="1349"/>
      <c r="Q141" s="523">
        <v>20674.439999999999</v>
      </c>
      <c r="R141" s="1353"/>
      <c r="S141" s="65">
        <f t="shared" si="43"/>
        <v>20674.439999999999</v>
      </c>
      <c r="T141" s="170">
        <f t="shared" si="44"/>
        <v>80.999999999999986</v>
      </c>
    </row>
    <row r="142" spans="1:20" s="152" customFormat="1" ht="33" customHeight="1" x14ac:dyDescent="0.3">
      <c r="A142" s="100">
        <v>104</v>
      </c>
      <c r="B142" s="1120" t="s">
        <v>176</v>
      </c>
      <c r="C142" s="788" t="s">
        <v>101</v>
      </c>
      <c r="D142" s="572"/>
      <c r="E142" s="749">
        <v>44917</v>
      </c>
      <c r="F142" s="890">
        <v>3945.8</v>
      </c>
      <c r="G142" s="572">
        <v>4</v>
      </c>
      <c r="H142" s="890">
        <v>3945.8</v>
      </c>
      <c r="I142" s="339">
        <f t="shared" si="45"/>
        <v>0</v>
      </c>
      <c r="J142" s="441"/>
      <c r="K142" s="381"/>
      <c r="L142" s="646"/>
      <c r="M142" s="381"/>
      <c r="N142" s="962"/>
      <c r="O142" s="1124" t="s">
        <v>521</v>
      </c>
      <c r="P142" s="756"/>
      <c r="Q142" s="520">
        <v>97855.84</v>
      </c>
      <c r="R142" s="758" t="s">
        <v>550</v>
      </c>
      <c r="S142" s="65">
        <f t="shared" si="43"/>
        <v>97855.84</v>
      </c>
      <c r="T142" s="170">
        <f t="shared" si="44"/>
        <v>24.799999999999997</v>
      </c>
    </row>
    <row r="143" spans="1:20" s="152" customFormat="1" ht="42.75" x14ac:dyDescent="0.25">
      <c r="A143" s="100">
        <v>105</v>
      </c>
      <c r="B143" s="1223" t="s">
        <v>933</v>
      </c>
      <c r="C143" s="788" t="s">
        <v>934</v>
      </c>
      <c r="D143" s="1227" t="s">
        <v>947</v>
      </c>
      <c r="E143" s="1126">
        <v>44916</v>
      </c>
      <c r="F143" s="890">
        <v>121241</v>
      </c>
      <c r="G143" s="572">
        <v>1</v>
      </c>
      <c r="H143" s="890">
        <v>121241</v>
      </c>
      <c r="I143" s="339">
        <f t="shared" si="45"/>
        <v>0</v>
      </c>
      <c r="J143" s="610" t="s">
        <v>948</v>
      </c>
      <c r="K143" s="381"/>
      <c r="L143" s="646"/>
      <c r="M143" s="381"/>
      <c r="N143" s="962"/>
      <c r="O143" s="1224" t="s">
        <v>942</v>
      </c>
      <c r="P143" s="756"/>
      <c r="Q143" s="1142">
        <v>121241</v>
      </c>
      <c r="R143" s="1145" t="s">
        <v>925</v>
      </c>
      <c r="S143" s="65">
        <f t="shared" si="43"/>
        <v>121241</v>
      </c>
      <c r="T143" s="170">
        <f t="shared" si="44"/>
        <v>1</v>
      </c>
    </row>
    <row r="144" spans="1:20" s="152" customFormat="1" ht="33" customHeight="1" thickBot="1" x14ac:dyDescent="0.35">
      <c r="A144" s="100">
        <v>106</v>
      </c>
      <c r="B144" s="1119" t="s">
        <v>525</v>
      </c>
      <c r="C144" s="787" t="s">
        <v>526</v>
      </c>
      <c r="D144" s="623"/>
      <c r="E144" s="1126">
        <v>44919</v>
      </c>
      <c r="F144" s="890">
        <v>5020</v>
      </c>
      <c r="G144" s="572">
        <v>220</v>
      </c>
      <c r="H144" s="890">
        <v>5020</v>
      </c>
      <c r="I144" s="339">
        <f t="shared" si="45"/>
        <v>0</v>
      </c>
      <c r="J144" s="441"/>
      <c r="K144" s="381"/>
      <c r="L144" s="646"/>
      <c r="M144" s="381"/>
      <c r="N144" s="962"/>
      <c r="O144" s="1128">
        <v>383278</v>
      </c>
      <c r="P144" s="1213" t="s">
        <v>456</v>
      </c>
      <c r="Q144" s="1142">
        <v>157628</v>
      </c>
      <c r="R144" s="1145" t="s">
        <v>925</v>
      </c>
      <c r="S144" s="65">
        <f t="shared" ref="S144:S185" si="46">Q144+M144+K144</f>
        <v>157628</v>
      </c>
      <c r="T144" s="170">
        <f t="shared" ref="T144:T185" si="47">S144/H144</f>
        <v>31.4</v>
      </c>
    </row>
    <row r="145" spans="1:20" s="152" customFormat="1" ht="34.5" customHeight="1" x14ac:dyDescent="0.25">
      <c r="A145" s="100">
        <v>107</v>
      </c>
      <c r="B145" s="1270" t="s">
        <v>97</v>
      </c>
      <c r="C145" s="1114" t="s">
        <v>434</v>
      </c>
      <c r="D145" s="1238"/>
      <c r="E145" s="1273">
        <v>44919</v>
      </c>
      <c r="F145" s="1125">
        <v>3952.07</v>
      </c>
      <c r="G145" s="572">
        <v>130</v>
      </c>
      <c r="H145" s="890">
        <v>3952.07</v>
      </c>
      <c r="I145" s="105">
        <f t="shared" ref="I145:I200" si="48">H145-F145</f>
        <v>0</v>
      </c>
      <c r="J145" s="440"/>
      <c r="K145" s="381"/>
      <c r="L145" s="646"/>
      <c r="M145" s="381"/>
      <c r="N145" s="1122"/>
      <c r="O145" s="1276" t="s">
        <v>923</v>
      </c>
      <c r="P145" s="1368" t="s">
        <v>456</v>
      </c>
      <c r="Q145" s="1142">
        <v>497960.82</v>
      </c>
      <c r="R145" s="1350" t="s">
        <v>924</v>
      </c>
      <c r="S145" s="65">
        <f t="shared" si="46"/>
        <v>497960.82</v>
      </c>
      <c r="T145" s="170">
        <f t="shared" si="47"/>
        <v>126</v>
      </c>
    </row>
    <row r="146" spans="1:20" s="152" customFormat="1" ht="29.25" customHeight="1" x14ac:dyDescent="0.25">
      <c r="A146" s="100">
        <v>108</v>
      </c>
      <c r="B146" s="1271"/>
      <c r="C146" s="1114" t="s">
        <v>519</v>
      </c>
      <c r="D146" s="1239"/>
      <c r="E146" s="1274"/>
      <c r="F146" s="1125">
        <v>495.17</v>
      </c>
      <c r="G146" s="572">
        <v>17</v>
      </c>
      <c r="H146" s="890">
        <v>495.17</v>
      </c>
      <c r="I146" s="105">
        <f t="shared" si="48"/>
        <v>0</v>
      </c>
      <c r="J146" s="440"/>
      <c r="K146" s="381"/>
      <c r="L146" s="646"/>
      <c r="M146" s="381"/>
      <c r="N146" s="1122"/>
      <c r="O146" s="1277"/>
      <c r="P146" s="1369"/>
      <c r="Q146" s="1142">
        <v>42089.45</v>
      </c>
      <c r="R146" s="1351"/>
      <c r="S146" s="65">
        <f t="shared" si="46"/>
        <v>42089.45</v>
      </c>
      <c r="T146" s="170">
        <f t="shared" si="47"/>
        <v>84.999999999999986</v>
      </c>
    </row>
    <row r="147" spans="1:20" s="152" customFormat="1" ht="29.25" customHeight="1" thickBot="1" x14ac:dyDescent="0.3">
      <c r="A147" s="100">
        <v>109</v>
      </c>
      <c r="B147" s="1272"/>
      <c r="C147" s="1114" t="s">
        <v>527</v>
      </c>
      <c r="D147" s="1239"/>
      <c r="E147" s="1275"/>
      <c r="F147" s="1125">
        <v>495.07</v>
      </c>
      <c r="G147" s="572">
        <v>20</v>
      </c>
      <c r="H147" s="890">
        <v>495.07</v>
      </c>
      <c r="I147" s="105">
        <f t="shared" si="48"/>
        <v>0</v>
      </c>
      <c r="J147" s="440"/>
      <c r="K147" s="381"/>
      <c r="L147" s="646"/>
      <c r="M147" s="381"/>
      <c r="N147" s="1122"/>
      <c r="O147" s="1278"/>
      <c r="P147" s="1370"/>
      <c r="Q147" s="1142">
        <v>40100.67</v>
      </c>
      <c r="R147" s="1362"/>
      <c r="S147" s="65">
        <f t="shared" si="46"/>
        <v>40100.67</v>
      </c>
      <c r="T147" s="170">
        <f t="shared" si="47"/>
        <v>81</v>
      </c>
    </row>
    <row r="148" spans="1:20" s="152" customFormat="1" ht="31.5" customHeight="1" thickBot="1" x14ac:dyDescent="0.3">
      <c r="A148" s="100">
        <v>110</v>
      </c>
      <c r="B148" s="1130" t="s">
        <v>176</v>
      </c>
      <c r="C148" s="788" t="s">
        <v>101</v>
      </c>
      <c r="D148" s="1227"/>
      <c r="E148" s="1127">
        <v>44921</v>
      </c>
      <c r="F148" s="890">
        <v>3696.3</v>
      </c>
      <c r="G148" s="572">
        <v>4</v>
      </c>
      <c r="H148" s="890">
        <v>3696.3</v>
      </c>
      <c r="I148" s="105">
        <f t="shared" si="48"/>
        <v>0</v>
      </c>
      <c r="J148" s="440"/>
      <c r="K148" s="381"/>
      <c r="L148" s="646"/>
      <c r="M148" s="381"/>
      <c r="N148" s="962"/>
      <c r="O148" s="1129" t="s">
        <v>528</v>
      </c>
      <c r="P148" s="755"/>
      <c r="Q148" s="1142">
        <v>91668.24</v>
      </c>
      <c r="R148" s="1145" t="s">
        <v>925</v>
      </c>
      <c r="S148" s="65">
        <f t="shared" si="46"/>
        <v>91668.24</v>
      </c>
      <c r="T148" s="170">
        <f t="shared" si="47"/>
        <v>24.8</v>
      </c>
    </row>
    <row r="149" spans="1:20" s="152" customFormat="1" ht="29.25" customHeight="1" thickTop="1" x14ac:dyDescent="0.25">
      <c r="A149" s="100">
        <v>111</v>
      </c>
      <c r="B149" s="1283" t="s">
        <v>421</v>
      </c>
      <c r="C149" s="1114" t="s">
        <v>529</v>
      </c>
      <c r="D149" s="1227"/>
      <c r="E149" s="1288">
        <v>44921</v>
      </c>
      <c r="F149" s="890">
        <v>1531.83</v>
      </c>
      <c r="G149" s="572">
        <v>59</v>
      </c>
      <c r="H149" s="890">
        <v>1531.83</v>
      </c>
      <c r="I149" s="105">
        <f t="shared" si="48"/>
        <v>0</v>
      </c>
      <c r="J149" s="440"/>
      <c r="K149" s="381"/>
      <c r="L149" s="646"/>
      <c r="M149" s="381"/>
      <c r="N149" s="1122"/>
      <c r="O149" s="1285">
        <v>19516</v>
      </c>
      <c r="P149" s="1363" t="s">
        <v>456</v>
      </c>
      <c r="Q149" s="1142">
        <v>125610.06</v>
      </c>
      <c r="R149" s="1350" t="s">
        <v>928</v>
      </c>
      <c r="S149" s="65">
        <f t="shared" si="46"/>
        <v>125610.06</v>
      </c>
      <c r="T149" s="170">
        <f t="shared" si="47"/>
        <v>82</v>
      </c>
    </row>
    <row r="150" spans="1:20" s="152" customFormat="1" ht="37.5" customHeight="1" x14ac:dyDescent="0.25">
      <c r="A150" s="100">
        <v>112</v>
      </c>
      <c r="B150" s="1280"/>
      <c r="C150" s="1114" t="s">
        <v>102</v>
      </c>
      <c r="D150" s="1227"/>
      <c r="E150" s="1289"/>
      <c r="F150" s="890">
        <v>1291.1099999999999</v>
      </c>
      <c r="G150" s="572">
        <v>44</v>
      </c>
      <c r="H150" s="890">
        <v>1291.1099999999999</v>
      </c>
      <c r="I150" s="105">
        <f t="shared" si="48"/>
        <v>0</v>
      </c>
      <c r="J150" s="440"/>
      <c r="K150" s="381"/>
      <c r="L150" s="646"/>
      <c r="M150" s="381"/>
      <c r="N150" s="1122"/>
      <c r="O150" s="1286"/>
      <c r="P150" s="1364"/>
      <c r="Q150" s="1142">
        <v>51644.4</v>
      </c>
      <c r="R150" s="1351"/>
      <c r="S150" s="65">
        <f t="shared" si="46"/>
        <v>51644.4</v>
      </c>
      <c r="T150" s="170">
        <f t="shared" si="47"/>
        <v>40.000000000000007</v>
      </c>
    </row>
    <row r="151" spans="1:20" s="152" customFormat="1" ht="34.5" customHeight="1" thickBot="1" x14ac:dyDescent="0.3">
      <c r="A151" s="100">
        <v>113</v>
      </c>
      <c r="B151" s="1284"/>
      <c r="C151" s="1114" t="s">
        <v>507</v>
      </c>
      <c r="D151" s="572"/>
      <c r="E151" s="1290"/>
      <c r="F151" s="890">
        <v>577.23</v>
      </c>
      <c r="G151" s="572">
        <v>19</v>
      </c>
      <c r="H151" s="890">
        <v>577.23</v>
      </c>
      <c r="I151" s="105">
        <f t="shared" si="48"/>
        <v>0</v>
      </c>
      <c r="J151" s="440"/>
      <c r="K151" s="381"/>
      <c r="L151" s="646"/>
      <c r="M151" s="381"/>
      <c r="N151" s="1122"/>
      <c r="O151" s="1287"/>
      <c r="P151" s="1365"/>
      <c r="Q151" s="1142">
        <v>30015.96</v>
      </c>
      <c r="R151" s="1362"/>
      <c r="S151" s="65">
        <f t="shared" si="46"/>
        <v>30015.96</v>
      </c>
      <c r="T151" s="170">
        <f t="shared" si="47"/>
        <v>52</v>
      </c>
    </row>
    <row r="152" spans="1:20" s="152" customFormat="1" ht="30.75" customHeight="1" thickTop="1" x14ac:dyDescent="0.25">
      <c r="A152" s="100">
        <v>114</v>
      </c>
      <c r="B152" s="1139" t="s">
        <v>530</v>
      </c>
      <c r="C152" s="1140" t="s">
        <v>531</v>
      </c>
      <c r="D152" s="1227"/>
      <c r="E152" s="557">
        <v>44921</v>
      </c>
      <c r="F152" s="890">
        <v>18568</v>
      </c>
      <c r="G152" s="572">
        <v>620</v>
      </c>
      <c r="H152" s="890">
        <v>18568</v>
      </c>
      <c r="I152" s="105">
        <f t="shared" si="48"/>
        <v>0</v>
      </c>
      <c r="J152" s="574" t="s">
        <v>564</v>
      </c>
      <c r="K152" s="381">
        <v>11151</v>
      </c>
      <c r="L152" s="646" t="s">
        <v>555</v>
      </c>
      <c r="M152" s="381">
        <v>27840</v>
      </c>
      <c r="N152" s="962" t="s">
        <v>558</v>
      </c>
      <c r="O152" s="1129">
        <v>2119827</v>
      </c>
      <c r="P152" s="1485">
        <v>5336</v>
      </c>
      <c r="Q152" s="520">
        <f>43391.95*19.84</f>
        <v>860896.28799999994</v>
      </c>
      <c r="R152" s="758" t="s">
        <v>490</v>
      </c>
      <c r="S152" s="65">
        <f t="shared" si="46"/>
        <v>899887.28799999994</v>
      </c>
      <c r="T152" s="170">
        <f t="shared" si="47"/>
        <v>48.464416630762599</v>
      </c>
    </row>
    <row r="153" spans="1:20" s="152" customFormat="1" ht="43.5" thickBot="1" x14ac:dyDescent="0.35">
      <c r="A153" s="100">
        <v>115</v>
      </c>
      <c r="B153" s="1249" t="s">
        <v>933</v>
      </c>
      <c r="C153" s="1226" t="s">
        <v>934</v>
      </c>
      <c r="D153" s="1227" t="s">
        <v>943</v>
      </c>
      <c r="E153" s="1132">
        <v>44922</v>
      </c>
      <c r="F153" s="890">
        <v>63625</v>
      </c>
      <c r="G153" s="572">
        <v>1</v>
      </c>
      <c r="H153" s="890">
        <v>63625</v>
      </c>
      <c r="I153" s="105">
        <f t="shared" si="48"/>
        <v>0</v>
      </c>
      <c r="J153" s="1141" t="s">
        <v>944</v>
      </c>
      <c r="K153" s="381"/>
      <c r="L153" s="646"/>
      <c r="M153" s="381"/>
      <c r="N153" s="1122"/>
      <c r="O153" s="1242" t="s">
        <v>955</v>
      </c>
      <c r="P153" s="1225"/>
      <c r="Q153" s="1142">
        <v>63625</v>
      </c>
      <c r="R153" s="1243" t="s">
        <v>925</v>
      </c>
      <c r="S153" s="65">
        <f t="shared" ref="S153:S159" si="49">Q153+M153+K153</f>
        <v>63625</v>
      </c>
      <c r="T153" s="170">
        <f t="shared" ref="T153:T159" si="50">S153/H153</f>
        <v>1</v>
      </c>
    </row>
    <row r="154" spans="1:20" s="152" customFormat="1" ht="30.75" customHeight="1" x14ac:dyDescent="0.25">
      <c r="A154" s="100">
        <v>116</v>
      </c>
      <c r="B154" s="1280" t="s">
        <v>97</v>
      </c>
      <c r="C154" s="1114" t="s">
        <v>519</v>
      </c>
      <c r="D154" s="1227"/>
      <c r="E154" s="1132">
        <v>44924</v>
      </c>
      <c r="F154" s="890">
        <v>1028.68</v>
      </c>
      <c r="G154" s="572">
        <v>35</v>
      </c>
      <c r="H154" s="890">
        <v>1028.68</v>
      </c>
      <c r="I154" s="105">
        <f t="shared" si="48"/>
        <v>0</v>
      </c>
      <c r="J154" s="440"/>
      <c r="K154" s="381"/>
      <c r="L154" s="646"/>
      <c r="M154" s="381"/>
      <c r="N154" s="1122"/>
      <c r="O154" s="1360" t="s">
        <v>926</v>
      </c>
      <c r="P154" s="1348" t="s">
        <v>456</v>
      </c>
      <c r="Q154" s="1142">
        <v>87437.8</v>
      </c>
      <c r="R154" s="1350" t="s">
        <v>927</v>
      </c>
      <c r="S154" s="65">
        <f t="shared" si="49"/>
        <v>87437.8</v>
      </c>
      <c r="T154" s="170">
        <f t="shared" si="50"/>
        <v>85</v>
      </c>
    </row>
    <row r="155" spans="1:20" s="152" customFormat="1" ht="30.75" customHeight="1" thickBot="1" x14ac:dyDescent="0.3">
      <c r="A155" s="100">
        <v>117</v>
      </c>
      <c r="B155" s="1293"/>
      <c r="C155" s="1114" t="s">
        <v>536</v>
      </c>
      <c r="D155" s="1227"/>
      <c r="E155" s="1132">
        <v>44924</v>
      </c>
      <c r="F155" s="890">
        <v>978.48</v>
      </c>
      <c r="G155" s="572">
        <v>35</v>
      </c>
      <c r="H155" s="890">
        <v>978.48</v>
      </c>
      <c r="I155" s="105">
        <f t="shared" si="48"/>
        <v>0</v>
      </c>
      <c r="J155" s="440"/>
      <c r="K155" s="381"/>
      <c r="L155" s="646"/>
      <c r="M155" s="381"/>
      <c r="N155" s="1122"/>
      <c r="O155" s="1361"/>
      <c r="P155" s="1349"/>
      <c r="Q155" s="1142">
        <v>79256.88</v>
      </c>
      <c r="R155" s="1362"/>
      <c r="S155" s="65">
        <f t="shared" si="49"/>
        <v>79256.88</v>
      </c>
      <c r="T155" s="170">
        <f t="shared" si="50"/>
        <v>81</v>
      </c>
    </row>
    <row r="156" spans="1:20" s="152" customFormat="1" ht="24" customHeight="1" x14ac:dyDescent="0.25">
      <c r="A156" s="100">
        <v>118</v>
      </c>
      <c r="B156" s="1291" t="s">
        <v>370</v>
      </c>
      <c r="C156" s="1114" t="s">
        <v>43</v>
      </c>
      <c r="D156" s="1227"/>
      <c r="E156" s="1288">
        <v>44925</v>
      </c>
      <c r="F156" s="890">
        <v>1502.74</v>
      </c>
      <c r="G156" s="572">
        <v>331</v>
      </c>
      <c r="H156" s="890">
        <v>1502.74</v>
      </c>
      <c r="I156" s="105">
        <f t="shared" si="48"/>
        <v>0</v>
      </c>
      <c r="J156" s="442"/>
      <c r="K156" s="381"/>
      <c r="L156" s="646"/>
      <c r="M156" s="381"/>
      <c r="N156" s="1131"/>
      <c r="O156" s="1276" t="s">
        <v>535</v>
      </c>
      <c r="P156" s="1080"/>
      <c r="Q156" s="520">
        <v>66120.56</v>
      </c>
      <c r="R156" s="1352" t="s">
        <v>544</v>
      </c>
      <c r="S156" s="65">
        <f t="shared" si="49"/>
        <v>66120.56</v>
      </c>
      <c r="T156" s="170">
        <f t="shared" si="50"/>
        <v>44</v>
      </c>
    </row>
    <row r="157" spans="1:20" s="152" customFormat="1" ht="23.25" thickBot="1" x14ac:dyDescent="0.35">
      <c r="A157" s="100">
        <v>119</v>
      </c>
      <c r="B157" s="1292"/>
      <c r="C157" s="1114" t="s">
        <v>371</v>
      </c>
      <c r="D157" s="572"/>
      <c r="E157" s="1290"/>
      <c r="F157" s="890">
        <v>100</v>
      </c>
      <c r="G157" s="572">
        <v>10</v>
      </c>
      <c r="H157" s="890">
        <v>100</v>
      </c>
      <c r="I157" s="105">
        <f t="shared" si="48"/>
        <v>0</v>
      </c>
      <c r="J157" s="573"/>
      <c r="K157" s="381"/>
      <c r="L157" s="646"/>
      <c r="M157" s="381"/>
      <c r="N157" s="1131"/>
      <c r="O157" s="1278"/>
      <c r="P157" s="1080"/>
      <c r="Q157" s="520">
        <v>8500</v>
      </c>
      <c r="R157" s="1353"/>
      <c r="S157" s="65">
        <f t="shared" si="49"/>
        <v>8500</v>
      </c>
      <c r="T157" s="170">
        <f t="shared" si="50"/>
        <v>85</v>
      </c>
    </row>
    <row r="158" spans="1:20" s="152" customFormat="1" ht="22.5" x14ac:dyDescent="0.3">
      <c r="A158" s="100">
        <v>120</v>
      </c>
      <c r="B158" s="1279" t="s">
        <v>421</v>
      </c>
      <c r="C158" s="1114" t="s">
        <v>71</v>
      </c>
      <c r="D158" s="572"/>
      <c r="E158" s="750">
        <v>44925</v>
      </c>
      <c r="F158" s="890">
        <v>5922.77</v>
      </c>
      <c r="G158" s="572">
        <v>205</v>
      </c>
      <c r="H158" s="890">
        <v>5922.77</v>
      </c>
      <c r="I158" s="105">
        <f t="shared" si="48"/>
        <v>0</v>
      </c>
      <c r="J158" s="573"/>
      <c r="K158" s="381"/>
      <c r="L158" s="646"/>
      <c r="M158" s="381"/>
      <c r="N158" s="1131"/>
      <c r="O158" s="1281">
        <v>19517</v>
      </c>
      <c r="P158" s="1348" t="s">
        <v>456</v>
      </c>
      <c r="Q158" s="1142">
        <v>165837.56</v>
      </c>
      <c r="R158" s="1350" t="s">
        <v>932</v>
      </c>
      <c r="S158" s="65">
        <f t="shared" si="49"/>
        <v>165837.56</v>
      </c>
      <c r="T158" s="170">
        <f t="shared" si="50"/>
        <v>27.999999999999996</v>
      </c>
    </row>
    <row r="159" spans="1:20" s="152" customFormat="1" ht="23.25" thickBot="1" x14ac:dyDescent="0.35">
      <c r="A159" s="100">
        <v>121</v>
      </c>
      <c r="B159" s="1280"/>
      <c r="C159" s="1114" t="s">
        <v>541</v>
      </c>
      <c r="D159" s="572"/>
      <c r="E159" s="750">
        <v>44925</v>
      </c>
      <c r="F159" s="890">
        <v>713.92</v>
      </c>
      <c r="G159" s="572">
        <v>27</v>
      </c>
      <c r="H159" s="890">
        <v>713.92</v>
      </c>
      <c r="I159" s="105">
        <f t="shared" si="48"/>
        <v>0</v>
      </c>
      <c r="J159" s="573"/>
      <c r="K159" s="381"/>
      <c r="L159" s="646"/>
      <c r="M159" s="381"/>
      <c r="N159" s="1131"/>
      <c r="O159" s="1282"/>
      <c r="P159" s="1349"/>
      <c r="Q159" s="1142">
        <v>51402.239999999998</v>
      </c>
      <c r="R159" s="1351"/>
      <c r="S159" s="65">
        <f t="shared" si="49"/>
        <v>51402.239999999998</v>
      </c>
      <c r="T159" s="170">
        <f t="shared" si="50"/>
        <v>72</v>
      </c>
    </row>
    <row r="160" spans="1:20" s="152" customFormat="1" ht="22.5" x14ac:dyDescent="0.3">
      <c r="A160" s="100">
        <v>122</v>
      </c>
      <c r="B160" s="1263" t="s">
        <v>80</v>
      </c>
      <c r="C160" s="1114" t="s">
        <v>177</v>
      </c>
      <c r="D160" s="572"/>
      <c r="E160" s="1200">
        <v>44930</v>
      </c>
      <c r="F160" s="1201">
        <v>482.79</v>
      </c>
      <c r="G160" s="1202">
        <v>41</v>
      </c>
      <c r="H160" s="1201">
        <v>482.79</v>
      </c>
      <c r="I160" s="1203">
        <f t="shared" si="48"/>
        <v>0</v>
      </c>
      <c r="J160" s="573"/>
      <c r="K160" s="381"/>
      <c r="L160" s="646"/>
      <c r="M160" s="381"/>
      <c r="N160" s="1131"/>
      <c r="O160" s="1294" t="s">
        <v>956</v>
      </c>
      <c r="P160" s="1080"/>
      <c r="Q160" s="1083">
        <v>43451.1</v>
      </c>
      <c r="R160" s="1345" t="s">
        <v>957</v>
      </c>
      <c r="S160" s="65">
        <f t="shared" si="46"/>
        <v>43451.1</v>
      </c>
      <c r="T160" s="170">
        <f t="shared" si="47"/>
        <v>90</v>
      </c>
    </row>
    <row r="161" spans="1:20" s="152" customFormat="1" ht="21.75" customHeight="1" x14ac:dyDescent="0.25">
      <c r="A161" s="100">
        <v>123</v>
      </c>
      <c r="B161" s="1264"/>
      <c r="C161" s="1114" t="s">
        <v>178</v>
      </c>
      <c r="D161" s="1227"/>
      <c r="E161" s="1204">
        <v>44930</v>
      </c>
      <c r="F161" s="1201">
        <v>517.37</v>
      </c>
      <c r="G161" s="1202">
        <v>42</v>
      </c>
      <c r="H161" s="1201">
        <v>517.37</v>
      </c>
      <c r="I161" s="1203">
        <f t="shared" ref="I161" si="51">H161-F161</f>
        <v>0</v>
      </c>
      <c r="J161" s="440"/>
      <c r="K161" s="381"/>
      <c r="L161" s="646"/>
      <c r="M161" s="381"/>
      <c r="N161" s="1122"/>
      <c r="O161" s="1295"/>
      <c r="P161" s="1079"/>
      <c r="Q161" s="1083">
        <v>51219.63</v>
      </c>
      <c r="R161" s="1346"/>
      <c r="S161" s="65">
        <f t="shared" si="46"/>
        <v>51219.63</v>
      </c>
      <c r="T161" s="170">
        <f t="shared" si="47"/>
        <v>99</v>
      </c>
    </row>
    <row r="162" spans="1:20" s="152" customFormat="1" ht="29.25" customHeight="1" thickBot="1" x14ac:dyDescent="0.3">
      <c r="A162" s="100">
        <v>124</v>
      </c>
      <c r="B162" s="1265"/>
      <c r="C162" s="1114" t="s">
        <v>514</v>
      </c>
      <c r="D162" s="572"/>
      <c r="E162" s="1204">
        <v>44930</v>
      </c>
      <c r="F162" s="1201">
        <v>516.19000000000005</v>
      </c>
      <c r="G162" s="1202">
        <v>42</v>
      </c>
      <c r="H162" s="1201">
        <v>516.19000000000005</v>
      </c>
      <c r="I162" s="1205">
        <f t="shared" si="48"/>
        <v>0</v>
      </c>
      <c r="J162" s="442"/>
      <c r="K162" s="381"/>
      <c r="L162" s="646"/>
      <c r="M162" s="381"/>
      <c r="N162" s="1131"/>
      <c r="O162" s="1296"/>
      <c r="P162" s="1080"/>
      <c r="Q162" s="1083">
        <v>49038.05</v>
      </c>
      <c r="R162" s="1347"/>
      <c r="S162" s="65">
        <f t="shared" si="46"/>
        <v>49038.05</v>
      </c>
      <c r="T162" s="170">
        <f t="shared" si="47"/>
        <v>95</v>
      </c>
    </row>
    <row r="163" spans="1:20" s="152" customFormat="1" ht="31.5" customHeight="1" x14ac:dyDescent="0.25">
      <c r="A163" s="100">
        <v>125</v>
      </c>
      <c r="B163" s="1208" t="s">
        <v>97</v>
      </c>
      <c r="C163" s="788" t="s">
        <v>358</v>
      </c>
      <c r="D163" s="572"/>
      <c r="E163" s="1204">
        <v>44930</v>
      </c>
      <c r="F163" s="1201">
        <v>9227.58</v>
      </c>
      <c r="G163" s="1202">
        <v>339</v>
      </c>
      <c r="H163" s="1201">
        <v>9227.58</v>
      </c>
      <c r="I163" s="1203">
        <f t="shared" si="48"/>
        <v>0</v>
      </c>
      <c r="J163" s="442"/>
      <c r="K163" s="381"/>
      <c r="L163" s="646"/>
      <c r="M163" s="381"/>
      <c r="N163" s="646"/>
      <c r="O163" s="1244" t="s">
        <v>929</v>
      </c>
      <c r="P163" s="1213" t="s">
        <v>930</v>
      </c>
      <c r="Q163" s="520">
        <v>779730.51</v>
      </c>
      <c r="R163" s="1245" t="s">
        <v>931</v>
      </c>
      <c r="S163" s="65">
        <f t="shared" si="46"/>
        <v>779730.51</v>
      </c>
      <c r="T163" s="170">
        <f t="shared" si="47"/>
        <v>84.5</v>
      </c>
    </row>
    <row r="164" spans="1:20" s="152" customFormat="1" ht="31.5" customHeight="1" x14ac:dyDescent="0.25">
      <c r="A164" s="100">
        <v>126</v>
      </c>
      <c r="B164" s="1209" t="s">
        <v>97</v>
      </c>
      <c r="C164" s="788" t="s">
        <v>434</v>
      </c>
      <c r="D164" s="572"/>
      <c r="E164" s="1204">
        <v>44933</v>
      </c>
      <c r="F164" s="1206">
        <v>2025.9</v>
      </c>
      <c r="G164" s="1202">
        <v>68</v>
      </c>
      <c r="H164" s="1201">
        <v>2025.9</v>
      </c>
      <c r="I164" s="1203">
        <f t="shared" si="48"/>
        <v>0</v>
      </c>
      <c r="J164" s="442"/>
      <c r="K164" s="381"/>
      <c r="L164" s="646"/>
      <c r="M164" s="381"/>
      <c r="N164" s="646"/>
      <c r="O164" s="759" t="s">
        <v>965</v>
      </c>
      <c r="P164" s="1213" t="s">
        <v>930</v>
      </c>
      <c r="Q164" s="520">
        <v>239056.2</v>
      </c>
      <c r="R164" s="760" t="s">
        <v>966</v>
      </c>
      <c r="S164" s="65">
        <f t="shared" si="46"/>
        <v>239056.2</v>
      </c>
      <c r="T164" s="170">
        <f t="shared" si="47"/>
        <v>118</v>
      </c>
    </row>
    <row r="165" spans="1:20" s="152" customFormat="1" ht="30" customHeight="1" x14ac:dyDescent="0.25">
      <c r="A165" s="100">
        <v>127</v>
      </c>
      <c r="B165" s="788"/>
      <c r="C165" s="788"/>
      <c r="D165" s="572"/>
      <c r="E165" s="1250"/>
      <c r="F165" s="1251"/>
      <c r="G165" s="1252"/>
      <c r="H165" s="1253"/>
      <c r="I165" s="731">
        <f t="shared" si="48"/>
        <v>0</v>
      </c>
      <c r="J165" s="442"/>
      <c r="K165" s="381"/>
      <c r="L165" s="646"/>
      <c r="M165" s="381"/>
      <c r="N165" s="646"/>
      <c r="O165" s="583"/>
      <c r="P165" s="382"/>
      <c r="Q165" s="523"/>
      <c r="R165" s="584"/>
      <c r="S165" s="65">
        <f t="shared" si="46"/>
        <v>0</v>
      </c>
      <c r="T165" s="170" t="e">
        <f t="shared" si="47"/>
        <v>#DIV/0!</v>
      </c>
    </row>
    <row r="166" spans="1:20" s="152" customFormat="1" ht="24.75" customHeight="1" x14ac:dyDescent="0.25">
      <c r="A166" s="100">
        <v>128</v>
      </c>
      <c r="B166" s="788"/>
      <c r="C166" s="788"/>
      <c r="D166" s="572"/>
      <c r="E166" s="1250"/>
      <c r="F166" s="1251"/>
      <c r="G166" s="1252"/>
      <c r="H166" s="1251"/>
      <c r="I166" s="731">
        <f t="shared" si="48"/>
        <v>0</v>
      </c>
      <c r="J166" s="442"/>
      <c r="K166" s="381"/>
      <c r="L166" s="646"/>
      <c r="M166" s="381"/>
      <c r="N166" s="646"/>
      <c r="O166" s="583"/>
      <c r="P166" s="382"/>
      <c r="Q166" s="523"/>
      <c r="R166" s="380"/>
      <c r="S166" s="65">
        <f t="shared" si="46"/>
        <v>0</v>
      </c>
      <c r="T166" s="170" t="e">
        <f t="shared" si="47"/>
        <v>#DIV/0!</v>
      </c>
    </row>
    <row r="167" spans="1:20" s="152" customFormat="1" ht="27" customHeight="1" x14ac:dyDescent="0.25">
      <c r="A167" s="100">
        <v>129</v>
      </c>
      <c r="B167" s="788"/>
      <c r="C167" s="788"/>
      <c r="D167" s="572"/>
      <c r="E167" s="557"/>
      <c r="F167" s="553"/>
      <c r="G167" s="572"/>
      <c r="H167" s="553"/>
      <c r="I167" s="105">
        <f t="shared" si="48"/>
        <v>0</v>
      </c>
      <c r="J167" s="442"/>
      <c r="K167" s="381"/>
      <c r="L167" s="646"/>
      <c r="M167" s="381"/>
      <c r="N167" s="646"/>
      <c r="O167" s="583"/>
      <c r="P167" s="559"/>
      <c r="Q167" s="523"/>
      <c r="R167" s="380"/>
      <c r="S167" s="65">
        <f t="shared" si="46"/>
        <v>0</v>
      </c>
      <c r="T167" s="170" t="e">
        <f t="shared" si="47"/>
        <v>#DIV/0!</v>
      </c>
    </row>
    <row r="168" spans="1:20" s="152" customFormat="1" ht="27" customHeight="1" x14ac:dyDescent="0.25">
      <c r="A168" s="100">
        <v>130</v>
      </c>
      <c r="B168" s="789"/>
      <c r="C168" s="788"/>
      <c r="D168" s="572"/>
      <c r="E168" s="557"/>
      <c r="F168" s="553"/>
      <c r="G168" s="572"/>
      <c r="H168" s="553"/>
      <c r="I168" s="105">
        <f t="shared" si="48"/>
        <v>0</v>
      </c>
      <c r="J168" s="442"/>
      <c r="K168" s="381"/>
      <c r="L168" s="646"/>
      <c r="M168" s="381"/>
      <c r="N168" s="646"/>
      <c r="O168" s="585"/>
      <c r="P168" s="559"/>
      <c r="Q168" s="523"/>
      <c r="R168" s="624"/>
      <c r="S168" s="65">
        <f t="shared" si="46"/>
        <v>0</v>
      </c>
      <c r="T168" s="170" t="e">
        <f t="shared" si="47"/>
        <v>#DIV/0!</v>
      </c>
    </row>
    <row r="169" spans="1:20" s="152" customFormat="1" ht="29.25" customHeight="1" x14ac:dyDescent="0.25">
      <c r="A169" s="100"/>
      <c r="B169" s="586"/>
      <c r="C169" s="574"/>
      <c r="D169" s="572"/>
      <c r="E169" s="555"/>
      <c r="F169" s="553"/>
      <c r="G169" s="572"/>
      <c r="H169" s="553"/>
      <c r="I169" s="105">
        <f t="shared" si="48"/>
        <v>0</v>
      </c>
      <c r="J169" s="442"/>
      <c r="K169" s="381"/>
      <c r="L169" s="646"/>
      <c r="M169" s="381"/>
      <c r="N169" s="646"/>
      <c r="O169" s="625"/>
      <c r="P169" s="559"/>
      <c r="Q169" s="523"/>
      <c r="R169" s="380"/>
      <c r="S169" s="65">
        <f t="shared" si="46"/>
        <v>0</v>
      </c>
      <c r="T169" s="170" t="e">
        <f t="shared" si="47"/>
        <v>#DIV/0!</v>
      </c>
    </row>
    <row r="170" spans="1:20" s="152" customFormat="1" ht="24.75" customHeight="1" x14ac:dyDescent="0.25">
      <c r="A170" s="100"/>
      <c r="B170" s="372"/>
      <c r="C170" s="372"/>
      <c r="D170" s="572"/>
      <c r="E170" s="555"/>
      <c r="F170" s="553"/>
      <c r="G170" s="572"/>
      <c r="H170" s="553"/>
      <c r="I170" s="105">
        <f t="shared" si="48"/>
        <v>0</v>
      </c>
      <c r="J170" s="442"/>
      <c r="K170" s="381"/>
      <c r="L170" s="646"/>
      <c r="M170" s="381"/>
      <c r="N170" s="646"/>
      <c r="O170" s="585"/>
      <c r="P170" s="382"/>
      <c r="Q170" s="523"/>
      <c r="R170" s="380"/>
      <c r="S170" s="65">
        <f t="shared" si="46"/>
        <v>0</v>
      </c>
      <c r="T170" s="170" t="e">
        <f t="shared" si="47"/>
        <v>#DIV/0!</v>
      </c>
    </row>
    <row r="171" spans="1:20" s="152" customFormat="1" ht="18.75" x14ac:dyDescent="0.25">
      <c r="A171" s="100"/>
      <c r="B171" s="372"/>
      <c r="C171" s="372"/>
      <c r="D171" s="572"/>
      <c r="E171" s="555"/>
      <c r="F171" s="553"/>
      <c r="G171" s="572"/>
      <c r="H171" s="553"/>
      <c r="I171" s="105">
        <f t="shared" si="48"/>
        <v>0</v>
      </c>
      <c r="J171" s="442"/>
      <c r="K171" s="381"/>
      <c r="L171" s="646"/>
      <c r="M171" s="381"/>
      <c r="N171" s="646"/>
      <c r="O171" s="558"/>
      <c r="P171" s="382"/>
      <c r="Q171" s="523"/>
      <c r="R171" s="380"/>
      <c r="S171" s="65">
        <f t="shared" si="46"/>
        <v>0</v>
      </c>
      <c r="T171" s="170" t="e">
        <f t="shared" si="47"/>
        <v>#DIV/0!</v>
      </c>
    </row>
    <row r="172" spans="1:20" s="152" customFormat="1" ht="30.75" customHeight="1" x14ac:dyDescent="0.25">
      <c r="A172" s="100"/>
      <c r="B172" s="610"/>
      <c r="C172" s="372"/>
      <c r="D172" s="572"/>
      <c r="E172" s="555"/>
      <c r="F172" s="553"/>
      <c r="G172" s="572"/>
      <c r="H172" s="553"/>
      <c r="I172" s="105">
        <f t="shared" si="48"/>
        <v>0</v>
      </c>
      <c r="J172" s="442"/>
      <c r="K172" s="381"/>
      <c r="L172" s="646"/>
      <c r="M172" s="381"/>
      <c r="N172" s="964"/>
      <c r="O172" s="558"/>
      <c r="P172" s="382"/>
      <c r="Q172" s="523"/>
      <c r="R172" s="380"/>
      <c r="S172" s="65">
        <f t="shared" si="46"/>
        <v>0</v>
      </c>
      <c r="T172" s="170" t="e">
        <f t="shared" si="47"/>
        <v>#DIV/0!</v>
      </c>
    </row>
    <row r="173" spans="1:20" s="152" customFormat="1" ht="18.75" x14ac:dyDescent="0.25">
      <c r="A173" s="100"/>
      <c r="B173" s="572"/>
      <c r="C173" s="372"/>
      <c r="D173" s="572"/>
      <c r="E173" s="555"/>
      <c r="F173" s="553"/>
      <c r="G173" s="572"/>
      <c r="H173" s="553"/>
      <c r="I173" s="105">
        <f t="shared" si="48"/>
        <v>0</v>
      </c>
      <c r="J173" s="446"/>
      <c r="K173" s="381"/>
      <c r="L173" s="646"/>
      <c r="M173" s="381"/>
      <c r="N173" s="965"/>
      <c r="O173" s="558"/>
      <c r="P173" s="382"/>
      <c r="Q173" s="523"/>
      <c r="R173" s="611"/>
      <c r="S173" s="65">
        <f t="shared" si="46"/>
        <v>0</v>
      </c>
      <c r="T173" s="170" t="e">
        <f t="shared" si="47"/>
        <v>#DIV/0!</v>
      </c>
    </row>
    <row r="174" spans="1:20" s="152" customFormat="1" ht="18.75" x14ac:dyDescent="0.25">
      <c r="A174" s="100"/>
      <c r="B174" s="372"/>
      <c r="C174" s="372"/>
      <c r="D174" s="572"/>
      <c r="E174" s="555"/>
      <c r="F174" s="553"/>
      <c r="G174" s="572"/>
      <c r="H174" s="553"/>
      <c r="I174" s="105">
        <f t="shared" si="48"/>
        <v>0</v>
      </c>
      <c r="J174" s="446"/>
      <c r="K174" s="381"/>
      <c r="L174" s="646"/>
      <c r="M174" s="381"/>
      <c r="N174" s="966"/>
      <c r="O174" s="558"/>
      <c r="P174" s="559"/>
      <c r="Q174" s="523"/>
      <c r="R174" s="611"/>
      <c r="S174" s="65">
        <f t="shared" si="46"/>
        <v>0</v>
      </c>
      <c r="T174" s="170" t="e">
        <f t="shared" si="47"/>
        <v>#DIV/0!</v>
      </c>
    </row>
    <row r="175" spans="1:20" s="152" customFormat="1" ht="27.75" customHeight="1" x14ac:dyDescent="0.25">
      <c r="A175" s="100"/>
      <c r="B175" s="372"/>
      <c r="C175" s="372"/>
      <c r="D175" s="572"/>
      <c r="E175" s="555"/>
      <c r="F175" s="553"/>
      <c r="G175" s="572"/>
      <c r="H175" s="553"/>
      <c r="I175" s="105">
        <f t="shared" si="48"/>
        <v>0</v>
      </c>
      <c r="J175" s="274"/>
      <c r="K175" s="381"/>
      <c r="L175" s="646"/>
      <c r="M175" s="381"/>
      <c r="N175" s="963"/>
      <c r="O175" s="558"/>
      <c r="P175" s="382"/>
      <c r="Q175" s="523"/>
      <c r="R175" s="611"/>
      <c r="S175" s="65">
        <f t="shared" si="46"/>
        <v>0</v>
      </c>
      <c r="T175" s="170" t="e">
        <f t="shared" si="47"/>
        <v>#DIV/0!</v>
      </c>
    </row>
    <row r="176" spans="1:20" s="152" customFormat="1" ht="32.25" customHeight="1" x14ac:dyDescent="0.25">
      <c r="A176" s="100"/>
      <c r="B176" s="372"/>
      <c r="C176" s="372"/>
      <c r="D176" s="572"/>
      <c r="E176" s="555"/>
      <c r="F176" s="553"/>
      <c r="G176" s="572"/>
      <c r="H176" s="553"/>
      <c r="I176" s="105">
        <f t="shared" si="48"/>
        <v>0</v>
      </c>
      <c r="J176" s="274"/>
      <c r="K176" s="381"/>
      <c r="L176" s="646"/>
      <c r="M176" s="381"/>
      <c r="N176" s="963"/>
      <c r="O176" s="558"/>
      <c r="P176" s="382"/>
      <c r="Q176" s="523"/>
      <c r="R176" s="611"/>
      <c r="S176" s="65">
        <f t="shared" si="46"/>
        <v>0</v>
      </c>
      <c r="T176" s="170" t="e">
        <f t="shared" si="47"/>
        <v>#DIV/0!</v>
      </c>
    </row>
    <row r="177" spans="1:20" s="152" customFormat="1" ht="19.5" customHeight="1" x14ac:dyDescent="0.25">
      <c r="A177" s="100"/>
      <c r="B177" s="372"/>
      <c r="C177" s="372"/>
      <c r="D177" s="572"/>
      <c r="E177" s="555"/>
      <c r="F177" s="553"/>
      <c r="G177" s="572"/>
      <c r="H177" s="553"/>
      <c r="I177" s="105">
        <f t="shared" si="48"/>
        <v>0</v>
      </c>
      <c r="J177" s="274"/>
      <c r="K177" s="381"/>
      <c r="L177" s="646"/>
      <c r="M177" s="381"/>
      <c r="N177" s="906"/>
      <c r="O177" s="558"/>
      <c r="P177" s="382"/>
      <c r="Q177" s="523"/>
      <c r="R177" s="611"/>
      <c r="S177" s="65">
        <f t="shared" si="46"/>
        <v>0</v>
      </c>
      <c r="T177" s="170" t="e">
        <f t="shared" si="47"/>
        <v>#DIV/0!</v>
      </c>
    </row>
    <row r="178" spans="1:20" s="152" customFormat="1" x14ac:dyDescent="0.25">
      <c r="A178" s="100"/>
      <c r="B178" s="407"/>
      <c r="C178" s="73"/>
      <c r="D178" s="156"/>
      <c r="E178" s="149"/>
      <c r="F178" s="105"/>
      <c r="G178" s="100"/>
      <c r="H178" s="368"/>
      <c r="I178" s="105">
        <f t="shared" si="48"/>
        <v>0</v>
      </c>
      <c r="J178" s="177"/>
      <c r="K178" s="223"/>
      <c r="L178" s="647"/>
      <c r="M178" s="222"/>
      <c r="N178" s="907"/>
      <c r="O178" s="389"/>
      <c r="P178" s="221"/>
      <c r="Q178" s="524"/>
      <c r="R178" s="655"/>
      <c r="S178" s="65">
        <f t="shared" si="46"/>
        <v>0</v>
      </c>
      <c r="T178" s="170" t="e">
        <f t="shared" si="47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8"/>
        <v>0</v>
      </c>
      <c r="J179" s="177"/>
      <c r="K179" s="223"/>
      <c r="L179" s="647"/>
      <c r="M179" s="222"/>
      <c r="N179" s="907"/>
      <c r="O179" s="389"/>
      <c r="P179" s="221"/>
      <c r="Q179" s="524"/>
      <c r="R179" s="655"/>
      <c r="S179" s="65">
        <f t="shared" si="46"/>
        <v>0</v>
      </c>
      <c r="T179" s="170" t="e">
        <f t="shared" si="47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8"/>
        <v>0</v>
      </c>
      <c r="J180" s="177"/>
      <c r="K180" s="223"/>
      <c r="L180" s="647"/>
      <c r="M180" s="222"/>
      <c r="N180" s="907"/>
      <c r="O180" s="389"/>
      <c r="P180" s="221"/>
      <c r="Q180" s="524"/>
      <c r="R180" s="655"/>
      <c r="S180" s="65">
        <f t="shared" si="46"/>
        <v>0</v>
      </c>
      <c r="T180" s="170" t="e">
        <f t="shared" si="47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8"/>
      <c r="I181" s="105">
        <f t="shared" si="48"/>
        <v>0</v>
      </c>
      <c r="J181" s="177"/>
      <c r="K181" s="223"/>
      <c r="L181" s="647"/>
      <c r="M181" s="222"/>
      <c r="N181" s="907"/>
      <c r="O181" s="389"/>
      <c r="P181" s="221"/>
      <c r="Q181" s="524"/>
      <c r="R181" s="655"/>
      <c r="S181" s="65">
        <f t="shared" si="46"/>
        <v>0</v>
      </c>
      <c r="T181" s="170" t="e">
        <f t="shared" si="47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8"/>
      <c r="I182" s="105">
        <f t="shared" si="48"/>
        <v>0</v>
      </c>
      <c r="J182" s="177"/>
      <c r="K182" s="223"/>
      <c r="L182" s="647"/>
      <c r="M182" s="222"/>
      <c r="N182" s="907"/>
      <c r="O182" s="389"/>
      <c r="P182" s="221"/>
      <c r="Q182" s="524"/>
      <c r="R182" s="655"/>
      <c r="S182" s="65">
        <f t="shared" si="46"/>
        <v>0</v>
      </c>
      <c r="T182" s="170" t="e">
        <f t="shared" si="47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8"/>
      <c r="I183" s="105">
        <f t="shared" si="48"/>
        <v>0</v>
      </c>
      <c r="J183" s="177"/>
      <c r="K183" s="223"/>
      <c r="L183" s="647"/>
      <c r="M183" s="222"/>
      <c r="N183" s="907"/>
      <c r="O183" s="389"/>
      <c r="P183" s="221"/>
      <c r="Q183" s="524"/>
      <c r="R183" s="655"/>
      <c r="S183" s="65">
        <f t="shared" si="46"/>
        <v>0</v>
      </c>
      <c r="T183" s="170" t="e">
        <f t="shared" si="47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8"/>
      <c r="I184" s="105">
        <f t="shared" si="48"/>
        <v>0</v>
      </c>
      <c r="J184" s="177"/>
      <c r="K184" s="223"/>
      <c r="L184" s="647"/>
      <c r="M184" s="222"/>
      <c r="N184" s="907"/>
      <c r="O184" s="389"/>
      <c r="P184" s="221"/>
      <c r="Q184" s="524"/>
      <c r="R184" s="655"/>
      <c r="S184" s="65">
        <f t="shared" si="46"/>
        <v>0</v>
      </c>
      <c r="T184" s="170" t="e">
        <f t="shared" si="47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8"/>
      <c r="I185" s="105">
        <f t="shared" si="48"/>
        <v>0</v>
      </c>
      <c r="J185" s="177"/>
      <c r="K185" s="223"/>
      <c r="L185" s="647"/>
      <c r="M185" s="222"/>
      <c r="N185" s="908"/>
      <c r="O185" s="389"/>
      <c r="P185" s="221"/>
      <c r="Q185" s="525"/>
      <c r="R185" s="656"/>
      <c r="S185" s="65">
        <f t="shared" si="46"/>
        <v>0</v>
      </c>
      <c r="T185" s="170" t="e">
        <f t="shared" si="47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8"/>
      <c r="I186" s="105">
        <f t="shared" si="48"/>
        <v>0</v>
      </c>
      <c r="J186" s="177"/>
      <c r="K186" s="223"/>
      <c r="L186" s="647"/>
      <c r="M186" s="222"/>
      <c r="N186" s="908"/>
      <c r="O186" s="389"/>
      <c r="P186" s="221"/>
      <c r="Q186" s="525"/>
      <c r="R186" s="656"/>
      <c r="S186" s="65"/>
      <c r="T186" s="65"/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8"/>
      <c r="I187" s="105">
        <f t="shared" si="48"/>
        <v>0</v>
      </c>
      <c r="J187" s="177"/>
      <c r="K187" s="223"/>
      <c r="L187" s="647"/>
      <c r="M187" s="222"/>
      <c r="N187" s="908"/>
      <c r="O187" s="389"/>
      <c r="P187" s="221"/>
      <c r="Q187" s="525"/>
      <c r="R187" s="656"/>
      <c r="S187" s="65"/>
      <c r="T187" s="65"/>
    </row>
    <row r="188" spans="1:20" s="152" customFormat="1" ht="15.75" thickBot="1" x14ac:dyDescent="0.3">
      <c r="A188" s="100"/>
      <c r="B188" s="75"/>
      <c r="C188" s="146"/>
      <c r="D188" s="178"/>
      <c r="E188" s="134"/>
      <c r="F188" s="445"/>
      <c r="G188" s="100"/>
      <c r="H188" s="368"/>
      <c r="I188" s="105">
        <f t="shared" si="48"/>
        <v>0</v>
      </c>
      <c r="J188" s="177"/>
      <c r="K188" s="108"/>
      <c r="L188" s="647"/>
      <c r="M188" s="71"/>
      <c r="N188" s="908"/>
      <c r="O188" s="127"/>
      <c r="P188" s="116"/>
      <c r="Q188" s="526"/>
      <c r="R188" s="657"/>
      <c r="S188" s="65">
        <f t="shared" ref="S188:S193" si="52">Q188+M188+K188</f>
        <v>0</v>
      </c>
      <c r="T188" s="65" t="e">
        <f t="shared" ref="T188:T196" si="53">S188/H188+0.1</f>
        <v>#DIV/0!</v>
      </c>
    </row>
    <row r="189" spans="1:20" s="152" customFormat="1" ht="15.75" hidden="1" thickBot="1" x14ac:dyDescent="0.3">
      <c r="A189" s="100"/>
      <c r="B189" s="75"/>
      <c r="C189" s="75"/>
      <c r="D189" s="178"/>
      <c r="E189" s="134"/>
      <c r="F189" s="445"/>
      <c r="G189" s="100"/>
      <c r="H189" s="368"/>
      <c r="I189" s="105">
        <f t="shared" si="48"/>
        <v>0</v>
      </c>
      <c r="J189" s="177"/>
      <c r="K189" s="108"/>
      <c r="L189" s="647"/>
      <c r="M189" s="71"/>
      <c r="N189" s="908"/>
      <c r="O189" s="127"/>
      <c r="P189" s="116"/>
      <c r="Q189" s="527"/>
      <c r="R189" s="658"/>
      <c r="S189" s="65">
        <f t="shared" si="52"/>
        <v>0</v>
      </c>
      <c r="T189" s="65" t="e">
        <f t="shared" si="53"/>
        <v>#DIV/0!</v>
      </c>
    </row>
    <row r="190" spans="1:20" s="152" customFormat="1" ht="15.75" hidden="1" thickBot="1" x14ac:dyDescent="0.3">
      <c r="A190" s="100"/>
      <c r="B190" s="75"/>
      <c r="C190" s="75"/>
      <c r="D190" s="178"/>
      <c r="E190" s="134"/>
      <c r="F190" s="445"/>
      <c r="G190" s="100"/>
      <c r="H190" s="368"/>
      <c r="I190" s="105">
        <f t="shared" si="48"/>
        <v>0</v>
      </c>
      <c r="J190" s="177"/>
      <c r="K190" s="108"/>
      <c r="L190" s="647"/>
      <c r="M190" s="71"/>
      <c r="N190" s="908"/>
      <c r="O190" s="127"/>
      <c r="P190" s="116"/>
      <c r="Q190" s="527"/>
      <c r="R190" s="658"/>
      <c r="S190" s="65">
        <f t="shared" si="52"/>
        <v>0</v>
      </c>
      <c r="T190" s="65" t="e">
        <f t="shared" si="53"/>
        <v>#DIV/0!</v>
      </c>
    </row>
    <row r="191" spans="1:20" s="152" customFormat="1" ht="15.75" hidden="1" thickBot="1" x14ac:dyDescent="0.3">
      <c r="A191" s="100"/>
      <c r="B191" s="75"/>
      <c r="C191" s="75"/>
      <c r="D191" s="178"/>
      <c r="E191" s="134"/>
      <c r="F191" s="445"/>
      <c r="G191" s="100"/>
      <c r="H191" s="368"/>
      <c r="I191" s="105">
        <f t="shared" si="48"/>
        <v>0</v>
      </c>
      <c r="J191" s="177"/>
      <c r="K191" s="108"/>
      <c r="L191" s="647"/>
      <c r="M191" s="71"/>
      <c r="N191" s="908"/>
      <c r="O191" s="127"/>
      <c r="P191" s="116"/>
      <c r="Q191" s="527"/>
      <c r="R191" s="659"/>
      <c r="S191" s="65">
        <f t="shared" si="52"/>
        <v>0</v>
      </c>
      <c r="T191" s="65" t="e">
        <f t="shared" si="53"/>
        <v>#DIV/0!</v>
      </c>
    </row>
    <row r="192" spans="1:20" s="152" customFormat="1" ht="15.75" hidden="1" thickBot="1" x14ac:dyDescent="0.3">
      <c r="A192" s="100"/>
      <c r="B192" s="75"/>
      <c r="C192" s="75"/>
      <c r="D192" s="178"/>
      <c r="E192" s="134"/>
      <c r="F192" s="445"/>
      <c r="G192" s="100"/>
      <c r="H192" s="368"/>
      <c r="I192" s="105">
        <f t="shared" si="48"/>
        <v>0</v>
      </c>
      <c r="J192" s="177"/>
      <c r="K192" s="108"/>
      <c r="L192" s="647"/>
      <c r="M192" s="71"/>
      <c r="N192" s="908"/>
      <c r="O192" s="127"/>
      <c r="P192" s="116"/>
      <c r="Q192" s="527"/>
      <c r="R192" s="659"/>
      <c r="S192" s="65">
        <f t="shared" si="52"/>
        <v>0</v>
      </c>
      <c r="T192" s="65" t="e">
        <f t="shared" si="53"/>
        <v>#DIV/0!</v>
      </c>
    </row>
    <row r="193" spans="1:20" s="152" customFormat="1" ht="15.75" hidden="1" thickBot="1" x14ac:dyDescent="0.3">
      <c r="A193" s="100"/>
      <c r="B193" s="75"/>
      <c r="C193" s="146"/>
      <c r="D193" s="100"/>
      <c r="E193" s="134"/>
      <c r="F193" s="445"/>
      <c r="G193" s="100"/>
      <c r="H193" s="368"/>
      <c r="I193" s="105">
        <f t="shared" si="48"/>
        <v>0</v>
      </c>
      <c r="J193" s="177"/>
      <c r="K193" s="108"/>
      <c r="L193" s="647"/>
      <c r="M193" s="71"/>
      <c r="N193" s="908"/>
      <c r="O193" s="127"/>
      <c r="P193" s="116"/>
      <c r="Q193" s="393"/>
      <c r="R193" s="660"/>
      <c r="S193" s="65">
        <f t="shared" si="52"/>
        <v>0</v>
      </c>
      <c r="T193" s="65" t="e">
        <f t="shared" si="53"/>
        <v>#DIV/0!</v>
      </c>
    </row>
    <row r="194" spans="1:20" s="152" customFormat="1" ht="15.75" hidden="1" thickBot="1" x14ac:dyDescent="0.3">
      <c r="A194" s="100"/>
      <c r="B194" s="75"/>
      <c r="C194" s="146"/>
      <c r="D194" s="101"/>
      <c r="E194" s="134"/>
      <c r="F194" s="445"/>
      <c r="G194" s="100"/>
      <c r="H194" s="368"/>
      <c r="I194" s="105">
        <f t="shared" si="48"/>
        <v>0</v>
      </c>
      <c r="J194" s="177"/>
      <c r="K194" s="108"/>
      <c r="L194" s="647"/>
      <c r="M194" s="71"/>
      <c r="N194" s="908"/>
      <c r="O194" s="127"/>
      <c r="P194" s="116"/>
      <c r="Q194" s="393"/>
      <c r="R194" s="660"/>
      <c r="S194" s="65">
        <f t="shared" ref="S194:S199" si="54">Q194+M194+K194</f>
        <v>0</v>
      </c>
      <c r="T194" s="65" t="e">
        <f t="shared" si="53"/>
        <v>#DIV/0!</v>
      </c>
    </row>
    <row r="195" spans="1:20" s="152" customFormat="1" ht="15.75" hidden="1" thickBot="1" x14ac:dyDescent="0.3">
      <c r="A195" s="100"/>
      <c r="B195" s="75"/>
      <c r="C195" s="148"/>
      <c r="D195" s="101"/>
      <c r="E195" s="134"/>
      <c r="F195" s="445"/>
      <c r="G195" s="100"/>
      <c r="H195" s="368"/>
      <c r="I195" s="105">
        <f t="shared" si="48"/>
        <v>0</v>
      </c>
      <c r="J195" s="177"/>
      <c r="K195" s="108"/>
      <c r="L195" s="647"/>
      <c r="M195" s="71"/>
      <c r="N195" s="908"/>
      <c r="O195" s="127"/>
      <c r="P195" s="116"/>
      <c r="Q195" s="393"/>
      <c r="R195" s="660"/>
      <c r="S195" s="65">
        <f t="shared" si="54"/>
        <v>0</v>
      </c>
      <c r="T195" s="65" t="e">
        <f t="shared" si="53"/>
        <v>#DIV/0!</v>
      </c>
    </row>
    <row r="196" spans="1:20" s="152" customFormat="1" ht="15.75" hidden="1" thickBot="1" x14ac:dyDescent="0.3">
      <c r="A196" s="100"/>
      <c r="B196" s="75"/>
      <c r="C196" s="148"/>
      <c r="D196" s="101"/>
      <c r="E196" s="134"/>
      <c r="F196" s="445"/>
      <c r="G196" s="100"/>
      <c r="H196" s="368"/>
      <c r="I196" s="105">
        <f t="shared" si="48"/>
        <v>0</v>
      </c>
      <c r="J196" s="177"/>
      <c r="K196" s="108"/>
      <c r="L196" s="647"/>
      <c r="M196" s="71"/>
      <c r="N196" s="908"/>
      <c r="O196" s="127"/>
      <c r="P196" s="116"/>
      <c r="Q196" s="393"/>
      <c r="R196" s="660"/>
      <c r="S196" s="65">
        <f t="shared" si="54"/>
        <v>0</v>
      </c>
      <c r="T196" s="65" t="e">
        <f t="shared" si="53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45"/>
      <c r="G197" s="100"/>
      <c r="H197" s="368"/>
      <c r="I197" s="105">
        <f t="shared" si="48"/>
        <v>0</v>
      </c>
      <c r="J197" s="177"/>
      <c r="K197" s="108"/>
      <c r="L197" s="647"/>
      <c r="M197" s="71"/>
      <c r="N197" s="908"/>
      <c r="O197" s="127"/>
      <c r="P197" s="116"/>
      <c r="Q197" s="393"/>
      <c r="R197" s="660"/>
      <c r="S197" s="65">
        <f t="shared" si="54"/>
        <v>0</v>
      </c>
      <c r="T197" s="65" t="e">
        <f>S197/H197</f>
        <v>#DIV/0!</v>
      </c>
    </row>
    <row r="198" spans="1:20" s="152" customFormat="1" ht="15.75" hidden="1" thickBot="1" x14ac:dyDescent="0.3">
      <c r="A198" s="100"/>
      <c r="B198" s="75"/>
      <c r="C198" s="148"/>
      <c r="D198" s="153"/>
      <c r="E198" s="134"/>
      <c r="F198" s="445"/>
      <c r="G198" s="100"/>
      <c r="H198" s="368"/>
      <c r="I198" s="105">
        <f t="shared" si="48"/>
        <v>0</v>
      </c>
      <c r="J198" s="177"/>
      <c r="K198" s="108"/>
      <c r="L198" s="647"/>
      <c r="M198" s="71"/>
      <c r="N198" s="908"/>
      <c r="O198" s="127"/>
      <c r="P198" s="116"/>
      <c r="Q198" s="528"/>
      <c r="R198" s="657"/>
      <c r="S198" s="65">
        <f t="shared" si="54"/>
        <v>0</v>
      </c>
      <c r="T198" s="65" t="e">
        <f>S198/H198</f>
        <v>#DIV/0!</v>
      </c>
    </row>
    <row r="199" spans="1:20" s="152" customFormat="1" ht="15.75" hidden="1" thickBot="1" x14ac:dyDescent="0.3">
      <c r="A199" s="100"/>
      <c r="B199" s="75"/>
      <c r="C199" s="148"/>
      <c r="D199" s="153"/>
      <c r="E199" s="134"/>
      <c r="F199" s="445"/>
      <c r="G199" s="100"/>
      <c r="H199" s="368"/>
      <c r="I199" s="105">
        <f t="shared" si="48"/>
        <v>0</v>
      </c>
      <c r="J199" s="177"/>
      <c r="K199" s="108"/>
      <c r="L199" s="647"/>
      <c r="M199" s="71"/>
      <c r="N199" s="908"/>
      <c r="O199" s="127"/>
      <c r="P199" s="116"/>
      <c r="Q199" s="528"/>
      <c r="R199" s="661"/>
      <c r="S199" s="65">
        <f t="shared" si="54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95"/>
      <c r="D200" s="153"/>
      <c r="E200" s="452"/>
      <c r="F200" s="445"/>
      <c r="G200" s="100"/>
      <c r="H200" s="368"/>
      <c r="I200" s="105">
        <f t="shared" si="48"/>
        <v>0</v>
      </c>
      <c r="J200" s="129"/>
      <c r="K200" s="162"/>
      <c r="L200" s="648"/>
      <c r="M200" s="71"/>
      <c r="N200" s="909"/>
      <c r="O200" s="127"/>
      <c r="P200" s="95"/>
      <c r="Q200" s="393"/>
      <c r="R200" s="662"/>
      <c r="S200" s="65">
        <f>Q200+M200+K200</f>
        <v>0</v>
      </c>
      <c r="T200" s="65" t="e">
        <f>S200/H200+0.1</f>
        <v>#DIV/0!</v>
      </c>
    </row>
    <row r="201" spans="1:20" s="152" customFormat="1" ht="29.25" customHeight="1" thickTop="1" thickBot="1" x14ac:dyDescent="0.3">
      <c r="A201" s="100"/>
      <c r="B201" s="75"/>
      <c r="C201" s="95"/>
      <c r="D201" s="163"/>
      <c r="E201" s="134"/>
      <c r="F201" s="449" t="s">
        <v>31</v>
      </c>
      <c r="G201" s="72">
        <f>SUM(G5:G200)</f>
        <v>5328</v>
      </c>
      <c r="H201" s="369">
        <f>SUM(H3:H200)</f>
        <v>1426292.6100000006</v>
      </c>
      <c r="I201" s="467">
        <f>PIERNA!I37</f>
        <v>74.990000000001601</v>
      </c>
      <c r="J201" s="46"/>
      <c r="K201" s="164">
        <f>SUM(K5:K200)</f>
        <v>578910</v>
      </c>
      <c r="L201" s="649"/>
      <c r="M201" s="164">
        <f>SUM(M5:M200)</f>
        <v>1813776</v>
      </c>
      <c r="N201" s="910"/>
      <c r="O201" s="390"/>
      <c r="P201" s="117"/>
      <c r="Q201" s="529">
        <f>SUM(Q5:Q200)</f>
        <v>48569146.531050034</v>
      </c>
      <c r="R201" s="663"/>
      <c r="S201" s="167">
        <f>Q201+M201+K201</f>
        <v>50961832.531050034</v>
      </c>
      <c r="T201" s="65"/>
    </row>
    <row r="202" spans="1:20" s="152" customFormat="1" ht="15.75" thickTop="1" x14ac:dyDescent="0.25">
      <c r="B202" s="75"/>
      <c r="C202" s="75"/>
      <c r="D202" s="100"/>
      <c r="E202" s="134"/>
      <c r="F202" s="160"/>
      <c r="G202" s="100"/>
      <c r="H202" s="160"/>
      <c r="I202" s="75"/>
      <c r="J202" s="129"/>
      <c r="L202" s="650"/>
      <c r="N202" s="911"/>
      <c r="O202" s="161"/>
      <c r="P202" s="95"/>
      <c r="Q202" s="393"/>
      <c r="R202" s="479" t="s">
        <v>42</v>
      </c>
    </row>
  </sheetData>
  <sortState ref="A101:AC105">
    <sortCondition ref="E99:E100"/>
  </sortState>
  <mergeCells count="58">
    <mergeCell ref="R102:R103"/>
    <mergeCell ref="R145:R147"/>
    <mergeCell ref="P145:P147"/>
    <mergeCell ref="R107:R110"/>
    <mergeCell ref="E126:E128"/>
    <mergeCell ref="O126:O128"/>
    <mergeCell ref="R126:R128"/>
    <mergeCell ref="R160:R162"/>
    <mergeCell ref="P158:P159"/>
    <mergeCell ref="R158:R159"/>
    <mergeCell ref="R156:R157"/>
    <mergeCell ref="J124:J125"/>
    <mergeCell ref="R129:R134"/>
    <mergeCell ref="P140:P141"/>
    <mergeCell ref="R140:R141"/>
    <mergeCell ref="R124:R125"/>
    <mergeCell ref="O154:O155"/>
    <mergeCell ref="R154:R155"/>
    <mergeCell ref="P154:P155"/>
    <mergeCell ref="R149:R151"/>
    <mergeCell ref="P149:P151"/>
    <mergeCell ref="B107:B110"/>
    <mergeCell ref="O107:O110"/>
    <mergeCell ref="R114:R116"/>
    <mergeCell ref="P114:P116"/>
    <mergeCell ref="B136:B137"/>
    <mergeCell ref="E136:E137"/>
    <mergeCell ref="O136:O137"/>
    <mergeCell ref="B114:B116"/>
    <mergeCell ref="O114:O116"/>
    <mergeCell ref="B129:B134"/>
    <mergeCell ref="E129:E134"/>
    <mergeCell ref="B124:B125"/>
    <mergeCell ref="O124:O125"/>
    <mergeCell ref="O129:O134"/>
    <mergeCell ref="B126:B128"/>
    <mergeCell ref="D124:D125"/>
    <mergeCell ref="Q1:Q2"/>
    <mergeCell ref="K1:K2"/>
    <mergeCell ref="M1:M2"/>
    <mergeCell ref="B102:B103"/>
    <mergeCell ref="O102:O103"/>
    <mergeCell ref="B160:B162"/>
    <mergeCell ref="B140:B141"/>
    <mergeCell ref="O140:O141"/>
    <mergeCell ref="B145:B147"/>
    <mergeCell ref="E145:E147"/>
    <mergeCell ref="O145:O147"/>
    <mergeCell ref="B158:B159"/>
    <mergeCell ref="O158:O159"/>
    <mergeCell ref="B149:B151"/>
    <mergeCell ref="O149:O151"/>
    <mergeCell ref="E149:E151"/>
    <mergeCell ref="B156:B157"/>
    <mergeCell ref="E156:E157"/>
    <mergeCell ref="O156:O157"/>
    <mergeCell ref="B154:B155"/>
    <mergeCell ref="O160:O16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406" t="s">
        <v>52</v>
      </c>
      <c r="B5" s="1407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406"/>
      <c r="B6" s="1407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406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77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78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78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78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78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78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78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78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78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78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78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78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78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78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78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78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78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78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78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78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78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78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78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78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78">
        <f t="shared" si="1"/>
        <v>0</v>
      </c>
      <c r="C33" s="15"/>
      <c r="D33" s="69"/>
      <c r="E33" s="202"/>
      <c r="F33" s="1157">
        <f t="shared" si="0"/>
        <v>0</v>
      </c>
      <c r="G33" s="1158"/>
      <c r="H33" s="1159"/>
      <c r="I33" s="1155">
        <f t="shared" si="2"/>
        <v>-3.0199999999991576</v>
      </c>
    </row>
    <row r="34" spans="1:9" ht="15.75" thickBot="1" x14ac:dyDescent="0.3">
      <c r="A34" s="122"/>
      <c r="B34" s="1179"/>
      <c r="C34" s="52"/>
      <c r="D34" s="107"/>
      <c r="E34" s="196"/>
      <c r="F34" s="1187"/>
      <c r="G34" s="1188"/>
      <c r="H34" s="1174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8" t="s">
        <v>143</v>
      </c>
      <c r="B1" s="1398"/>
      <c r="C1" s="1398"/>
      <c r="D1" s="1398"/>
      <c r="E1" s="1398"/>
      <c r="F1" s="1398"/>
      <c r="G1" s="1398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406"/>
      <c r="B5" s="1408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406"/>
      <c r="B6" s="1408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7"/>
      <c r="F10" s="697">
        <f t="shared" ref="F10:F33" si="0">D10</f>
        <v>0</v>
      </c>
      <c r="G10" s="695"/>
      <c r="H10" s="696"/>
      <c r="I10" s="728">
        <f>E4+E5+E6+E7-F10+E8</f>
        <v>0</v>
      </c>
      <c r="J10" s="729"/>
    </row>
    <row r="11" spans="1:10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  <c r="J11" s="729"/>
    </row>
    <row r="12" spans="1:10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  <c r="J12" s="729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  <c r="J13" s="729"/>
    </row>
    <row r="14" spans="1:10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  <c r="J14" s="729"/>
    </row>
    <row r="15" spans="1:10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  <c r="J15" s="729"/>
    </row>
    <row r="16" spans="1:10" x14ac:dyDescent="0.25">
      <c r="B16" s="234">
        <f t="shared" si="1"/>
        <v>0</v>
      </c>
      <c r="C16" s="15"/>
      <c r="D16" s="69"/>
      <c r="E16" s="727"/>
      <c r="F16" s="697">
        <f t="shared" si="0"/>
        <v>0</v>
      </c>
      <c r="G16" s="695"/>
      <c r="H16" s="696"/>
      <c r="I16" s="728">
        <f t="shared" si="2"/>
        <v>0</v>
      </c>
      <c r="J16" s="729"/>
    </row>
    <row r="17" spans="1:10" x14ac:dyDescent="0.25">
      <c r="B17" s="234">
        <f t="shared" si="1"/>
        <v>0</v>
      </c>
      <c r="C17" s="15"/>
      <c r="D17" s="69"/>
      <c r="E17" s="727"/>
      <c r="F17" s="697">
        <f t="shared" si="0"/>
        <v>0</v>
      </c>
      <c r="G17" s="695"/>
      <c r="H17" s="696"/>
      <c r="I17" s="728">
        <f t="shared" si="2"/>
        <v>0</v>
      </c>
      <c r="J17" s="729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94" t="s">
        <v>322</v>
      </c>
      <c r="B1" s="1394"/>
      <c r="C1" s="1394"/>
      <c r="D1" s="1394"/>
      <c r="E1" s="1394"/>
      <c r="F1" s="1394"/>
      <c r="G1" s="1394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409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99" t="s">
        <v>52</v>
      </c>
      <c r="B5" s="1410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99"/>
      <c r="B6" s="1410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0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29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24">
        <v>106</v>
      </c>
      <c r="E14" s="825">
        <v>44869</v>
      </c>
      <c r="F14" s="824">
        <f t="shared" si="0"/>
        <v>106</v>
      </c>
      <c r="G14" s="826" t="s">
        <v>241</v>
      </c>
      <c r="H14" s="827">
        <v>86</v>
      </c>
      <c r="I14" s="60">
        <f t="shared" si="2"/>
        <v>1621.08</v>
      </c>
    </row>
    <row r="15" spans="1:9" x14ac:dyDescent="0.25">
      <c r="A15" s="73"/>
      <c r="B15" s="830">
        <f t="shared" si="1"/>
        <v>61</v>
      </c>
      <c r="C15" s="15">
        <v>4</v>
      </c>
      <c r="D15" s="824">
        <v>102.73</v>
      </c>
      <c r="E15" s="825">
        <v>44877</v>
      </c>
      <c r="F15" s="824">
        <f t="shared" si="0"/>
        <v>102.73</v>
      </c>
      <c r="G15" s="826" t="s">
        <v>269</v>
      </c>
      <c r="H15" s="827">
        <v>86</v>
      </c>
      <c r="I15" s="829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81">
        <v>44905</v>
      </c>
      <c r="F16" s="977">
        <f t="shared" si="0"/>
        <v>235.66</v>
      </c>
      <c r="G16" s="978" t="s">
        <v>666</v>
      </c>
      <c r="H16" s="979">
        <v>86</v>
      </c>
      <c r="I16" s="730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81">
        <v>44910</v>
      </c>
      <c r="F17" s="977">
        <f t="shared" si="0"/>
        <v>120.08</v>
      </c>
      <c r="G17" s="978" t="s">
        <v>719</v>
      </c>
      <c r="H17" s="979">
        <v>86</v>
      </c>
      <c r="I17" s="730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81"/>
      <c r="F18" s="977">
        <f t="shared" si="0"/>
        <v>0</v>
      </c>
      <c r="G18" s="978"/>
      <c r="H18" s="979"/>
      <c r="I18" s="730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81"/>
      <c r="F19" s="977">
        <f t="shared" si="0"/>
        <v>0</v>
      </c>
      <c r="G19" s="978"/>
      <c r="H19" s="979"/>
      <c r="I19" s="730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81"/>
      <c r="F20" s="977">
        <f t="shared" si="0"/>
        <v>0</v>
      </c>
      <c r="G20" s="978"/>
      <c r="H20" s="979"/>
      <c r="I20" s="730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81"/>
      <c r="F21" s="977">
        <f t="shared" si="0"/>
        <v>0</v>
      </c>
      <c r="G21" s="978"/>
      <c r="H21" s="979"/>
      <c r="I21" s="730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81"/>
      <c r="F22" s="977">
        <f t="shared" si="0"/>
        <v>0</v>
      </c>
      <c r="G22" s="978"/>
      <c r="H22" s="979"/>
      <c r="I22" s="730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81"/>
      <c r="F23" s="977">
        <f t="shared" si="0"/>
        <v>0</v>
      </c>
      <c r="G23" s="978"/>
      <c r="H23" s="979"/>
      <c r="I23" s="730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81"/>
      <c r="F24" s="977">
        <f t="shared" si="0"/>
        <v>0</v>
      </c>
      <c r="G24" s="978"/>
      <c r="H24" s="979"/>
      <c r="I24" s="730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81"/>
      <c r="F25" s="977">
        <f t="shared" si="0"/>
        <v>0</v>
      </c>
      <c r="G25" s="978"/>
      <c r="H25" s="979"/>
      <c r="I25" s="730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81"/>
      <c r="F26" s="977">
        <f t="shared" si="0"/>
        <v>0</v>
      </c>
      <c r="G26" s="978"/>
      <c r="H26" s="979"/>
      <c r="I26" s="730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81"/>
      <c r="F27" s="977">
        <v>0</v>
      </c>
      <c r="G27" s="978"/>
      <c r="H27" s="979"/>
      <c r="I27" s="730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6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6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99"/>
      <c r="B5" s="1411"/>
      <c r="C5" s="233"/>
      <c r="D5" s="134"/>
      <c r="E5" s="78"/>
      <c r="F5" s="62"/>
      <c r="G5" s="5"/>
      <c r="H5" t="s">
        <v>41</v>
      </c>
    </row>
    <row r="6" spans="1:9" ht="15.75" x14ac:dyDescent="0.25">
      <c r="A6" s="1399"/>
      <c r="B6" s="1411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7">
        <f t="shared" ref="F10:F33" si="0">D10</f>
        <v>0</v>
      </c>
      <c r="G10" s="695"/>
      <c r="H10" s="696"/>
      <c r="I10" s="728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7"/>
      <c r="F11" s="697">
        <f t="shared" si="0"/>
        <v>0</v>
      </c>
      <c r="G11" s="695"/>
      <c r="H11" s="696"/>
      <c r="I11" s="728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7"/>
      <c r="F12" s="697">
        <f t="shared" si="0"/>
        <v>0</v>
      </c>
      <c r="G12" s="695"/>
      <c r="H12" s="696"/>
      <c r="I12" s="728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7"/>
      <c r="F13" s="697">
        <f t="shared" si="0"/>
        <v>0</v>
      </c>
      <c r="G13" s="695"/>
      <c r="H13" s="696"/>
      <c r="I13" s="728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7"/>
      <c r="F14" s="697">
        <f t="shared" si="0"/>
        <v>0</v>
      </c>
      <c r="G14" s="695"/>
      <c r="H14" s="696"/>
      <c r="I14" s="728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7"/>
      <c r="F15" s="697">
        <f t="shared" si="0"/>
        <v>0</v>
      </c>
      <c r="G15" s="695"/>
      <c r="H15" s="696"/>
      <c r="I15" s="728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7">
        <f t="shared" si="0"/>
        <v>0</v>
      </c>
      <c r="G16" s="695"/>
      <c r="H16" s="696"/>
      <c r="I16" s="728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96" t="s">
        <v>11</v>
      </c>
      <c r="D40" s="139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94" t="s">
        <v>323</v>
      </c>
      <c r="B1" s="1394"/>
      <c r="C1" s="1394"/>
      <c r="D1" s="1394"/>
      <c r="E1" s="1394"/>
      <c r="F1" s="1394"/>
      <c r="G1" s="1394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406" t="s">
        <v>80</v>
      </c>
      <c r="B5" s="1411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406" t="s">
        <v>80</v>
      </c>
      <c r="L5" s="1411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406"/>
      <c r="B6" s="1412"/>
      <c r="C6" s="156">
        <v>40</v>
      </c>
      <c r="D6" s="149">
        <v>44873</v>
      </c>
      <c r="E6" s="132">
        <v>513.49</v>
      </c>
      <c r="F6" s="73">
        <v>28</v>
      </c>
      <c r="K6" s="1406"/>
      <c r="L6" s="1412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06">
        <v>8</v>
      </c>
      <c r="N10" s="697">
        <v>136.93</v>
      </c>
      <c r="O10" s="831">
        <v>44932</v>
      </c>
      <c r="P10" s="731">
        <f t="shared" si="2"/>
        <v>136.93</v>
      </c>
      <c r="Q10" s="695" t="s">
        <v>902</v>
      </c>
      <c r="R10" s="696">
        <v>40</v>
      </c>
      <c r="S10" s="832">
        <f>S9-P10</f>
        <v>236.2</v>
      </c>
    </row>
    <row r="11" spans="1:19" ht="15" customHeight="1" x14ac:dyDescent="0.25">
      <c r="A11" s="55" t="s">
        <v>33</v>
      </c>
      <c r="B11" s="969">
        <f t="shared" si="3"/>
        <v>29</v>
      </c>
      <c r="C11" s="970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68">
        <f t="shared" ref="I11:I34" si="5">I10-F11</f>
        <v>533.27</v>
      </c>
      <c r="K11" s="55" t="s">
        <v>33</v>
      </c>
      <c r="L11" s="532">
        <f t="shared" si="4"/>
        <v>13</v>
      </c>
      <c r="M11" s="970"/>
      <c r="N11" s="697"/>
      <c r="O11" s="831"/>
      <c r="P11" s="731">
        <f t="shared" si="2"/>
        <v>0</v>
      </c>
      <c r="Q11" s="695"/>
      <c r="R11" s="696"/>
      <c r="S11" s="832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5">
        <v>44893</v>
      </c>
      <c r="F12" s="736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06"/>
      <c r="N12" s="697"/>
      <c r="O12" s="831"/>
      <c r="P12" s="731">
        <f t="shared" si="2"/>
        <v>0</v>
      </c>
      <c r="Q12" s="695"/>
      <c r="R12" s="696"/>
      <c r="S12" s="832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5">
        <v>44895</v>
      </c>
      <c r="F13" s="736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06"/>
      <c r="N13" s="697"/>
      <c r="O13" s="831"/>
      <c r="P13" s="731">
        <f t="shared" si="2"/>
        <v>0</v>
      </c>
      <c r="Q13" s="695"/>
      <c r="R13" s="696"/>
      <c r="S13" s="832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5">
        <v>44902</v>
      </c>
      <c r="F14" s="736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70"/>
      <c r="N14" s="697"/>
      <c r="O14" s="831"/>
      <c r="P14" s="731">
        <f t="shared" si="2"/>
        <v>0</v>
      </c>
      <c r="Q14" s="695"/>
      <c r="R14" s="696"/>
      <c r="S14" s="832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5">
        <v>44911</v>
      </c>
      <c r="F15" s="736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5">
        <v>44912</v>
      </c>
      <c r="F16" s="736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5">
        <v>44916</v>
      </c>
      <c r="F17" s="736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5"/>
      <c r="F18" s="1175">
        <f t="shared" si="7"/>
        <v>0</v>
      </c>
      <c r="G18" s="1153"/>
      <c r="H18" s="1154"/>
      <c r="I18" s="1192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5"/>
      <c r="F19" s="1175">
        <f t="shared" si="7"/>
        <v>0</v>
      </c>
      <c r="G19" s="1153"/>
      <c r="H19" s="1154"/>
      <c r="I19" s="1192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5"/>
      <c r="F20" s="1175">
        <f t="shared" si="7"/>
        <v>0</v>
      </c>
      <c r="G20" s="1153"/>
      <c r="H20" s="1154"/>
      <c r="I20" s="1192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5"/>
      <c r="F21" s="1175">
        <f t="shared" si="7"/>
        <v>0</v>
      </c>
      <c r="G21" s="1153"/>
      <c r="H21" s="1154"/>
      <c r="I21" s="1192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5"/>
      <c r="F22" s="736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5"/>
      <c r="F23" s="736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5"/>
      <c r="F24" s="736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5"/>
      <c r="F25" s="736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82"/>
      <c r="F26" s="983">
        <f>D26</f>
        <v>0</v>
      </c>
      <c r="G26" s="978"/>
      <c r="H26" s="979"/>
      <c r="I26" s="832">
        <f t="shared" si="5"/>
        <v>0</v>
      </c>
      <c r="L26" s="533">
        <f t="shared" si="4"/>
        <v>13</v>
      </c>
      <c r="M26" s="15"/>
      <c r="N26" s="69"/>
      <c r="O26" s="831"/>
      <c r="P26" s="731">
        <f>N26</f>
        <v>0</v>
      </c>
      <c r="Q26" s="695"/>
      <c r="R26" s="696"/>
      <c r="S26" s="832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82"/>
      <c r="F27" s="983">
        <f t="shared" si="7"/>
        <v>0</v>
      </c>
      <c r="G27" s="978"/>
      <c r="H27" s="979"/>
      <c r="I27" s="832">
        <f t="shared" si="5"/>
        <v>0</v>
      </c>
      <c r="L27" s="533">
        <f t="shared" si="4"/>
        <v>13</v>
      </c>
      <c r="M27" s="15"/>
      <c r="N27" s="69">
        <v>0</v>
      </c>
      <c r="O27" s="831"/>
      <c r="P27" s="731">
        <f t="shared" ref="P27:P35" si="8">N27</f>
        <v>0</v>
      </c>
      <c r="Q27" s="695"/>
      <c r="R27" s="696"/>
      <c r="S27" s="832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82"/>
      <c r="F28" s="983">
        <f t="shared" si="7"/>
        <v>0</v>
      </c>
      <c r="G28" s="978"/>
      <c r="H28" s="979"/>
      <c r="I28" s="832">
        <f t="shared" si="5"/>
        <v>0</v>
      </c>
      <c r="K28" s="47"/>
      <c r="L28" s="533">
        <f t="shared" si="4"/>
        <v>13</v>
      </c>
      <c r="M28" s="15"/>
      <c r="N28" s="69">
        <v>0</v>
      </c>
      <c r="O28" s="831"/>
      <c r="P28" s="731">
        <f t="shared" si="8"/>
        <v>0</v>
      </c>
      <c r="Q28" s="695"/>
      <c r="R28" s="696"/>
      <c r="S28" s="832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82"/>
      <c r="F29" s="983">
        <f t="shared" si="7"/>
        <v>0</v>
      </c>
      <c r="G29" s="978"/>
      <c r="H29" s="979"/>
      <c r="I29" s="832">
        <f t="shared" si="5"/>
        <v>0</v>
      </c>
      <c r="K29" s="47"/>
      <c r="L29" s="533">
        <f t="shared" si="4"/>
        <v>13</v>
      </c>
      <c r="M29" s="15"/>
      <c r="N29" s="69">
        <v>0</v>
      </c>
      <c r="O29" s="831"/>
      <c r="P29" s="731">
        <f t="shared" si="8"/>
        <v>0</v>
      </c>
      <c r="Q29" s="695"/>
      <c r="R29" s="696"/>
      <c r="S29" s="832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82"/>
      <c r="F30" s="983">
        <f t="shared" si="7"/>
        <v>0</v>
      </c>
      <c r="G30" s="978"/>
      <c r="H30" s="979"/>
      <c r="I30" s="832">
        <f t="shared" si="5"/>
        <v>0</v>
      </c>
      <c r="K30" s="47"/>
      <c r="L30" s="533">
        <f t="shared" si="4"/>
        <v>13</v>
      </c>
      <c r="M30" s="15"/>
      <c r="N30" s="69">
        <v>0</v>
      </c>
      <c r="O30" s="831"/>
      <c r="P30" s="731">
        <f t="shared" si="8"/>
        <v>0</v>
      </c>
      <c r="Q30" s="695"/>
      <c r="R30" s="696"/>
      <c r="S30" s="832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5"/>
      <c r="F31" s="736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5"/>
      <c r="F32" s="736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89" t="s">
        <v>21</v>
      </c>
      <c r="E38" s="1390"/>
      <c r="F38" s="141">
        <f>E4+E5-F36+E6</f>
        <v>0</v>
      </c>
      <c r="L38" s="531"/>
      <c r="N38" s="1389" t="s">
        <v>21</v>
      </c>
      <c r="O38" s="1390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02" t="s">
        <v>4</v>
      </c>
      <c r="O39" s="1103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99"/>
      <c r="B5" s="1413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99"/>
      <c r="B6" s="1414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1">
        <f t="shared" si="0"/>
        <v>0</v>
      </c>
      <c r="G9" s="695"/>
      <c r="H9" s="696"/>
      <c r="I9" s="732">
        <f>I8-F9</f>
        <v>0</v>
      </c>
      <c r="J9" s="733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1">
        <f t="shared" si="0"/>
        <v>0</v>
      </c>
      <c r="G10" s="695"/>
      <c r="H10" s="696"/>
      <c r="I10" s="732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1">
        <f t="shared" si="0"/>
        <v>0</v>
      </c>
      <c r="G11" s="695"/>
      <c r="H11" s="696"/>
      <c r="I11" s="732">
        <f t="shared" si="3"/>
        <v>0</v>
      </c>
      <c r="J11" s="733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1">
        <f t="shared" si="0"/>
        <v>0</v>
      </c>
      <c r="G12" s="695"/>
      <c r="H12" s="696"/>
      <c r="I12" s="732">
        <f t="shared" si="3"/>
        <v>0</v>
      </c>
      <c r="J12" s="733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1">
        <f t="shared" si="0"/>
        <v>0</v>
      </c>
      <c r="G13" s="695"/>
      <c r="H13" s="696"/>
      <c r="I13" s="732">
        <f t="shared" si="3"/>
        <v>0</v>
      </c>
      <c r="J13" s="733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1">
        <f t="shared" si="0"/>
        <v>0</v>
      </c>
      <c r="G14" s="695"/>
      <c r="H14" s="696"/>
      <c r="I14" s="732">
        <f t="shared" si="3"/>
        <v>0</v>
      </c>
      <c r="J14" s="733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9" t="s">
        <v>21</v>
      </c>
      <c r="E42" s="1390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99" t="s">
        <v>97</v>
      </c>
      <c r="B5" s="1415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99"/>
      <c r="B6" s="1416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9" t="s">
        <v>21</v>
      </c>
      <c r="E31" s="1390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7" t="s">
        <v>85</v>
      </c>
      <c r="C4" s="128"/>
      <c r="D4" s="134"/>
      <c r="E4" s="180"/>
      <c r="F4" s="137"/>
      <c r="G4" s="38"/>
    </row>
    <row r="5" spans="1:15" ht="15.75" x14ac:dyDescent="0.25">
      <c r="A5" s="1399"/>
      <c r="B5" s="1415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99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89" t="s">
        <v>21</v>
      </c>
      <c r="E31" s="1390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89" t="s">
        <v>21</v>
      </c>
      <c r="E31" s="1390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3"/>
      <c r="B1" s="1383"/>
      <c r="C1" s="1383"/>
      <c r="D1" s="1383"/>
      <c r="E1" s="1383"/>
      <c r="F1" s="1383"/>
      <c r="G1" s="1383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6" t="s">
        <v>95</v>
      </c>
      <c r="B5" s="1418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6"/>
      <c r="B6" s="1418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9" t="s">
        <v>21</v>
      </c>
      <c r="E32" s="1390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85" t="s">
        <v>318</v>
      </c>
      <c r="L1" s="1385"/>
      <c r="M1" s="1385"/>
      <c r="N1" s="1385"/>
      <c r="O1" s="1385"/>
      <c r="P1" s="1385"/>
      <c r="Q1" s="1385"/>
      <c r="R1" s="268">
        <f>I1+1</f>
        <v>1</v>
      </c>
      <c r="S1" s="268"/>
      <c r="U1" s="1383" t="str">
        <f>K1</f>
        <v>ENTRADA DEL MES DE    DICIEMBRE    2022</v>
      </c>
      <c r="V1" s="1383"/>
      <c r="W1" s="1383"/>
      <c r="X1" s="1383"/>
      <c r="Y1" s="1383"/>
      <c r="Z1" s="1383"/>
      <c r="AA1" s="1383"/>
      <c r="AB1" s="268">
        <f>R1+1</f>
        <v>2</v>
      </c>
      <c r="AC1" s="394"/>
      <c r="AE1" s="1383" t="str">
        <f>U1</f>
        <v>ENTRADA DEL MES DE    DICIEMBRE    2022</v>
      </c>
      <c r="AF1" s="1383"/>
      <c r="AG1" s="1383"/>
      <c r="AH1" s="1383"/>
      <c r="AI1" s="1383"/>
      <c r="AJ1" s="1383"/>
      <c r="AK1" s="1383"/>
      <c r="AL1" s="268">
        <f>AB1+1</f>
        <v>3</v>
      </c>
      <c r="AM1" s="268"/>
      <c r="AO1" s="1383" t="str">
        <f>AE1</f>
        <v>ENTRADA DEL MES DE    DICIEMBRE    2022</v>
      </c>
      <c r="AP1" s="1383"/>
      <c r="AQ1" s="1383"/>
      <c r="AR1" s="1383"/>
      <c r="AS1" s="1383"/>
      <c r="AT1" s="1383"/>
      <c r="AU1" s="1383"/>
      <c r="AV1" s="268">
        <f>AL1+1</f>
        <v>4</v>
      </c>
      <c r="AW1" s="394"/>
      <c r="AY1" s="1383" t="str">
        <f>AO1</f>
        <v>ENTRADA DEL MES DE    DICIEMBRE    2022</v>
      </c>
      <c r="AZ1" s="1383"/>
      <c r="BA1" s="1383"/>
      <c r="BB1" s="1383"/>
      <c r="BC1" s="1383"/>
      <c r="BD1" s="1383"/>
      <c r="BE1" s="1383"/>
      <c r="BF1" s="268">
        <f>AV1+1</f>
        <v>5</v>
      </c>
      <c r="BG1" s="410"/>
      <c r="BI1" s="1383" t="str">
        <f>AY1</f>
        <v>ENTRADA DEL MES DE    DICIEMBRE    2022</v>
      </c>
      <c r="BJ1" s="1383"/>
      <c r="BK1" s="1383"/>
      <c r="BL1" s="1383"/>
      <c r="BM1" s="1383"/>
      <c r="BN1" s="1383"/>
      <c r="BO1" s="1383"/>
      <c r="BP1" s="268">
        <f>BF1+1</f>
        <v>6</v>
      </c>
      <c r="BQ1" s="394"/>
      <c r="BS1" s="1383" t="str">
        <f>BI1</f>
        <v>ENTRADA DEL MES DE    DICIEMBRE    2022</v>
      </c>
      <c r="BT1" s="1383"/>
      <c r="BU1" s="1383"/>
      <c r="BV1" s="1383"/>
      <c r="BW1" s="1383"/>
      <c r="BX1" s="1383"/>
      <c r="BY1" s="1383"/>
      <c r="BZ1" s="268">
        <f>BP1+1</f>
        <v>7</v>
      </c>
      <c r="CC1" s="1383" t="str">
        <f>BS1</f>
        <v>ENTRADA DEL MES DE    DICIEMBRE    2022</v>
      </c>
      <c r="CD1" s="1383"/>
      <c r="CE1" s="1383"/>
      <c r="CF1" s="1383"/>
      <c r="CG1" s="1383"/>
      <c r="CH1" s="1383"/>
      <c r="CI1" s="1383"/>
      <c r="CJ1" s="268">
        <f>BZ1+1</f>
        <v>8</v>
      </c>
      <c r="CM1" s="1383" t="str">
        <f>CC1</f>
        <v>ENTRADA DEL MES DE    DICIEMBRE    2022</v>
      </c>
      <c r="CN1" s="1383"/>
      <c r="CO1" s="1383"/>
      <c r="CP1" s="1383"/>
      <c r="CQ1" s="1383"/>
      <c r="CR1" s="1383"/>
      <c r="CS1" s="1383"/>
      <c r="CT1" s="268">
        <f>CJ1+1</f>
        <v>9</v>
      </c>
      <c r="CU1" s="394"/>
      <c r="CW1" s="1383" t="str">
        <f>CM1</f>
        <v>ENTRADA DEL MES DE    DICIEMBRE    2022</v>
      </c>
      <c r="CX1" s="1383"/>
      <c r="CY1" s="1383"/>
      <c r="CZ1" s="1383"/>
      <c r="DA1" s="1383"/>
      <c r="DB1" s="1383"/>
      <c r="DC1" s="1383"/>
      <c r="DD1" s="268">
        <f>CT1+1</f>
        <v>10</v>
      </c>
      <c r="DE1" s="394"/>
      <c r="DG1" s="1383" t="str">
        <f>CW1</f>
        <v>ENTRADA DEL MES DE    DICIEMBRE    2022</v>
      </c>
      <c r="DH1" s="1383"/>
      <c r="DI1" s="1383"/>
      <c r="DJ1" s="1383"/>
      <c r="DK1" s="1383"/>
      <c r="DL1" s="1383"/>
      <c r="DM1" s="1383"/>
      <c r="DN1" s="268">
        <f>DD1+1</f>
        <v>11</v>
      </c>
      <c r="DO1" s="394"/>
      <c r="DQ1" s="1383" t="str">
        <f>DG1</f>
        <v>ENTRADA DEL MES DE    DICIEMBRE    2022</v>
      </c>
      <c r="DR1" s="1383"/>
      <c r="DS1" s="1383"/>
      <c r="DT1" s="1383"/>
      <c r="DU1" s="1383"/>
      <c r="DV1" s="1383"/>
      <c r="DW1" s="1383"/>
      <c r="DX1" s="268">
        <f>DN1+1</f>
        <v>12</v>
      </c>
      <c r="EA1" s="1383" t="str">
        <f>DQ1</f>
        <v>ENTRADA DEL MES DE    DICIEMBRE    2022</v>
      </c>
      <c r="EB1" s="1383"/>
      <c r="EC1" s="1383"/>
      <c r="ED1" s="1383"/>
      <c r="EE1" s="1383"/>
      <c r="EF1" s="1383"/>
      <c r="EG1" s="1383"/>
      <c r="EH1" s="268">
        <f>DX1+1</f>
        <v>13</v>
      </c>
      <c r="EI1" s="394"/>
      <c r="EK1" s="1383" t="str">
        <f>EA1</f>
        <v>ENTRADA DEL MES DE    DICIEMBRE    2022</v>
      </c>
      <c r="EL1" s="1383"/>
      <c r="EM1" s="1383"/>
      <c r="EN1" s="1383"/>
      <c r="EO1" s="1383"/>
      <c r="EP1" s="1383"/>
      <c r="EQ1" s="1383"/>
      <c r="ER1" s="268">
        <f>EH1+1</f>
        <v>14</v>
      </c>
      <c r="ES1" s="394"/>
      <c r="EU1" s="1383" t="str">
        <f>EK1</f>
        <v>ENTRADA DEL MES DE    DICIEMBRE    2022</v>
      </c>
      <c r="EV1" s="1383"/>
      <c r="EW1" s="1383"/>
      <c r="EX1" s="1383"/>
      <c r="EY1" s="1383"/>
      <c r="EZ1" s="1383"/>
      <c r="FA1" s="1383"/>
      <c r="FB1" s="268">
        <f>ER1+1</f>
        <v>15</v>
      </c>
      <c r="FC1" s="394"/>
      <c r="FE1" s="1383" t="str">
        <f>EU1</f>
        <v>ENTRADA DEL MES DE    DICIEMBRE    2022</v>
      </c>
      <c r="FF1" s="1383"/>
      <c r="FG1" s="1383"/>
      <c r="FH1" s="1383"/>
      <c r="FI1" s="1383"/>
      <c r="FJ1" s="1383"/>
      <c r="FK1" s="1383"/>
      <c r="FL1" s="268">
        <f>FB1+1</f>
        <v>16</v>
      </c>
      <c r="FM1" s="394"/>
      <c r="FO1" s="1383" t="str">
        <f>FE1</f>
        <v>ENTRADA DEL MES DE    DICIEMBRE    2022</v>
      </c>
      <c r="FP1" s="1383"/>
      <c r="FQ1" s="1383"/>
      <c r="FR1" s="1383"/>
      <c r="FS1" s="1383"/>
      <c r="FT1" s="1383"/>
      <c r="FU1" s="1383"/>
      <c r="FV1" s="268">
        <f>FL1+1</f>
        <v>17</v>
      </c>
      <c r="FW1" s="394"/>
      <c r="FY1" s="1383" t="str">
        <f>FO1</f>
        <v>ENTRADA DEL MES DE    DICIEMBRE    2022</v>
      </c>
      <c r="FZ1" s="1383"/>
      <c r="GA1" s="1383"/>
      <c r="GB1" s="1383"/>
      <c r="GC1" s="1383"/>
      <c r="GD1" s="1383"/>
      <c r="GE1" s="1383"/>
      <c r="GF1" s="268">
        <f>FV1+1</f>
        <v>18</v>
      </c>
      <c r="GG1" s="394"/>
      <c r="GH1" s="75" t="s">
        <v>37</v>
      </c>
      <c r="GI1" s="1383" t="str">
        <f>FY1</f>
        <v>ENTRADA DEL MES DE    DICIEMBRE    2022</v>
      </c>
      <c r="GJ1" s="1383"/>
      <c r="GK1" s="1383"/>
      <c r="GL1" s="1383"/>
      <c r="GM1" s="1383"/>
      <c r="GN1" s="1383"/>
      <c r="GO1" s="1383"/>
      <c r="GP1" s="268">
        <f>GF1+1</f>
        <v>19</v>
      </c>
      <c r="GQ1" s="394"/>
      <c r="GS1" s="1383" t="str">
        <f>GI1</f>
        <v>ENTRADA DEL MES DE    DICIEMBRE    2022</v>
      </c>
      <c r="GT1" s="1383"/>
      <c r="GU1" s="1383"/>
      <c r="GV1" s="1383"/>
      <c r="GW1" s="1383"/>
      <c r="GX1" s="1383"/>
      <c r="GY1" s="1383"/>
      <c r="GZ1" s="268">
        <f>GP1+1</f>
        <v>20</v>
      </c>
      <c r="HA1" s="394"/>
      <c r="HC1" s="1383" t="str">
        <f>GS1</f>
        <v>ENTRADA DEL MES DE    DICIEMBRE    2022</v>
      </c>
      <c r="HD1" s="1383"/>
      <c r="HE1" s="1383"/>
      <c r="HF1" s="1383"/>
      <c r="HG1" s="1383"/>
      <c r="HH1" s="1383"/>
      <c r="HI1" s="1383"/>
      <c r="HJ1" s="268">
        <f>GZ1+1</f>
        <v>21</v>
      </c>
      <c r="HK1" s="394"/>
      <c r="HM1" s="1383" t="str">
        <f>HC1</f>
        <v>ENTRADA DEL MES DE    DICIEMBRE    2022</v>
      </c>
      <c r="HN1" s="1383"/>
      <c r="HO1" s="1383"/>
      <c r="HP1" s="1383"/>
      <c r="HQ1" s="1383"/>
      <c r="HR1" s="1383"/>
      <c r="HS1" s="1383"/>
      <c r="HT1" s="268">
        <f>HJ1+1</f>
        <v>22</v>
      </c>
      <c r="HU1" s="394"/>
      <c r="HW1" s="1383" t="str">
        <f>HM1</f>
        <v>ENTRADA DEL MES DE    DICIEMBRE    2022</v>
      </c>
      <c r="HX1" s="1383"/>
      <c r="HY1" s="1383"/>
      <c r="HZ1" s="1383"/>
      <c r="IA1" s="1383"/>
      <c r="IB1" s="1383"/>
      <c r="IC1" s="1383"/>
      <c r="ID1" s="268">
        <f>HT1+1</f>
        <v>23</v>
      </c>
      <c r="IE1" s="394"/>
      <c r="IG1" s="1383" t="str">
        <f>HW1</f>
        <v>ENTRADA DEL MES DE    DICIEMBRE    2022</v>
      </c>
      <c r="IH1" s="1383"/>
      <c r="II1" s="1383"/>
      <c r="IJ1" s="1383"/>
      <c r="IK1" s="1383"/>
      <c r="IL1" s="1383"/>
      <c r="IM1" s="1383"/>
      <c r="IN1" s="268">
        <f>ID1+1</f>
        <v>24</v>
      </c>
      <c r="IO1" s="394"/>
      <c r="IQ1" s="1383" t="str">
        <f>IG1</f>
        <v>ENTRADA DEL MES DE    DICIEMBRE    2022</v>
      </c>
      <c r="IR1" s="1383"/>
      <c r="IS1" s="1383"/>
      <c r="IT1" s="1383"/>
      <c r="IU1" s="1383"/>
      <c r="IV1" s="1383"/>
      <c r="IW1" s="1383"/>
      <c r="IX1" s="268">
        <f>IN1+1</f>
        <v>25</v>
      </c>
      <c r="IY1" s="394"/>
      <c r="JA1" s="1383" t="str">
        <f>IQ1</f>
        <v>ENTRADA DEL MES DE    DICIEMBRE    2022</v>
      </c>
      <c r="JB1" s="1383"/>
      <c r="JC1" s="1383"/>
      <c r="JD1" s="1383"/>
      <c r="JE1" s="1383"/>
      <c r="JF1" s="1383"/>
      <c r="JG1" s="1383"/>
      <c r="JH1" s="268">
        <f>IX1+1</f>
        <v>26</v>
      </c>
      <c r="JI1" s="394"/>
      <c r="JK1" s="1393" t="str">
        <f>JA1</f>
        <v>ENTRADA DEL MES DE    DICIEMBRE    2022</v>
      </c>
      <c r="JL1" s="1393"/>
      <c r="JM1" s="1393"/>
      <c r="JN1" s="1393"/>
      <c r="JO1" s="1393"/>
      <c r="JP1" s="1393"/>
      <c r="JQ1" s="1393"/>
      <c r="JR1" s="268">
        <f>JH1+1</f>
        <v>27</v>
      </c>
      <c r="JS1" s="394"/>
      <c r="JU1" s="1383" t="str">
        <f>JK1</f>
        <v>ENTRADA DEL MES DE    DICIEMBRE    2022</v>
      </c>
      <c r="JV1" s="1383"/>
      <c r="JW1" s="1383"/>
      <c r="JX1" s="1383"/>
      <c r="JY1" s="1383"/>
      <c r="JZ1" s="1383"/>
      <c r="KA1" s="1383"/>
      <c r="KB1" s="268">
        <f>JR1+1</f>
        <v>28</v>
      </c>
      <c r="KC1" s="394"/>
      <c r="KE1" s="1383" t="str">
        <f>JU1</f>
        <v>ENTRADA DEL MES DE    DICIEMBRE    2022</v>
      </c>
      <c r="KF1" s="1383"/>
      <c r="KG1" s="1383"/>
      <c r="KH1" s="1383"/>
      <c r="KI1" s="1383"/>
      <c r="KJ1" s="1383"/>
      <c r="KK1" s="1383"/>
      <c r="KL1" s="268">
        <f>KB1+1</f>
        <v>29</v>
      </c>
      <c r="KM1" s="394"/>
      <c r="KO1" s="1383" t="str">
        <f>KE1</f>
        <v>ENTRADA DEL MES DE    DICIEMBRE    2022</v>
      </c>
      <c r="KP1" s="1383"/>
      <c r="KQ1" s="1383"/>
      <c r="KR1" s="1383"/>
      <c r="KS1" s="1383"/>
      <c r="KT1" s="1383"/>
      <c r="KU1" s="1383"/>
      <c r="KV1" s="268">
        <f>KL1+1</f>
        <v>30</v>
      </c>
      <c r="KW1" s="394"/>
      <c r="KY1" s="1383" t="str">
        <f>KO1</f>
        <v>ENTRADA DEL MES DE    DICIEMBRE    2022</v>
      </c>
      <c r="KZ1" s="1383"/>
      <c r="LA1" s="1383"/>
      <c r="LB1" s="1383"/>
      <c r="LC1" s="1383"/>
      <c r="LD1" s="1383"/>
      <c r="LE1" s="1383"/>
      <c r="LF1" s="268">
        <f>KV1+1</f>
        <v>31</v>
      </c>
      <c r="LG1" s="394"/>
      <c r="LI1" s="1383" t="str">
        <f>KY1</f>
        <v>ENTRADA DEL MES DE    DICIEMBRE    2022</v>
      </c>
      <c r="LJ1" s="1383"/>
      <c r="LK1" s="1383"/>
      <c r="LL1" s="1383"/>
      <c r="LM1" s="1383"/>
      <c r="LN1" s="1383"/>
      <c r="LO1" s="1383"/>
      <c r="LP1" s="268">
        <f>LF1+1</f>
        <v>32</v>
      </c>
      <c r="LQ1" s="394"/>
      <c r="LS1" s="1383" t="str">
        <f>LI1</f>
        <v>ENTRADA DEL MES DE    DICIEMBRE    2022</v>
      </c>
      <c r="LT1" s="1383"/>
      <c r="LU1" s="1383"/>
      <c r="LV1" s="1383"/>
      <c r="LW1" s="1383"/>
      <c r="LX1" s="1383"/>
      <c r="LY1" s="1383"/>
      <c r="LZ1" s="268">
        <f>LP1+1</f>
        <v>33</v>
      </c>
      <c r="MC1" s="1383" t="str">
        <f>LS1</f>
        <v>ENTRADA DEL MES DE    DICIEMBRE    2022</v>
      </c>
      <c r="MD1" s="1383"/>
      <c r="ME1" s="1383"/>
      <c r="MF1" s="1383"/>
      <c r="MG1" s="1383"/>
      <c r="MH1" s="1383"/>
      <c r="MI1" s="1383"/>
      <c r="MJ1" s="268">
        <f>LZ1+1</f>
        <v>34</v>
      </c>
      <c r="MK1" s="268"/>
      <c r="MM1" s="1383" t="str">
        <f>MC1</f>
        <v>ENTRADA DEL MES DE    DICIEMBRE    2022</v>
      </c>
      <c r="MN1" s="1383"/>
      <c r="MO1" s="1383"/>
      <c r="MP1" s="1383"/>
      <c r="MQ1" s="1383"/>
      <c r="MR1" s="1383"/>
      <c r="MS1" s="1383"/>
      <c r="MT1" s="268">
        <f>MJ1+1</f>
        <v>35</v>
      </c>
      <c r="MU1" s="268"/>
      <c r="MW1" s="1383" t="str">
        <f>MM1</f>
        <v>ENTRADA DEL MES DE    DICIEMBRE    2022</v>
      </c>
      <c r="MX1" s="1383"/>
      <c r="MY1" s="1383"/>
      <c r="MZ1" s="1383"/>
      <c r="NA1" s="1383"/>
      <c r="NB1" s="1383"/>
      <c r="NC1" s="1383"/>
      <c r="ND1" s="268">
        <f>MT1+1</f>
        <v>36</v>
      </c>
      <c r="NE1" s="268"/>
      <c r="NG1" s="1383" t="str">
        <f>MW1</f>
        <v>ENTRADA DEL MES DE    DICIEMBRE    2022</v>
      </c>
      <c r="NH1" s="1383"/>
      <c r="NI1" s="1383"/>
      <c r="NJ1" s="1383"/>
      <c r="NK1" s="1383"/>
      <c r="NL1" s="1383"/>
      <c r="NM1" s="1383"/>
      <c r="NN1" s="268">
        <f>ND1+1</f>
        <v>37</v>
      </c>
      <c r="NO1" s="268"/>
      <c r="NQ1" s="1383" t="str">
        <f>NG1</f>
        <v>ENTRADA DEL MES DE    DICIEMBRE    2022</v>
      </c>
      <c r="NR1" s="1383"/>
      <c r="NS1" s="1383"/>
      <c r="NT1" s="1383"/>
      <c r="NU1" s="1383"/>
      <c r="NV1" s="1383"/>
      <c r="NW1" s="1383"/>
      <c r="NX1" s="268">
        <f>NN1+1</f>
        <v>38</v>
      </c>
      <c r="NY1" s="268"/>
      <c r="OA1" s="1383" t="str">
        <f>NQ1</f>
        <v>ENTRADA DEL MES DE    DICIEMBRE    2022</v>
      </c>
      <c r="OB1" s="1383"/>
      <c r="OC1" s="1383"/>
      <c r="OD1" s="1383"/>
      <c r="OE1" s="1383"/>
      <c r="OF1" s="1383"/>
      <c r="OG1" s="1383"/>
      <c r="OH1" s="268">
        <f>NX1+1</f>
        <v>39</v>
      </c>
      <c r="OI1" s="268"/>
      <c r="OK1" s="1383" t="str">
        <f>OA1</f>
        <v>ENTRADA DEL MES DE    DICIEMBRE    2022</v>
      </c>
      <c r="OL1" s="1383"/>
      <c r="OM1" s="1383"/>
      <c r="ON1" s="1383"/>
      <c r="OO1" s="1383"/>
      <c r="OP1" s="1383"/>
      <c r="OQ1" s="1383"/>
      <c r="OR1" s="268">
        <f>OH1+1</f>
        <v>40</v>
      </c>
      <c r="OS1" s="268"/>
      <c r="OU1" s="1383" t="str">
        <f>OK1</f>
        <v>ENTRADA DEL MES DE    DICIEMBRE    2022</v>
      </c>
      <c r="OV1" s="1383"/>
      <c r="OW1" s="1383"/>
      <c r="OX1" s="1383"/>
      <c r="OY1" s="1383"/>
      <c r="OZ1" s="1383"/>
      <c r="PA1" s="1383"/>
      <c r="PB1" s="268">
        <f>OR1+1</f>
        <v>41</v>
      </c>
      <c r="PC1" s="268"/>
      <c r="PE1" s="1383" t="str">
        <f>OU1</f>
        <v>ENTRADA DEL MES DE    DICIEMBRE    2022</v>
      </c>
      <c r="PF1" s="1383"/>
      <c r="PG1" s="1383"/>
      <c r="PH1" s="1383"/>
      <c r="PI1" s="1383"/>
      <c r="PJ1" s="1383"/>
      <c r="PK1" s="1383"/>
      <c r="PL1" s="268">
        <f>PB1+1</f>
        <v>42</v>
      </c>
      <c r="PM1" s="268"/>
      <c r="PN1" s="268"/>
      <c r="PP1" s="1383" t="str">
        <f>PE1</f>
        <v>ENTRADA DEL MES DE    DICIEMBRE    2022</v>
      </c>
      <c r="PQ1" s="1383"/>
      <c r="PR1" s="1383"/>
      <c r="PS1" s="1383"/>
      <c r="PT1" s="1383"/>
      <c r="PU1" s="1383"/>
      <c r="PV1" s="1383"/>
      <c r="PW1" s="268">
        <f>PL1+1</f>
        <v>43</v>
      </c>
      <c r="PX1" s="268"/>
      <c r="PZ1" s="1383" t="str">
        <f>PP1</f>
        <v>ENTRADA DEL MES DE    DICIEMBRE    2022</v>
      </c>
      <c r="QA1" s="1383"/>
      <c r="QB1" s="1383"/>
      <c r="QC1" s="1383"/>
      <c r="QD1" s="1383"/>
      <c r="QE1" s="1383"/>
      <c r="QF1" s="1383"/>
      <c r="QG1" s="268">
        <f>PW1+1</f>
        <v>44</v>
      </c>
      <c r="QH1" s="268"/>
      <c r="QJ1" s="1383" t="str">
        <f>PZ1</f>
        <v>ENTRADA DEL MES DE    DICIEMBRE    2022</v>
      </c>
      <c r="QK1" s="1383"/>
      <c r="QL1" s="1383"/>
      <c r="QM1" s="1383"/>
      <c r="QN1" s="1383"/>
      <c r="QO1" s="1383"/>
      <c r="QP1" s="1383"/>
      <c r="QQ1" s="268">
        <f>QG1+1</f>
        <v>45</v>
      </c>
      <c r="QR1" s="268"/>
      <c r="QT1" s="1383" t="str">
        <f>QJ1</f>
        <v>ENTRADA DEL MES DE    DICIEMBRE    2022</v>
      </c>
      <c r="QU1" s="1383"/>
      <c r="QV1" s="1383"/>
      <c r="QW1" s="1383"/>
      <c r="QX1" s="1383"/>
      <c r="QY1" s="1383"/>
      <c r="QZ1" s="1383"/>
      <c r="RA1" s="268">
        <f>QQ1+1</f>
        <v>46</v>
      </c>
      <c r="RB1" s="268"/>
      <c r="RD1" s="1383" t="str">
        <f>QT1</f>
        <v>ENTRADA DEL MES DE    DICIEMBRE    2022</v>
      </c>
      <c r="RE1" s="1383"/>
      <c r="RF1" s="1383"/>
      <c r="RG1" s="1383"/>
      <c r="RH1" s="1383"/>
      <c r="RI1" s="1383"/>
      <c r="RJ1" s="1383"/>
      <c r="RK1" s="268">
        <f>RA1+1</f>
        <v>47</v>
      </c>
      <c r="RL1" s="268"/>
      <c r="RN1" s="1383" t="str">
        <f>RD1</f>
        <v>ENTRADA DEL MES DE    DICIEMBRE    2022</v>
      </c>
      <c r="RO1" s="1383"/>
      <c r="RP1" s="1383"/>
      <c r="RQ1" s="1383"/>
      <c r="RR1" s="1383"/>
      <c r="RS1" s="1383"/>
      <c r="RT1" s="1383"/>
      <c r="RU1" s="268">
        <f>RK1+1</f>
        <v>48</v>
      </c>
      <c r="RV1" s="268"/>
      <c r="RX1" s="1383" t="str">
        <f>RN1</f>
        <v>ENTRADA DEL MES DE    DICIEMBRE    2022</v>
      </c>
      <c r="RY1" s="1383"/>
      <c r="RZ1" s="1383"/>
      <c r="SA1" s="1383"/>
      <c r="SB1" s="1383"/>
      <c r="SC1" s="1383"/>
      <c r="SD1" s="1383"/>
      <c r="SE1" s="268">
        <f>RU1+1</f>
        <v>49</v>
      </c>
      <c r="SF1" s="268"/>
      <c r="SH1" s="1383" t="str">
        <f>RX1</f>
        <v>ENTRADA DEL MES DE    DICIEMBRE    2022</v>
      </c>
      <c r="SI1" s="1383"/>
      <c r="SJ1" s="1383"/>
      <c r="SK1" s="1383"/>
      <c r="SL1" s="1383"/>
      <c r="SM1" s="1383"/>
      <c r="SN1" s="1383"/>
      <c r="SO1" s="268">
        <f>SE1+1</f>
        <v>50</v>
      </c>
      <c r="SP1" s="268"/>
      <c r="SR1" s="1383" t="str">
        <f>SH1</f>
        <v>ENTRADA DEL MES DE    DICIEMBRE    2022</v>
      </c>
      <c r="SS1" s="1383"/>
      <c r="ST1" s="1383"/>
      <c r="SU1" s="1383"/>
      <c r="SV1" s="1383"/>
      <c r="SW1" s="1383"/>
      <c r="SX1" s="1383"/>
      <c r="SY1" s="268">
        <f>SO1+1</f>
        <v>51</v>
      </c>
      <c r="SZ1" s="268"/>
      <c r="TB1" s="1383" t="str">
        <f>SR1</f>
        <v>ENTRADA DEL MES DE    DICIEMBRE    2022</v>
      </c>
      <c r="TC1" s="1383"/>
      <c r="TD1" s="1383"/>
      <c r="TE1" s="1383"/>
      <c r="TF1" s="1383"/>
      <c r="TG1" s="1383"/>
      <c r="TH1" s="1383"/>
      <c r="TI1" s="268">
        <f>SY1+1</f>
        <v>52</v>
      </c>
      <c r="TJ1" s="268"/>
      <c r="TL1" s="1383" t="str">
        <f>TB1</f>
        <v>ENTRADA DEL MES DE    DICIEMBRE    2022</v>
      </c>
      <c r="TM1" s="1383"/>
      <c r="TN1" s="1383"/>
      <c r="TO1" s="1383"/>
      <c r="TP1" s="1383"/>
      <c r="TQ1" s="1383"/>
      <c r="TR1" s="1383"/>
      <c r="TS1" s="268">
        <f>TI1+1</f>
        <v>53</v>
      </c>
      <c r="TT1" s="268"/>
      <c r="TV1" s="1383" t="str">
        <f>TL1</f>
        <v>ENTRADA DEL MES DE    DICIEMBRE    2022</v>
      </c>
      <c r="TW1" s="1383"/>
      <c r="TX1" s="1383"/>
      <c r="TY1" s="1383"/>
      <c r="TZ1" s="1383"/>
      <c r="UA1" s="1383"/>
      <c r="UB1" s="1383"/>
      <c r="UC1" s="268">
        <f>TS1+1</f>
        <v>54</v>
      </c>
      <c r="UE1" s="1383" t="str">
        <f>TV1</f>
        <v>ENTRADA DEL MES DE    DICIEMBRE    2022</v>
      </c>
      <c r="UF1" s="1383"/>
      <c r="UG1" s="1383"/>
      <c r="UH1" s="1383"/>
      <c r="UI1" s="1383"/>
      <c r="UJ1" s="1383"/>
      <c r="UK1" s="1383"/>
      <c r="UL1" s="268">
        <f>UC1+1</f>
        <v>55</v>
      </c>
      <c r="UN1" s="1383" t="str">
        <f>UE1</f>
        <v>ENTRADA DEL MES DE    DICIEMBRE    2022</v>
      </c>
      <c r="UO1" s="1383"/>
      <c r="UP1" s="1383"/>
      <c r="UQ1" s="1383"/>
      <c r="UR1" s="1383"/>
      <c r="US1" s="1383"/>
      <c r="UT1" s="1383"/>
      <c r="UU1" s="268">
        <f>UL1+1</f>
        <v>56</v>
      </c>
      <c r="UW1" s="1383" t="str">
        <f>UN1</f>
        <v>ENTRADA DEL MES DE    DICIEMBRE    2022</v>
      </c>
      <c r="UX1" s="1383"/>
      <c r="UY1" s="1383"/>
      <c r="UZ1" s="1383"/>
      <c r="VA1" s="1383"/>
      <c r="VB1" s="1383"/>
      <c r="VC1" s="1383"/>
      <c r="VD1" s="268">
        <f>UU1+1</f>
        <v>57</v>
      </c>
      <c r="VF1" s="1383" t="str">
        <f>UW1</f>
        <v>ENTRADA DEL MES DE    DICIEMBRE    2022</v>
      </c>
      <c r="VG1" s="1383"/>
      <c r="VH1" s="1383"/>
      <c r="VI1" s="1383"/>
      <c r="VJ1" s="1383"/>
      <c r="VK1" s="1383"/>
      <c r="VL1" s="1383"/>
      <c r="VM1" s="268">
        <f>VD1+1</f>
        <v>58</v>
      </c>
      <c r="VO1" s="1383" t="str">
        <f>VF1</f>
        <v>ENTRADA DEL MES DE    DICIEMBRE    2022</v>
      </c>
      <c r="VP1" s="1383"/>
      <c r="VQ1" s="1383"/>
      <c r="VR1" s="1383"/>
      <c r="VS1" s="1383"/>
      <c r="VT1" s="1383"/>
      <c r="VU1" s="1383"/>
      <c r="VV1" s="268">
        <f>VM1+1</f>
        <v>59</v>
      </c>
      <c r="VX1" s="1383" t="str">
        <f>VO1</f>
        <v>ENTRADA DEL MES DE    DICIEMBRE    2022</v>
      </c>
      <c r="VY1" s="1383"/>
      <c r="VZ1" s="1383"/>
      <c r="WA1" s="1383"/>
      <c r="WB1" s="1383"/>
      <c r="WC1" s="1383"/>
      <c r="WD1" s="1383"/>
      <c r="WE1" s="268">
        <f>VV1+1</f>
        <v>60</v>
      </c>
      <c r="WG1" s="1383" t="str">
        <f>VX1</f>
        <v>ENTRADA DEL MES DE    DICIEMBRE    2022</v>
      </c>
      <c r="WH1" s="1383"/>
      <c r="WI1" s="1383"/>
      <c r="WJ1" s="1383"/>
      <c r="WK1" s="1383"/>
      <c r="WL1" s="1383"/>
      <c r="WM1" s="1383"/>
      <c r="WN1" s="268">
        <f>WE1+1</f>
        <v>61</v>
      </c>
      <c r="WP1" s="1383" t="str">
        <f>WG1</f>
        <v>ENTRADA DEL MES DE    DICIEMBRE    2022</v>
      </c>
      <c r="WQ1" s="1383"/>
      <c r="WR1" s="1383"/>
      <c r="WS1" s="1383"/>
      <c r="WT1" s="1383"/>
      <c r="WU1" s="1383"/>
      <c r="WV1" s="1383"/>
      <c r="WW1" s="268">
        <f>WN1+1</f>
        <v>62</v>
      </c>
      <c r="WY1" s="1383" t="str">
        <f>WP1</f>
        <v>ENTRADA DEL MES DE    DICIEMBRE    2022</v>
      </c>
      <c r="WZ1" s="1383"/>
      <c r="XA1" s="1383"/>
      <c r="XB1" s="1383"/>
      <c r="XC1" s="1383"/>
      <c r="XD1" s="1383"/>
      <c r="XE1" s="1383"/>
      <c r="XF1" s="268">
        <f>WW1+1</f>
        <v>63</v>
      </c>
      <c r="XH1" s="1383" t="str">
        <f>WY1</f>
        <v>ENTRADA DEL MES DE    DICIEMBRE    2022</v>
      </c>
      <c r="XI1" s="1383"/>
      <c r="XJ1" s="1383"/>
      <c r="XK1" s="1383"/>
      <c r="XL1" s="1383"/>
      <c r="XM1" s="1383"/>
      <c r="XN1" s="1383"/>
      <c r="XO1" s="268">
        <f>XF1+1</f>
        <v>64</v>
      </c>
      <c r="XQ1" s="1383" t="str">
        <f>XH1</f>
        <v>ENTRADA DEL MES DE    DICIEMBRE    2022</v>
      </c>
      <c r="XR1" s="1383"/>
      <c r="XS1" s="1383"/>
      <c r="XT1" s="1383"/>
      <c r="XU1" s="1383"/>
      <c r="XV1" s="1383"/>
      <c r="XW1" s="1383"/>
      <c r="XX1" s="268">
        <f>XO1+1</f>
        <v>65</v>
      </c>
      <c r="XZ1" s="1383" t="str">
        <f>XQ1</f>
        <v>ENTRADA DEL MES DE    DICIEMBRE    2022</v>
      </c>
      <c r="YA1" s="1383"/>
      <c r="YB1" s="1383"/>
      <c r="YC1" s="1383"/>
      <c r="YD1" s="1383"/>
      <c r="YE1" s="1383"/>
      <c r="YF1" s="1383"/>
      <c r="YG1" s="268">
        <f>XX1+1</f>
        <v>66</v>
      </c>
      <c r="YI1" s="1383" t="str">
        <f>XZ1</f>
        <v>ENTRADA DEL MES DE    DICIEMBRE    2022</v>
      </c>
      <c r="YJ1" s="1383"/>
      <c r="YK1" s="1383"/>
      <c r="YL1" s="1383"/>
      <c r="YM1" s="1383"/>
      <c r="YN1" s="1383"/>
      <c r="YO1" s="1383"/>
      <c r="YP1" s="268">
        <f>YG1+1</f>
        <v>67</v>
      </c>
      <c r="YR1" s="1383" t="str">
        <f>YI1</f>
        <v>ENTRADA DEL MES DE    DICIEMBRE    2022</v>
      </c>
      <c r="YS1" s="1383"/>
      <c r="YT1" s="1383"/>
      <c r="YU1" s="1383"/>
      <c r="YV1" s="1383"/>
      <c r="YW1" s="1383"/>
      <c r="YX1" s="1383"/>
      <c r="YY1" s="268">
        <f>YP1+1</f>
        <v>68</v>
      </c>
      <c r="ZA1" s="1383" t="str">
        <f>YR1</f>
        <v>ENTRADA DEL MES DE    DICIEMBRE    2022</v>
      </c>
      <c r="ZB1" s="1383"/>
      <c r="ZC1" s="1383"/>
      <c r="ZD1" s="1383"/>
      <c r="ZE1" s="1383"/>
      <c r="ZF1" s="1383"/>
      <c r="ZG1" s="1383"/>
      <c r="ZH1" s="268">
        <f>YY1+1</f>
        <v>69</v>
      </c>
      <c r="ZJ1" s="1383" t="str">
        <f>ZA1</f>
        <v>ENTRADA DEL MES DE    DICIEMBRE    2022</v>
      </c>
      <c r="ZK1" s="1383"/>
      <c r="ZL1" s="1383"/>
      <c r="ZM1" s="1383"/>
      <c r="ZN1" s="1383"/>
      <c r="ZO1" s="1383"/>
      <c r="ZP1" s="1383"/>
      <c r="ZQ1" s="268">
        <f>ZH1+1</f>
        <v>70</v>
      </c>
      <c r="ZS1" s="1383" t="str">
        <f>ZJ1</f>
        <v>ENTRADA DEL MES DE    DICIEMBRE    2022</v>
      </c>
      <c r="ZT1" s="1383"/>
      <c r="ZU1" s="1383"/>
      <c r="ZV1" s="1383"/>
      <c r="ZW1" s="1383"/>
      <c r="ZX1" s="1383"/>
      <c r="ZY1" s="1383"/>
      <c r="ZZ1" s="268">
        <f>ZQ1+1</f>
        <v>71</v>
      </c>
      <c r="AAB1" s="1383" t="str">
        <f>ZS1</f>
        <v>ENTRADA DEL MES DE    DICIEMBRE    2022</v>
      </c>
      <c r="AAC1" s="1383"/>
      <c r="AAD1" s="1383"/>
      <c r="AAE1" s="1383"/>
      <c r="AAF1" s="1383"/>
      <c r="AAG1" s="1383"/>
      <c r="AAH1" s="1383"/>
      <c r="AAI1" s="268">
        <f>ZZ1+1</f>
        <v>72</v>
      </c>
      <c r="AAK1" s="1383" t="str">
        <f>AAB1</f>
        <v>ENTRADA DEL MES DE    DICIEMBRE    2022</v>
      </c>
      <c r="AAL1" s="1383"/>
      <c r="AAM1" s="1383"/>
      <c r="AAN1" s="1383"/>
      <c r="AAO1" s="1383"/>
      <c r="AAP1" s="1383"/>
      <c r="AAQ1" s="1383"/>
      <c r="AAR1" s="268">
        <f>AAI1+1</f>
        <v>73</v>
      </c>
      <c r="AAT1" s="1383" t="str">
        <f>AAK1</f>
        <v>ENTRADA DEL MES DE    DICIEMBRE    2022</v>
      </c>
      <c r="AAU1" s="1383"/>
      <c r="AAV1" s="1383"/>
      <c r="AAW1" s="1383"/>
      <c r="AAX1" s="1383"/>
      <c r="AAY1" s="1383"/>
      <c r="AAZ1" s="1383"/>
      <c r="ABA1" s="268">
        <f>AAR1+1</f>
        <v>74</v>
      </c>
      <c r="ABC1" s="1383" t="str">
        <f>AAT1</f>
        <v>ENTRADA DEL MES DE    DICIEMBRE    2022</v>
      </c>
      <c r="ABD1" s="1383"/>
      <c r="ABE1" s="1383"/>
      <c r="ABF1" s="1383"/>
      <c r="ABG1" s="1383"/>
      <c r="ABH1" s="1383"/>
      <c r="ABI1" s="1383"/>
      <c r="ABJ1" s="268">
        <f>ABA1+1</f>
        <v>75</v>
      </c>
      <c r="ABL1" s="1383" t="str">
        <f>ABC1</f>
        <v>ENTRADA DEL MES DE    DICIEMBRE    2022</v>
      </c>
      <c r="ABM1" s="1383"/>
      <c r="ABN1" s="1383"/>
      <c r="ABO1" s="1383"/>
      <c r="ABP1" s="1383"/>
      <c r="ABQ1" s="1383"/>
      <c r="ABR1" s="1383"/>
      <c r="ABS1" s="268">
        <f>ABJ1+1</f>
        <v>76</v>
      </c>
      <c r="ABU1" s="1383" t="str">
        <f>ABL1</f>
        <v>ENTRADA DEL MES DE    DICIEMBRE    2022</v>
      </c>
      <c r="ABV1" s="1383"/>
      <c r="ABW1" s="1383"/>
      <c r="ABX1" s="1383"/>
      <c r="ABY1" s="1383"/>
      <c r="ABZ1" s="1383"/>
      <c r="ACA1" s="1383"/>
      <c r="ACB1" s="268">
        <f>ABS1+1</f>
        <v>77</v>
      </c>
      <c r="ACD1" s="1383" t="str">
        <f>ABU1</f>
        <v>ENTRADA DEL MES DE    DICIEMBRE    2022</v>
      </c>
      <c r="ACE1" s="1383"/>
      <c r="ACF1" s="1383"/>
      <c r="ACG1" s="1383"/>
      <c r="ACH1" s="1383"/>
      <c r="ACI1" s="1383"/>
      <c r="ACJ1" s="1383"/>
      <c r="ACK1" s="268">
        <f>ACB1+1</f>
        <v>78</v>
      </c>
      <c r="ACM1" s="1383" t="str">
        <f>ACD1</f>
        <v>ENTRADA DEL MES DE    DICIEMBRE    2022</v>
      </c>
      <c r="ACN1" s="1383"/>
      <c r="ACO1" s="1383"/>
      <c r="ACP1" s="1383"/>
      <c r="ACQ1" s="1383"/>
      <c r="ACR1" s="1383"/>
      <c r="ACS1" s="1383"/>
      <c r="ACT1" s="268">
        <f>ACK1+1</f>
        <v>79</v>
      </c>
      <c r="ACV1" s="1383" t="str">
        <f>ACM1</f>
        <v>ENTRADA DEL MES DE    DICIEMBRE    2022</v>
      </c>
      <c r="ACW1" s="1383"/>
      <c r="ACX1" s="1383"/>
      <c r="ACY1" s="1383"/>
      <c r="ACZ1" s="1383"/>
      <c r="ADA1" s="1383"/>
      <c r="ADB1" s="1383"/>
      <c r="ADC1" s="268">
        <f>ACT1+1</f>
        <v>80</v>
      </c>
      <c r="ADE1" s="1383" t="str">
        <f>ACV1</f>
        <v>ENTRADA DEL MES DE    DICIEMBRE    2022</v>
      </c>
      <c r="ADF1" s="1383"/>
      <c r="ADG1" s="1383"/>
      <c r="ADH1" s="1383"/>
      <c r="ADI1" s="1383"/>
      <c r="ADJ1" s="1383"/>
      <c r="ADK1" s="1383"/>
      <c r="ADL1" s="268">
        <f>ADC1+1</f>
        <v>81</v>
      </c>
      <c r="ADN1" s="1383" t="str">
        <f>ADE1</f>
        <v>ENTRADA DEL MES DE    DICIEMBRE    2022</v>
      </c>
      <c r="ADO1" s="1383"/>
      <c r="ADP1" s="1383"/>
      <c r="ADQ1" s="1383"/>
      <c r="ADR1" s="1383"/>
      <c r="ADS1" s="1383"/>
      <c r="ADT1" s="1383"/>
      <c r="ADU1" s="268">
        <f>ADL1+1</f>
        <v>82</v>
      </c>
      <c r="ADW1" s="1383" t="str">
        <f>ADN1</f>
        <v>ENTRADA DEL MES DE    DICIEMBRE    2022</v>
      </c>
      <c r="ADX1" s="1383"/>
      <c r="ADY1" s="1383"/>
      <c r="ADZ1" s="1383"/>
      <c r="AEA1" s="1383"/>
      <c r="AEB1" s="1383"/>
      <c r="AEC1" s="1383"/>
      <c r="AED1" s="268">
        <f>ADU1+1</f>
        <v>83</v>
      </c>
      <c r="AEF1" s="1383" t="str">
        <f>ADW1</f>
        <v>ENTRADA DEL MES DE    DICIEMBRE    2022</v>
      </c>
      <c r="AEG1" s="1383"/>
      <c r="AEH1" s="1383"/>
      <c r="AEI1" s="1383"/>
      <c r="AEJ1" s="1383"/>
      <c r="AEK1" s="1383"/>
      <c r="AEL1" s="1383"/>
      <c r="AEM1" s="268">
        <f>AED1+1</f>
        <v>84</v>
      </c>
      <c r="AEO1" s="1383" t="str">
        <f>AEF1</f>
        <v>ENTRADA DEL MES DE    DICIEMBRE    2022</v>
      </c>
      <c r="AEP1" s="1383"/>
      <c r="AEQ1" s="1383"/>
      <c r="AER1" s="1383"/>
      <c r="AES1" s="1383"/>
      <c r="AET1" s="1383"/>
      <c r="AEU1" s="1383"/>
      <c r="AEV1" s="268">
        <f>AEM1+1</f>
        <v>85</v>
      </c>
      <c r="AEX1" s="1383" t="str">
        <f>AEO1</f>
        <v>ENTRADA DEL MES DE    DICIEMBRE    2022</v>
      </c>
      <c r="AEY1" s="1383"/>
      <c r="AEZ1" s="1383"/>
      <c r="AFA1" s="1383"/>
      <c r="AFB1" s="1383"/>
      <c r="AFC1" s="1383"/>
      <c r="AFD1" s="1383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18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18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18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18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18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18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18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18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18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18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18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4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88" t="s">
        <v>221</v>
      </c>
      <c r="L5" s="848" t="s">
        <v>222</v>
      </c>
      <c r="M5" s="710" t="s">
        <v>227</v>
      </c>
      <c r="N5" s="711">
        <v>44895</v>
      </c>
      <c r="O5" s="712">
        <v>18729.12</v>
      </c>
      <c r="P5" s="709">
        <v>21</v>
      </c>
      <c r="Q5" s="538">
        <v>18759.599999999999</v>
      </c>
      <c r="R5" s="138">
        <f>O5-Q5</f>
        <v>-30.479999999999563</v>
      </c>
      <c r="S5" s="396"/>
      <c r="U5" s="708" t="s">
        <v>221</v>
      </c>
      <c r="V5" s="848" t="s">
        <v>222</v>
      </c>
      <c r="W5" s="710" t="s">
        <v>228</v>
      </c>
      <c r="X5" s="711">
        <v>44895</v>
      </c>
      <c r="Y5" s="712">
        <v>18857.04</v>
      </c>
      <c r="Z5" s="709">
        <v>21</v>
      </c>
      <c r="AA5" s="538">
        <v>18842.3</v>
      </c>
      <c r="AB5" s="138">
        <f>Y5-AA5</f>
        <v>14.740000000001601</v>
      </c>
      <c r="AC5" s="396"/>
      <c r="AE5" s="708" t="s">
        <v>219</v>
      </c>
      <c r="AF5" s="849" t="s">
        <v>220</v>
      </c>
      <c r="AG5" s="710" t="s">
        <v>335</v>
      </c>
      <c r="AH5" s="713">
        <v>44896</v>
      </c>
      <c r="AI5" s="712">
        <v>18857.04</v>
      </c>
      <c r="AJ5" s="709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4" t="s">
        <v>221</v>
      </c>
      <c r="AP5" s="848" t="s">
        <v>222</v>
      </c>
      <c r="AQ5" s="715" t="s">
        <v>336</v>
      </c>
      <c r="AR5" s="711">
        <v>44896</v>
      </c>
      <c r="AS5" s="712">
        <v>19184.009999999998</v>
      </c>
      <c r="AT5" s="709">
        <v>21</v>
      </c>
      <c r="AU5" s="538">
        <v>19169.8</v>
      </c>
      <c r="AV5" s="138">
        <f>AS5-AU5</f>
        <v>14.209999999999127</v>
      </c>
      <c r="AW5" s="396"/>
      <c r="AY5" s="714" t="s">
        <v>221</v>
      </c>
      <c r="AZ5" s="848" t="s">
        <v>222</v>
      </c>
      <c r="BA5" s="715" t="s">
        <v>337</v>
      </c>
      <c r="BB5" s="711">
        <v>44897</v>
      </c>
      <c r="BC5" s="712">
        <v>18054.09</v>
      </c>
      <c r="BD5" s="709">
        <v>20</v>
      </c>
      <c r="BE5" s="538">
        <v>18007.599999999999</v>
      </c>
      <c r="BF5" s="138">
        <f>BC5-BE5</f>
        <v>46.490000000001601</v>
      </c>
      <c r="BG5" s="396"/>
      <c r="BI5" s="1384" t="s">
        <v>219</v>
      </c>
      <c r="BJ5" s="1014" t="s">
        <v>220</v>
      </c>
      <c r="BK5" s="715" t="s">
        <v>340</v>
      </c>
      <c r="BL5" s="713">
        <v>44898</v>
      </c>
      <c r="BM5" s="712">
        <v>18435.43</v>
      </c>
      <c r="BN5" s="709">
        <v>20</v>
      </c>
      <c r="BO5" s="538">
        <v>18351.310000000001</v>
      </c>
      <c r="BP5" s="138">
        <f>BM5-BO5</f>
        <v>84.119999999998981</v>
      </c>
      <c r="BQ5" s="396"/>
      <c r="BS5" s="1387" t="s">
        <v>341</v>
      </c>
      <c r="BT5" s="1017" t="s">
        <v>342</v>
      </c>
      <c r="BU5" s="1018"/>
      <c r="BV5" s="711">
        <v>44898</v>
      </c>
      <c r="BW5" s="712">
        <v>1123</v>
      </c>
      <c r="BX5" s="709">
        <v>2</v>
      </c>
      <c r="BY5" s="538">
        <v>1123</v>
      </c>
      <c r="BZ5" s="138">
        <f>BW5-BY5</f>
        <v>0</v>
      </c>
      <c r="CA5" s="243"/>
      <c r="CB5" s="243"/>
      <c r="CC5" s="708" t="s">
        <v>221</v>
      </c>
      <c r="CD5" s="874" t="s">
        <v>222</v>
      </c>
      <c r="CE5" s="715" t="s">
        <v>343</v>
      </c>
      <c r="CF5" s="711">
        <v>44901</v>
      </c>
      <c r="CG5" s="712">
        <v>18014.7</v>
      </c>
      <c r="CH5" s="709">
        <v>20</v>
      </c>
      <c r="CI5" s="538">
        <v>18032</v>
      </c>
      <c r="CJ5" s="138">
        <f>CG5-CI5</f>
        <v>-17.299999999999272</v>
      </c>
      <c r="CK5" s="243"/>
      <c r="CL5" s="243"/>
      <c r="CM5" s="1384" t="s">
        <v>221</v>
      </c>
      <c r="CN5" s="882" t="s">
        <v>222</v>
      </c>
      <c r="CO5" s="710" t="s">
        <v>344</v>
      </c>
      <c r="CP5" s="711">
        <v>44901</v>
      </c>
      <c r="CQ5" s="712">
        <v>19221</v>
      </c>
      <c r="CR5" s="709">
        <v>21</v>
      </c>
      <c r="CS5" s="538">
        <v>19080.599999999999</v>
      </c>
      <c r="CT5" s="138">
        <f>CQ5-CS5</f>
        <v>140.40000000000146</v>
      </c>
      <c r="CU5" s="396"/>
      <c r="CW5" s="708" t="s">
        <v>219</v>
      </c>
      <c r="CX5" s="849" t="s">
        <v>220</v>
      </c>
      <c r="CY5" s="710" t="s">
        <v>345</v>
      </c>
      <c r="CZ5" s="711">
        <v>44902</v>
      </c>
      <c r="DA5" s="712">
        <v>18623.95</v>
      </c>
      <c r="DB5" s="709">
        <v>20</v>
      </c>
      <c r="DC5" s="538">
        <v>18651.62</v>
      </c>
      <c r="DD5" s="138">
        <f>DA5-DC5</f>
        <v>-27.669999999998254</v>
      </c>
      <c r="DE5" s="396"/>
      <c r="DG5" s="714" t="s">
        <v>221</v>
      </c>
      <c r="DH5" s="874" t="s">
        <v>222</v>
      </c>
      <c r="DI5" s="715" t="s">
        <v>346</v>
      </c>
      <c r="DJ5" s="711">
        <v>44903</v>
      </c>
      <c r="DK5" s="712">
        <v>18888.5</v>
      </c>
      <c r="DL5" s="709">
        <v>21</v>
      </c>
      <c r="DM5" s="538">
        <v>18798.7</v>
      </c>
      <c r="DN5" s="138">
        <f>DK5-DM5</f>
        <v>89.799999999999272</v>
      </c>
      <c r="DO5" s="396"/>
      <c r="DQ5" s="1386" t="s">
        <v>219</v>
      </c>
      <c r="DR5" s="880" t="s">
        <v>220</v>
      </c>
      <c r="DS5" s="715" t="s">
        <v>347</v>
      </c>
      <c r="DT5" s="711">
        <v>44903</v>
      </c>
      <c r="DU5" s="712">
        <v>18366.080000000002</v>
      </c>
      <c r="DV5" s="709">
        <v>20</v>
      </c>
      <c r="DW5" s="538">
        <v>18341.810000000001</v>
      </c>
      <c r="DX5" s="138">
        <f>DU5-DW5</f>
        <v>24.270000000000437</v>
      </c>
      <c r="DY5" s="243"/>
      <c r="EA5" s="714" t="s">
        <v>221</v>
      </c>
      <c r="EB5" s="848" t="s">
        <v>222</v>
      </c>
      <c r="EC5" s="715" t="s">
        <v>348</v>
      </c>
      <c r="ED5" s="711">
        <v>44904</v>
      </c>
      <c r="EE5" s="712">
        <v>18847.11</v>
      </c>
      <c r="EF5" s="709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4" t="s">
        <v>221</v>
      </c>
      <c r="EL5" s="848" t="s">
        <v>222</v>
      </c>
      <c r="EM5" s="715" t="s">
        <v>349</v>
      </c>
      <c r="EN5" s="711">
        <v>44904</v>
      </c>
      <c r="EO5" s="712">
        <v>19130.18</v>
      </c>
      <c r="EP5" s="709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08" t="s">
        <v>221</v>
      </c>
      <c r="EV5" s="848" t="s">
        <v>222</v>
      </c>
      <c r="EW5" s="710" t="s">
        <v>395</v>
      </c>
      <c r="EX5" s="711">
        <v>44904</v>
      </c>
      <c r="EY5" s="712">
        <v>18790.439999999999</v>
      </c>
      <c r="EZ5" s="709">
        <v>21</v>
      </c>
      <c r="FA5" s="1176">
        <v>18821</v>
      </c>
      <c r="FB5" s="138">
        <f>EY5-FA5</f>
        <v>-30.56000000000131</v>
      </c>
      <c r="FC5" s="396"/>
      <c r="FE5" s="714" t="s">
        <v>221</v>
      </c>
      <c r="FF5" s="848" t="s">
        <v>222</v>
      </c>
      <c r="FG5" s="715" t="s">
        <v>396</v>
      </c>
      <c r="FH5" s="711">
        <v>44905</v>
      </c>
      <c r="FI5" s="712">
        <v>18848.189999999999</v>
      </c>
      <c r="FJ5" s="709">
        <v>21</v>
      </c>
      <c r="FK5" s="1176">
        <v>18826.7</v>
      </c>
      <c r="FL5" s="138">
        <f>FI5-FK5</f>
        <v>21.489999999997963</v>
      </c>
      <c r="FM5" s="396"/>
      <c r="FO5" s="723" t="s">
        <v>219</v>
      </c>
      <c r="FP5" s="849" t="s">
        <v>220</v>
      </c>
      <c r="FQ5" s="715" t="s">
        <v>397</v>
      </c>
      <c r="FR5" s="711">
        <v>44905</v>
      </c>
      <c r="FS5" s="712">
        <v>18920.68</v>
      </c>
      <c r="FT5" s="709">
        <v>20</v>
      </c>
      <c r="FU5" s="538">
        <v>18959.16</v>
      </c>
      <c r="FV5" s="138">
        <f>FS5-FU5</f>
        <v>-38.479999999999563</v>
      </c>
      <c r="FW5" s="396"/>
      <c r="FY5" s="708" t="s">
        <v>221</v>
      </c>
      <c r="FZ5" s="848" t="s">
        <v>222</v>
      </c>
      <c r="GA5" s="710" t="s">
        <v>398</v>
      </c>
      <c r="GB5" s="711">
        <v>44908</v>
      </c>
      <c r="GC5" s="712">
        <v>18992.169999999998</v>
      </c>
      <c r="GD5" s="709">
        <v>21</v>
      </c>
      <c r="GE5" s="538">
        <v>18917.400000000001</v>
      </c>
      <c r="GF5" s="138">
        <f>GC5-GE5</f>
        <v>74.769999999996799</v>
      </c>
      <c r="GG5" s="396"/>
      <c r="GI5" s="799" t="s">
        <v>221</v>
      </c>
      <c r="GJ5" s="848" t="s">
        <v>222</v>
      </c>
      <c r="GK5" s="715" t="s">
        <v>399</v>
      </c>
      <c r="GL5" s="713">
        <v>44908</v>
      </c>
      <c r="GM5" s="712">
        <v>18949.169999999998</v>
      </c>
      <c r="GN5" s="709">
        <v>21</v>
      </c>
      <c r="GO5" s="538">
        <f>GN32</f>
        <v>18872.699999999997</v>
      </c>
      <c r="GP5" s="138">
        <f>GM5-GO5</f>
        <v>76.470000000001164</v>
      </c>
      <c r="GQ5" s="396"/>
      <c r="GS5" s="1384" t="s">
        <v>221</v>
      </c>
      <c r="GT5" s="848" t="s">
        <v>222</v>
      </c>
      <c r="GU5" s="709" t="s">
        <v>400</v>
      </c>
      <c r="GV5" s="713">
        <v>44908</v>
      </c>
      <c r="GW5" s="712">
        <v>19166.849999999999</v>
      </c>
      <c r="GX5" s="709">
        <v>21</v>
      </c>
      <c r="GY5" s="538">
        <v>19058.7</v>
      </c>
      <c r="GZ5" s="138">
        <f>GW5-GY5</f>
        <v>108.14999999999782</v>
      </c>
      <c r="HA5" s="396"/>
      <c r="HC5" s="1387" t="s">
        <v>219</v>
      </c>
      <c r="HD5" s="849" t="s">
        <v>220</v>
      </c>
      <c r="HE5" s="715" t="s">
        <v>401</v>
      </c>
      <c r="HF5" s="713">
        <v>44909</v>
      </c>
      <c r="HG5" s="712">
        <v>18590.849999999999</v>
      </c>
      <c r="HH5" s="709">
        <v>20</v>
      </c>
      <c r="HI5" s="538">
        <v>18618.48</v>
      </c>
      <c r="HJ5" s="138">
        <f>HG5-HI5</f>
        <v>-27.630000000001019</v>
      </c>
      <c r="HK5" s="396"/>
      <c r="HM5" s="714" t="s">
        <v>402</v>
      </c>
      <c r="HN5" s="849" t="s">
        <v>220</v>
      </c>
      <c r="HO5" s="715" t="s">
        <v>403</v>
      </c>
      <c r="HP5" s="711">
        <v>44909</v>
      </c>
      <c r="HQ5" s="712">
        <v>18256.88</v>
      </c>
      <c r="HR5" s="709">
        <v>20</v>
      </c>
      <c r="HS5" s="1176">
        <v>18237.5</v>
      </c>
      <c r="HT5" s="138">
        <f>HQ5-HS5</f>
        <v>19.380000000001019</v>
      </c>
      <c r="HU5" s="396"/>
      <c r="HW5" s="1384" t="s">
        <v>219</v>
      </c>
      <c r="HX5" s="849" t="s">
        <v>220</v>
      </c>
      <c r="HY5" s="715" t="s">
        <v>404</v>
      </c>
      <c r="HZ5" s="711">
        <v>44910</v>
      </c>
      <c r="IA5" s="712">
        <v>18753.78</v>
      </c>
      <c r="IB5" s="709">
        <v>20</v>
      </c>
      <c r="IC5" s="538">
        <v>18785</v>
      </c>
      <c r="ID5" s="138">
        <f>IA5-IC5</f>
        <v>-31.220000000001164</v>
      </c>
      <c r="IE5" s="396"/>
      <c r="IG5" s="1384" t="s">
        <v>221</v>
      </c>
      <c r="IH5" s="848" t="s">
        <v>222</v>
      </c>
      <c r="II5" s="715" t="s">
        <v>405</v>
      </c>
      <c r="IJ5" s="711">
        <v>44910</v>
      </c>
      <c r="IK5" s="712">
        <v>19116.189999999999</v>
      </c>
      <c r="IL5" s="709">
        <v>21</v>
      </c>
      <c r="IM5" s="538">
        <v>19114.3</v>
      </c>
      <c r="IN5" s="138">
        <f>IK5-IM5</f>
        <v>1.8899999999994179</v>
      </c>
      <c r="IO5" s="396"/>
      <c r="IQ5" s="1384" t="s">
        <v>221</v>
      </c>
      <c r="IR5" s="1046" t="s">
        <v>222</v>
      </c>
      <c r="IS5" s="710" t="s">
        <v>406</v>
      </c>
      <c r="IT5" s="713">
        <v>44911</v>
      </c>
      <c r="IU5" s="712">
        <v>19165.84</v>
      </c>
      <c r="IV5" s="709">
        <v>21</v>
      </c>
      <c r="IW5" s="538">
        <v>19125.2</v>
      </c>
      <c r="IX5" s="138">
        <f>IU5-IW5</f>
        <v>40.639999999999418</v>
      </c>
      <c r="IY5" s="396"/>
      <c r="JA5" s="714" t="s">
        <v>221</v>
      </c>
      <c r="JB5" s="848" t="s">
        <v>222</v>
      </c>
      <c r="JC5" s="710" t="s">
        <v>407</v>
      </c>
      <c r="JD5" s="711">
        <v>44911</v>
      </c>
      <c r="JE5" s="712">
        <v>19052.3</v>
      </c>
      <c r="JF5" s="709">
        <v>21</v>
      </c>
      <c r="JG5" s="538">
        <v>19018.2</v>
      </c>
      <c r="JH5" s="138">
        <f>JE5-JG5</f>
        <v>34.099999999998545</v>
      </c>
      <c r="JI5" s="396"/>
      <c r="JK5" s="1386" t="s">
        <v>221</v>
      </c>
      <c r="JL5" s="1054" t="s">
        <v>222</v>
      </c>
      <c r="JM5" s="715" t="s">
        <v>408</v>
      </c>
      <c r="JN5" s="711">
        <v>44912</v>
      </c>
      <c r="JO5" s="712">
        <v>19132.05</v>
      </c>
      <c r="JP5" s="709">
        <v>21</v>
      </c>
      <c r="JQ5" s="1176">
        <v>19056.099999999999</v>
      </c>
      <c r="JR5" s="138">
        <f>JO5-JQ5</f>
        <v>75.950000000000728</v>
      </c>
      <c r="JS5" s="396"/>
      <c r="JU5" s="708" t="s">
        <v>221</v>
      </c>
      <c r="JV5" s="848" t="s">
        <v>222</v>
      </c>
      <c r="JW5" s="710" t="s">
        <v>409</v>
      </c>
      <c r="JX5" s="711">
        <v>44912</v>
      </c>
      <c r="JY5" s="712">
        <v>19022.099999999999</v>
      </c>
      <c r="JZ5" s="709">
        <v>21</v>
      </c>
      <c r="KA5" s="538">
        <v>18972.900000000001</v>
      </c>
      <c r="KB5" s="138">
        <f>JY5-KA5</f>
        <v>49.19999999999709</v>
      </c>
      <c r="KC5" s="396"/>
      <c r="KE5" s="1388" t="s">
        <v>221</v>
      </c>
      <c r="KF5" s="848" t="s">
        <v>222</v>
      </c>
      <c r="KG5" s="710" t="s">
        <v>410</v>
      </c>
      <c r="KH5" s="711">
        <v>44915</v>
      </c>
      <c r="KI5" s="712">
        <v>19011.71</v>
      </c>
      <c r="KJ5" s="709">
        <v>21</v>
      </c>
      <c r="KK5" s="538">
        <v>19014.5</v>
      </c>
      <c r="KL5" s="138">
        <f>KI5-KK5</f>
        <v>-2.7900000000008731</v>
      </c>
      <c r="KM5" s="396"/>
      <c r="KO5" s="708" t="s">
        <v>219</v>
      </c>
      <c r="KP5" s="849" t="s">
        <v>411</v>
      </c>
      <c r="KQ5" s="710" t="s">
        <v>412</v>
      </c>
      <c r="KR5" s="711">
        <v>44915</v>
      </c>
      <c r="KS5" s="712">
        <v>18789.09</v>
      </c>
      <c r="KT5" s="709">
        <v>20</v>
      </c>
      <c r="KU5" s="538">
        <v>18755.48</v>
      </c>
      <c r="KV5" s="138">
        <f>KS5-KU5</f>
        <v>33.610000000000582</v>
      </c>
      <c r="KW5" s="396"/>
      <c r="KY5" s="708" t="s">
        <v>221</v>
      </c>
      <c r="KZ5" s="848" t="s">
        <v>222</v>
      </c>
      <c r="LA5" s="710" t="s">
        <v>413</v>
      </c>
      <c r="LB5" s="713">
        <v>44916</v>
      </c>
      <c r="LC5" s="712">
        <v>19050.21</v>
      </c>
      <c r="LD5" s="709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4" t="s">
        <v>219</v>
      </c>
      <c r="LJ5" s="849" t="s">
        <v>414</v>
      </c>
      <c r="LK5" s="715" t="s">
        <v>415</v>
      </c>
      <c r="LL5" s="711">
        <v>44916</v>
      </c>
      <c r="LM5" s="712">
        <v>18670.64</v>
      </c>
      <c r="LN5" s="709">
        <v>20</v>
      </c>
      <c r="LO5" s="538">
        <v>18728.29</v>
      </c>
      <c r="LP5" s="138">
        <f>LM5-LO5</f>
        <v>-57.650000000001455</v>
      </c>
      <c r="LQ5" s="396"/>
      <c r="LS5" s="714" t="s">
        <v>221</v>
      </c>
      <c r="LT5" s="848" t="s">
        <v>222</v>
      </c>
      <c r="LU5" s="716" t="s">
        <v>416</v>
      </c>
      <c r="LV5" s="711">
        <v>44917</v>
      </c>
      <c r="LW5" s="712">
        <v>18579.03</v>
      </c>
      <c r="LX5" s="709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48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49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48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48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48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48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48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48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48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48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49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48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48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48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74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0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0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74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74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88"/>
      <c r="L6" s="718"/>
      <c r="M6" s="714"/>
      <c r="N6" s="714"/>
      <c r="O6" s="714"/>
      <c r="P6" s="714"/>
      <c r="Q6" s="709"/>
      <c r="S6" s="243"/>
      <c r="U6" s="708"/>
      <c r="V6" s="718"/>
      <c r="W6" s="714"/>
      <c r="X6" s="714"/>
      <c r="Y6" s="714"/>
      <c r="Z6" s="714"/>
      <c r="AA6" s="709"/>
      <c r="AC6" s="243"/>
      <c r="AE6" s="225"/>
      <c r="AF6" s="279"/>
      <c r="AK6" s="73"/>
      <c r="AM6" s="243"/>
      <c r="AP6" s="227"/>
      <c r="AU6" s="73"/>
      <c r="AZ6" s="227"/>
      <c r="BE6" s="73"/>
      <c r="BI6" s="1384"/>
      <c r="BJ6" s="717"/>
      <c r="BK6" s="714"/>
      <c r="BL6" s="714"/>
      <c r="BM6" s="714"/>
      <c r="BN6" s="714"/>
      <c r="BO6" s="709"/>
      <c r="BQ6" s="243"/>
      <c r="BS6" s="1387"/>
      <c r="BT6" s="718"/>
      <c r="BU6" s="714"/>
      <c r="BV6" s="714"/>
      <c r="BW6" s="714"/>
      <c r="BX6" s="714"/>
      <c r="BY6" s="709"/>
      <c r="CA6" s="243"/>
      <c r="CB6" s="243"/>
      <c r="CC6" s="708"/>
      <c r="CD6" s="718"/>
      <c r="CE6" s="714"/>
      <c r="CF6" s="714"/>
      <c r="CG6" s="714"/>
      <c r="CH6" s="714"/>
      <c r="CI6" s="709"/>
      <c r="CK6" s="243"/>
      <c r="CL6" s="243"/>
      <c r="CM6" s="1384"/>
      <c r="CN6" s="719"/>
      <c r="CO6" s="714"/>
      <c r="CP6" s="714"/>
      <c r="CQ6" s="714"/>
      <c r="CR6" s="714"/>
      <c r="CS6" s="709"/>
      <c r="CU6" s="243"/>
      <c r="CW6" s="225"/>
      <c r="CX6" s="227"/>
      <c r="DC6" s="73"/>
      <c r="DE6" s="243"/>
      <c r="DG6" s="62"/>
      <c r="DH6" s="227"/>
      <c r="DM6" s="73"/>
      <c r="DO6" s="243"/>
      <c r="DQ6" s="1386"/>
      <c r="DR6" s="718"/>
      <c r="DS6" s="714"/>
      <c r="DT6" s="714"/>
      <c r="DU6" s="714"/>
      <c r="DV6" s="714"/>
      <c r="DW6" s="709"/>
      <c r="DY6" s="243"/>
      <c r="EA6" s="714"/>
      <c r="EB6" s="718"/>
      <c r="EC6" s="714"/>
      <c r="ED6" s="714"/>
      <c r="EE6" s="714"/>
      <c r="EF6" s="714"/>
      <c r="EG6" s="709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0"/>
      <c r="GJ6" s="801"/>
      <c r="GK6" s="714"/>
      <c r="GL6" s="714"/>
      <c r="GM6" s="714"/>
      <c r="GN6" s="714"/>
      <c r="GO6" s="709"/>
      <c r="GQ6" s="243"/>
      <c r="GS6" s="1384"/>
      <c r="GT6" s="724"/>
      <c r="GU6" s="714"/>
      <c r="GV6" s="714"/>
      <c r="GW6" s="714"/>
      <c r="GX6" s="714"/>
      <c r="GY6" s="709"/>
      <c r="HA6" s="243"/>
      <c r="HC6" s="1387"/>
      <c r="HD6" s="718"/>
      <c r="HE6" s="714"/>
      <c r="HF6" s="714"/>
      <c r="HG6" s="714"/>
      <c r="HH6" s="714"/>
      <c r="HI6" s="709"/>
      <c r="HK6" s="243"/>
      <c r="HM6" s="176"/>
      <c r="HN6" s="227"/>
      <c r="HS6" s="73"/>
      <c r="HU6" s="243"/>
      <c r="HW6" s="1384"/>
      <c r="HX6" s="714"/>
      <c r="HY6" s="714"/>
      <c r="HZ6" s="714"/>
      <c r="IA6" s="714"/>
      <c r="IB6" s="714"/>
      <c r="IC6" s="709"/>
      <c r="IE6" s="243"/>
      <c r="IG6" s="1384"/>
      <c r="IH6" s="714"/>
      <c r="II6" s="714"/>
      <c r="IJ6" s="714"/>
      <c r="IK6" s="714"/>
      <c r="IL6" s="714"/>
      <c r="IM6" s="709"/>
      <c r="IO6" s="243"/>
      <c r="IQ6" s="1384"/>
      <c r="IR6" s="718"/>
      <c r="IS6" s="714"/>
      <c r="IT6" s="714"/>
      <c r="IU6" s="714"/>
      <c r="IV6" s="714"/>
      <c r="IW6" s="709"/>
      <c r="IY6" s="243"/>
      <c r="JA6" s="714"/>
      <c r="JB6" s="714"/>
      <c r="JC6" s="714"/>
      <c r="JD6" s="714"/>
      <c r="JE6" s="714"/>
      <c r="JF6" s="714"/>
      <c r="JG6" s="709"/>
      <c r="JI6" s="243"/>
      <c r="JK6" s="1386"/>
      <c r="JL6" s="718"/>
      <c r="JM6" s="714"/>
      <c r="JN6" s="714"/>
      <c r="JO6" s="714"/>
      <c r="JP6" s="714"/>
      <c r="JQ6" s="709"/>
      <c r="JS6" s="243"/>
      <c r="JU6" s="708"/>
      <c r="JV6" s="718"/>
      <c r="JW6" s="714"/>
      <c r="JX6" s="714"/>
      <c r="JY6" s="714"/>
      <c r="JZ6" s="714"/>
      <c r="KA6" s="709"/>
      <c r="KC6" s="243"/>
      <c r="KE6" s="1388"/>
      <c r="KF6" s="718"/>
      <c r="KG6" s="714"/>
      <c r="KH6" s="714"/>
      <c r="KI6" s="714"/>
      <c r="KJ6" s="714"/>
      <c r="KK6" s="709"/>
      <c r="KM6" s="243"/>
      <c r="KO6" s="708"/>
      <c r="KP6" s="718"/>
      <c r="KQ6" s="714"/>
      <c r="KR6" s="714"/>
      <c r="KS6" s="714"/>
      <c r="KT6" s="714"/>
      <c r="KU6" s="709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699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699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699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699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699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699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699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699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699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699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699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4">
        <v>868.2</v>
      </c>
      <c r="AA8" s="695" t="s">
        <v>580</v>
      </c>
      <c r="AB8" s="696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4">
        <v>886.3</v>
      </c>
      <c r="DK8" s="720">
        <v>44903</v>
      </c>
      <c r="DL8" s="694">
        <v>886.3</v>
      </c>
      <c r="DM8" s="721" t="s">
        <v>648</v>
      </c>
      <c r="DN8" s="722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4">
        <v>923.06</v>
      </c>
      <c r="KU8" s="695" t="s">
        <v>757</v>
      </c>
      <c r="KV8" s="696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5" t="s">
        <v>580</v>
      </c>
      <c r="AB9" s="696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4">
        <v>894.5</v>
      </c>
      <c r="DK9" s="720">
        <v>44903</v>
      </c>
      <c r="DL9" s="694">
        <v>894.5</v>
      </c>
      <c r="DM9" s="721" t="s">
        <v>648</v>
      </c>
      <c r="DN9" s="722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5" t="s">
        <v>757</v>
      </c>
      <c r="KV9" s="696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5" t="s">
        <v>580</v>
      </c>
      <c r="AB10" s="696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63"/>
      <c r="BY10" s="1164"/>
      <c r="BZ10" s="1165"/>
      <c r="CA10" s="1166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4">
        <v>871.8</v>
      </c>
      <c r="DK10" s="720">
        <v>44903</v>
      </c>
      <c r="DL10" s="694">
        <v>871.8</v>
      </c>
      <c r="DM10" s="721" t="s">
        <v>648</v>
      </c>
      <c r="DN10" s="722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5" t="s">
        <v>757</v>
      </c>
      <c r="KV10" s="696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5" t="s">
        <v>580</v>
      </c>
      <c r="AB11" s="696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63"/>
      <c r="BY11" s="1164"/>
      <c r="BZ11" s="1165"/>
      <c r="CA11" s="1166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4">
        <v>913.5</v>
      </c>
      <c r="DK11" s="720">
        <v>44903</v>
      </c>
      <c r="DL11" s="694">
        <v>913.5</v>
      </c>
      <c r="DM11" s="721" t="s">
        <v>648</v>
      </c>
      <c r="DN11" s="722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5" t="s">
        <v>757</v>
      </c>
      <c r="KV11" s="696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5" t="s">
        <v>580</v>
      </c>
      <c r="AB12" s="696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63"/>
      <c r="BY12" s="1164"/>
      <c r="BZ12" s="1165"/>
      <c r="CA12" s="1166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4">
        <v>899.9</v>
      </c>
      <c r="DK12" s="720">
        <v>44903</v>
      </c>
      <c r="DL12" s="694">
        <v>899.9</v>
      </c>
      <c r="DM12" s="721" t="s">
        <v>648</v>
      </c>
      <c r="DN12" s="722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5" t="s">
        <v>757</v>
      </c>
      <c r="KV12" s="696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5" t="s">
        <v>580</v>
      </c>
      <c r="AB13" s="696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4">
        <v>929.9</v>
      </c>
      <c r="DK13" s="720">
        <v>44903</v>
      </c>
      <c r="DL13" s="694">
        <v>929.9</v>
      </c>
      <c r="DM13" s="721" t="s">
        <v>648</v>
      </c>
      <c r="DN13" s="722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5" t="s">
        <v>757</v>
      </c>
      <c r="KV13" s="696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5" t="s">
        <v>580</v>
      </c>
      <c r="AB14" s="696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4">
        <v>902.6</v>
      </c>
      <c r="DK14" s="720">
        <v>44903</v>
      </c>
      <c r="DL14" s="694">
        <v>902.6</v>
      </c>
      <c r="DM14" s="721" t="s">
        <v>648</v>
      </c>
      <c r="DN14" s="722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5" t="s">
        <v>757</v>
      </c>
      <c r="KV14" s="696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5" t="s">
        <v>580</v>
      </c>
      <c r="AB15" s="696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4">
        <v>919.9</v>
      </c>
      <c r="DK15" s="720">
        <v>44903</v>
      </c>
      <c r="DL15" s="694">
        <v>919.9</v>
      </c>
      <c r="DM15" s="721" t="s">
        <v>648</v>
      </c>
      <c r="DN15" s="722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5" t="s">
        <v>757</v>
      </c>
      <c r="KV15" s="696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5" t="s">
        <v>580</v>
      </c>
      <c r="AB16" s="696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4">
        <v>916.3</v>
      </c>
      <c r="DK16" s="720">
        <v>44903</v>
      </c>
      <c r="DL16" s="694">
        <v>916.3</v>
      </c>
      <c r="DM16" s="721" t="s">
        <v>648</v>
      </c>
      <c r="DN16" s="722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5" t="s">
        <v>757</v>
      </c>
      <c r="KV16" s="696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5" t="s">
        <v>580</v>
      </c>
      <c r="AB17" s="696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7">
        <v>861.8</v>
      </c>
      <c r="DK17" s="720">
        <v>44903</v>
      </c>
      <c r="DL17" s="697">
        <v>861.8</v>
      </c>
      <c r="DM17" s="721" t="s">
        <v>648</v>
      </c>
      <c r="DN17" s="722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5" t="s">
        <v>757</v>
      </c>
      <c r="KV17" s="696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7">
        <v>930.77</v>
      </c>
      <c r="SL17" s="831">
        <v>44932</v>
      </c>
      <c r="SM17" s="694">
        <v>930.77</v>
      </c>
      <c r="SN17" s="937" t="s">
        <v>904</v>
      </c>
      <c r="SO17" s="696">
        <v>47</v>
      </c>
      <c r="SP17" s="696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5" t="s">
        <v>583</v>
      </c>
      <c r="AB18" s="696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4">
        <v>877.2</v>
      </c>
      <c r="DK18" s="720">
        <v>44903</v>
      </c>
      <c r="DL18" s="694">
        <v>877.2</v>
      </c>
      <c r="DM18" s="721" t="s">
        <v>649</v>
      </c>
      <c r="DN18" s="722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5" t="s">
        <v>758</v>
      </c>
      <c r="KV18" s="696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4">
        <v>947.1</v>
      </c>
      <c r="SL18" s="831">
        <v>44932</v>
      </c>
      <c r="SM18" s="694">
        <v>947.1</v>
      </c>
      <c r="SN18" s="937" t="s">
        <v>904</v>
      </c>
      <c r="SO18" s="696">
        <v>47</v>
      </c>
      <c r="SP18" s="696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5" t="s">
        <v>583</v>
      </c>
      <c r="AB19" s="696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4">
        <v>909</v>
      </c>
      <c r="DK19" s="720">
        <v>44903</v>
      </c>
      <c r="DL19" s="694">
        <v>909</v>
      </c>
      <c r="DM19" s="721" t="s">
        <v>649</v>
      </c>
      <c r="DN19" s="722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37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5" t="s">
        <v>758</v>
      </c>
      <c r="KV19" s="696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5" t="s">
        <v>583</v>
      </c>
      <c r="AB20" s="696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4">
        <v>890.9</v>
      </c>
      <c r="DK20" s="720">
        <v>44903</v>
      </c>
      <c r="DL20" s="694">
        <v>890.9</v>
      </c>
      <c r="DM20" s="721" t="s">
        <v>649</v>
      </c>
      <c r="DN20" s="722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37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5" t="s">
        <v>758</v>
      </c>
      <c r="KV20" s="696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5" t="s">
        <v>583</v>
      </c>
      <c r="AB21" s="696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4">
        <v>878.2</v>
      </c>
      <c r="DK21" s="720">
        <v>44903</v>
      </c>
      <c r="DL21" s="694">
        <v>878.2</v>
      </c>
      <c r="DM21" s="721" t="s">
        <v>649</v>
      </c>
      <c r="DN21" s="722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37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5" t="s">
        <v>758</v>
      </c>
      <c r="KV21" s="696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5" t="s">
        <v>583</v>
      </c>
      <c r="AB22" s="696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4">
        <v>909</v>
      </c>
      <c r="DK22" s="720">
        <v>44903</v>
      </c>
      <c r="DL22" s="694">
        <v>909</v>
      </c>
      <c r="DM22" s="721" t="s">
        <v>649</v>
      </c>
      <c r="DN22" s="722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37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5" t="s">
        <v>758</v>
      </c>
      <c r="KV22" s="696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4">
        <v>912.6</v>
      </c>
      <c r="OG22" s="937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5" t="s">
        <v>583</v>
      </c>
      <c r="AB23" s="696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4">
        <v>889.9</v>
      </c>
      <c r="DK23" s="720">
        <v>44903</v>
      </c>
      <c r="DL23" s="694">
        <v>889.9</v>
      </c>
      <c r="DM23" s="721" t="s">
        <v>649</v>
      </c>
      <c r="DN23" s="722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37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5" t="s">
        <v>758</v>
      </c>
      <c r="KV23" s="696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5" t="s">
        <v>583</v>
      </c>
      <c r="AB24" s="696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4">
        <v>903.6</v>
      </c>
      <c r="DK24" s="720">
        <v>44903</v>
      </c>
      <c r="DL24" s="694">
        <v>903.6</v>
      </c>
      <c r="DM24" s="721" t="s">
        <v>649</v>
      </c>
      <c r="DN24" s="722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37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5" t="s">
        <v>758</v>
      </c>
      <c r="KV24" s="696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5" t="s">
        <v>583</v>
      </c>
      <c r="AB25" s="696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4">
        <v>885.4</v>
      </c>
      <c r="DK25" s="720">
        <v>44903</v>
      </c>
      <c r="DL25" s="694">
        <v>885.4</v>
      </c>
      <c r="DM25" s="721" t="s">
        <v>649</v>
      </c>
      <c r="DN25" s="722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37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5" t="s">
        <v>758</v>
      </c>
      <c r="KV25" s="696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5" t="s">
        <v>583</v>
      </c>
      <c r="AB26" s="696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4">
        <v>918.1</v>
      </c>
      <c r="DK26" s="720">
        <v>44903</v>
      </c>
      <c r="DL26" s="694">
        <v>918.1</v>
      </c>
      <c r="DM26" s="721" t="s">
        <v>649</v>
      </c>
      <c r="DN26" s="722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37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5" t="s">
        <v>758</v>
      </c>
      <c r="KV26" s="696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5" t="s">
        <v>583</v>
      </c>
      <c r="AB27" s="696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4">
        <v>869.1</v>
      </c>
      <c r="DK27" s="720">
        <v>44903</v>
      </c>
      <c r="DL27" s="694">
        <v>869.1</v>
      </c>
      <c r="DM27" s="721" t="s">
        <v>649</v>
      </c>
      <c r="DN27" s="722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37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5" t="s">
        <v>758</v>
      </c>
      <c r="KV27" s="696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5" t="s">
        <v>583</v>
      </c>
      <c r="AB28" s="696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4">
        <v>871.8</v>
      </c>
      <c r="DK28" s="720">
        <v>44903</v>
      </c>
      <c r="DL28" s="694">
        <v>871.8</v>
      </c>
      <c r="DM28" s="721" t="s">
        <v>649</v>
      </c>
      <c r="DN28" s="722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4"/>
      <c r="HI28" s="937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7"/>
      <c r="KU28" s="695"/>
      <c r="KV28" s="696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7"/>
      <c r="AA29" s="695"/>
      <c r="AB29" s="696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4"/>
      <c r="HI29" s="937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7"/>
      <c r="KU29" s="695"/>
      <c r="KV29" s="696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190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190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47" t="s">
        <v>21</v>
      </c>
      <c r="O33" s="948"/>
      <c r="P33" s="141">
        <f>Q5-P32</f>
        <v>0</v>
      </c>
      <c r="S33" s="393"/>
      <c r="X33" s="947" t="s">
        <v>21</v>
      </c>
      <c r="Y33" s="948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89" t="s">
        <v>21</v>
      </c>
      <c r="SB33" s="1390"/>
      <c r="SC33" s="141">
        <f>SUM(SD5-SC32)</f>
        <v>3.637978807091713E-12</v>
      </c>
      <c r="SK33" s="1389" t="s">
        <v>21</v>
      </c>
      <c r="SL33" s="1390"/>
      <c r="SM33" s="141">
        <f>SUM(SN5-SM32)</f>
        <v>0</v>
      </c>
      <c r="SU33" s="1389" t="s">
        <v>21</v>
      </c>
      <c r="SV33" s="1390"/>
      <c r="SW33" s="216">
        <f>SUM(SX5-SW32)</f>
        <v>6304.0999999999985</v>
      </c>
      <c r="TE33" s="1389" t="s">
        <v>21</v>
      </c>
      <c r="TF33" s="1390"/>
      <c r="TG33" s="141">
        <f>SUM(TH5-TG32)</f>
        <v>3.637978807091713E-12</v>
      </c>
      <c r="TO33" s="1389" t="s">
        <v>21</v>
      </c>
      <c r="TP33" s="1390"/>
      <c r="TQ33" s="141">
        <f>SUM(TR5-TQ32)</f>
        <v>0</v>
      </c>
      <c r="TY33" s="1389" t="s">
        <v>21</v>
      </c>
      <c r="TZ33" s="1390"/>
      <c r="UA33" s="141">
        <f>SUM(UB5-UA32)</f>
        <v>0</v>
      </c>
      <c r="UH33" s="1389" t="s">
        <v>21</v>
      </c>
      <c r="UI33" s="1390"/>
      <c r="UJ33" s="141">
        <f>SUM(UK5-UJ32)</f>
        <v>0</v>
      </c>
      <c r="UQ33" s="1389" t="s">
        <v>21</v>
      </c>
      <c r="UR33" s="1390"/>
      <c r="US33" s="141">
        <f>SUM(UT5-US32)</f>
        <v>0</v>
      </c>
      <c r="UZ33" s="1389" t="s">
        <v>21</v>
      </c>
      <c r="VA33" s="1390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89" t="s">
        <v>21</v>
      </c>
      <c r="WB33" s="1390"/>
      <c r="WC33" s="141">
        <f>WD5-WC32</f>
        <v>-22</v>
      </c>
      <c r="WJ33" s="1389" t="s">
        <v>21</v>
      </c>
      <c r="WK33" s="1390"/>
      <c r="WL33" s="141">
        <f>WM5-WL32</f>
        <v>-22</v>
      </c>
      <c r="WS33" s="1389" t="s">
        <v>21</v>
      </c>
      <c r="WT33" s="1390"/>
      <c r="WU33" s="141">
        <f>WV5-WU32</f>
        <v>-22</v>
      </c>
      <c r="XB33" s="1389" t="s">
        <v>21</v>
      </c>
      <c r="XC33" s="1390"/>
      <c r="XD33" s="141">
        <f>XE5-XD32</f>
        <v>-22</v>
      </c>
      <c r="XK33" s="1389" t="s">
        <v>21</v>
      </c>
      <c r="XL33" s="1390"/>
      <c r="XM33" s="141">
        <f>XN5-XM32</f>
        <v>-22</v>
      </c>
      <c r="XT33" s="1389" t="s">
        <v>21</v>
      </c>
      <c r="XU33" s="1390"/>
      <c r="XV33" s="141">
        <f>XW5-XV32</f>
        <v>-22</v>
      </c>
      <c r="YC33" s="1389" t="s">
        <v>21</v>
      </c>
      <c r="YD33" s="1390"/>
      <c r="YE33" s="141">
        <f>YF5-YE32</f>
        <v>-22</v>
      </c>
      <c r="YL33" s="1389" t="s">
        <v>21</v>
      </c>
      <c r="YM33" s="1390"/>
      <c r="YN33" s="141">
        <f>YO5-YN32</f>
        <v>-22</v>
      </c>
      <c r="YU33" s="1389" t="s">
        <v>21</v>
      </c>
      <c r="YV33" s="1390"/>
      <c r="YW33" s="141">
        <f>YX5-YW32</f>
        <v>-22</v>
      </c>
      <c r="ZD33" s="1389" t="s">
        <v>21</v>
      </c>
      <c r="ZE33" s="1390"/>
      <c r="ZF33" s="141">
        <f>ZG5-ZF32</f>
        <v>-22</v>
      </c>
      <c r="ZM33" s="1389" t="s">
        <v>21</v>
      </c>
      <c r="ZN33" s="1390"/>
      <c r="ZO33" s="141">
        <f>ZP5-ZO32</f>
        <v>-22</v>
      </c>
      <c r="ZV33" s="1389" t="s">
        <v>21</v>
      </c>
      <c r="ZW33" s="1390"/>
      <c r="ZX33" s="141">
        <f>ZY5-ZX32</f>
        <v>-22</v>
      </c>
      <c r="AAE33" s="1389" t="s">
        <v>21</v>
      </c>
      <c r="AAF33" s="1390"/>
      <c r="AAG33" s="141">
        <f>AAH5-AAG32</f>
        <v>-22</v>
      </c>
      <c r="AAN33" s="1389" t="s">
        <v>21</v>
      </c>
      <c r="AAO33" s="1390"/>
      <c r="AAP33" s="141">
        <f>AAQ5-AAP32</f>
        <v>-22</v>
      </c>
      <c r="AAW33" s="1389" t="s">
        <v>21</v>
      </c>
      <c r="AAX33" s="1390"/>
      <c r="AAY33" s="141">
        <f>AAZ5-AAY32</f>
        <v>-22</v>
      </c>
      <c r="ABF33" s="1389" t="s">
        <v>21</v>
      </c>
      <c r="ABG33" s="1390"/>
      <c r="ABH33" s="141">
        <f>ABH32-ABF32</f>
        <v>22</v>
      </c>
      <c r="ABO33" s="1389" t="s">
        <v>21</v>
      </c>
      <c r="ABP33" s="1390"/>
      <c r="ABQ33" s="141">
        <f>ABR5-ABQ32</f>
        <v>-22</v>
      </c>
      <c r="ABX33" s="1389" t="s">
        <v>21</v>
      </c>
      <c r="ABY33" s="1390"/>
      <c r="ABZ33" s="141">
        <f>ACA5-ABZ32</f>
        <v>-22</v>
      </c>
      <c r="ACG33" s="1389" t="s">
        <v>21</v>
      </c>
      <c r="ACH33" s="1390"/>
      <c r="ACI33" s="141">
        <f>ACJ5-ACI32</f>
        <v>-22</v>
      </c>
      <c r="ACP33" s="1389" t="s">
        <v>21</v>
      </c>
      <c r="ACQ33" s="1390"/>
      <c r="ACR33" s="141">
        <f>ACS5-ACR32</f>
        <v>-22</v>
      </c>
      <c r="ACY33" s="1389" t="s">
        <v>21</v>
      </c>
      <c r="ACZ33" s="1390"/>
      <c r="ADA33" s="141">
        <f>ADB5-ADA32</f>
        <v>-22</v>
      </c>
      <c r="ADH33" s="1389" t="s">
        <v>21</v>
      </c>
      <c r="ADI33" s="1390"/>
      <c r="ADJ33" s="141">
        <f>ADK5-ADJ32</f>
        <v>-22</v>
      </c>
      <c r="ADQ33" s="1389" t="s">
        <v>21</v>
      </c>
      <c r="ADR33" s="1390"/>
      <c r="ADS33" s="141">
        <f>ADT5-ADS32</f>
        <v>-22</v>
      </c>
      <c r="ADZ33" s="1389" t="s">
        <v>21</v>
      </c>
      <c r="AEA33" s="1390"/>
      <c r="AEB33" s="141">
        <f>AEC5-AEB32</f>
        <v>-22</v>
      </c>
      <c r="AEI33" s="1389" t="s">
        <v>21</v>
      </c>
      <c r="AEJ33" s="1390"/>
      <c r="AEK33" s="141">
        <f>AEL5-AEK32</f>
        <v>-22</v>
      </c>
      <c r="AER33" s="1389" t="s">
        <v>21</v>
      </c>
      <c r="AES33" s="1390"/>
      <c r="AET33" s="141">
        <f>AEU5-AET32</f>
        <v>-22</v>
      </c>
      <c r="AFA33" s="1389" t="s">
        <v>21</v>
      </c>
      <c r="AFB33" s="1390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49" t="s">
        <v>4</v>
      </c>
      <c r="O34" s="950"/>
      <c r="P34" s="49"/>
      <c r="S34" s="393"/>
      <c r="X34" s="949" t="s">
        <v>4</v>
      </c>
      <c r="Y34" s="950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91" t="s">
        <v>4</v>
      </c>
      <c r="SB34" s="1392"/>
      <c r="SC34" s="49"/>
      <c r="SK34" s="1391" t="s">
        <v>4</v>
      </c>
      <c r="SL34" s="1392"/>
      <c r="SM34" s="49"/>
      <c r="SU34" s="1391" t="s">
        <v>4</v>
      </c>
      <c r="SV34" s="1392"/>
      <c r="SW34" s="49"/>
      <c r="TE34" s="1391" t="s">
        <v>4</v>
      </c>
      <c r="TF34" s="1392"/>
      <c r="TG34" s="49"/>
      <c r="TO34" s="1391" t="s">
        <v>4</v>
      </c>
      <c r="TP34" s="1392"/>
      <c r="TQ34" s="49"/>
      <c r="TY34" s="1391" t="s">
        <v>4</v>
      </c>
      <c r="TZ34" s="1392"/>
      <c r="UA34" s="49"/>
      <c r="UH34" s="1391" t="s">
        <v>4</v>
      </c>
      <c r="UI34" s="1392"/>
      <c r="UJ34" s="49"/>
      <c r="UQ34" s="1391" t="s">
        <v>4</v>
      </c>
      <c r="UR34" s="1392"/>
      <c r="US34" s="49"/>
      <c r="UZ34" s="1391" t="s">
        <v>4</v>
      </c>
      <c r="VA34" s="1392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91" t="s">
        <v>4</v>
      </c>
      <c r="WB34" s="1392"/>
      <c r="WC34" s="49"/>
      <c r="WJ34" s="1391" t="s">
        <v>4</v>
      </c>
      <c r="WK34" s="1392"/>
      <c r="WL34" s="49"/>
      <c r="WS34" s="1391" t="s">
        <v>4</v>
      </c>
      <c r="WT34" s="1392"/>
      <c r="WU34" s="49"/>
      <c r="XB34" s="1391" t="s">
        <v>4</v>
      </c>
      <c r="XC34" s="1392"/>
      <c r="XD34" s="49"/>
      <c r="XK34" s="1391" t="s">
        <v>4</v>
      </c>
      <c r="XL34" s="1392"/>
      <c r="XM34" s="49"/>
      <c r="XT34" s="1391" t="s">
        <v>4</v>
      </c>
      <c r="XU34" s="1392"/>
      <c r="XV34" s="49"/>
      <c r="YC34" s="1391" t="s">
        <v>4</v>
      </c>
      <c r="YD34" s="1392"/>
      <c r="YE34" s="49"/>
      <c r="YL34" s="1391" t="s">
        <v>4</v>
      </c>
      <c r="YM34" s="1392"/>
      <c r="YN34" s="49"/>
      <c r="YU34" s="1391" t="s">
        <v>4</v>
      </c>
      <c r="YV34" s="1392"/>
      <c r="YW34" s="49"/>
      <c r="ZD34" s="1391" t="s">
        <v>4</v>
      </c>
      <c r="ZE34" s="1392"/>
      <c r="ZF34" s="49"/>
      <c r="ZM34" s="1391" t="s">
        <v>4</v>
      </c>
      <c r="ZN34" s="1392"/>
      <c r="ZO34" s="49"/>
      <c r="ZV34" s="1391" t="s">
        <v>4</v>
      </c>
      <c r="ZW34" s="1392"/>
      <c r="ZX34" s="49"/>
      <c r="AAE34" s="1391" t="s">
        <v>4</v>
      </c>
      <c r="AAF34" s="1392"/>
      <c r="AAG34" s="49"/>
      <c r="AAN34" s="1391" t="s">
        <v>4</v>
      </c>
      <c r="AAO34" s="1392"/>
      <c r="AAP34" s="49"/>
      <c r="AAW34" s="1391" t="s">
        <v>4</v>
      </c>
      <c r="AAX34" s="1392"/>
      <c r="AAY34" s="49"/>
      <c r="ABF34" s="1391" t="s">
        <v>4</v>
      </c>
      <c r="ABG34" s="1392"/>
      <c r="ABH34" s="49"/>
      <c r="ABO34" s="1391" t="s">
        <v>4</v>
      </c>
      <c r="ABP34" s="1392"/>
      <c r="ABQ34" s="49"/>
      <c r="ABX34" s="1391" t="s">
        <v>4</v>
      </c>
      <c r="ABY34" s="1392"/>
      <c r="ABZ34" s="49"/>
      <c r="ACG34" s="1391" t="s">
        <v>4</v>
      </c>
      <c r="ACH34" s="1392"/>
      <c r="ACI34" s="49"/>
      <c r="ACP34" s="1391" t="s">
        <v>4</v>
      </c>
      <c r="ACQ34" s="1392"/>
      <c r="ACR34" s="49"/>
      <c r="ACY34" s="1391" t="s">
        <v>4</v>
      </c>
      <c r="ACZ34" s="1392"/>
      <c r="ADA34" s="49"/>
      <c r="ADH34" s="1391" t="s">
        <v>4</v>
      </c>
      <c r="ADI34" s="1392"/>
      <c r="ADJ34" s="49"/>
      <c r="ADQ34" s="1391" t="s">
        <v>4</v>
      </c>
      <c r="ADR34" s="1392"/>
      <c r="ADS34" s="49"/>
      <c r="ADZ34" s="1391" t="s">
        <v>4</v>
      </c>
      <c r="AEA34" s="1392"/>
      <c r="AEB34" s="49"/>
      <c r="AEI34" s="1391" t="s">
        <v>4</v>
      </c>
      <c r="AEJ34" s="1392"/>
      <c r="AEK34" s="49"/>
      <c r="AER34" s="1391" t="s">
        <v>4</v>
      </c>
      <c r="AES34" s="1392"/>
      <c r="AET34" s="49"/>
      <c r="AFA34" s="1391" t="s">
        <v>4</v>
      </c>
      <c r="AFB34" s="1392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3"/>
      <c r="B1" s="1383"/>
      <c r="C1" s="1383"/>
      <c r="D1" s="1383"/>
      <c r="E1" s="1383"/>
      <c r="F1" s="1383"/>
      <c r="G1" s="1383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406"/>
      <c r="B5" s="1418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406"/>
      <c r="B6" s="1418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89" t="s">
        <v>21</v>
      </c>
      <c r="E32" s="1390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55">
        <f t="shared" si="0"/>
        <v>0</v>
      </c>
      <c r="G10" s="1158"/>
      <c r="H10" s="1159"/>
      <c r="I10" s="1162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55">
        <f t="shared" si="0"/>
        <v>0</v>
      </c>
      <c r="G11" s="1158"/>
      <c r="H11" s="1159"/>
      <c r="I11" s="1162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55">
        <f t="shared" si="0"/>
        <v>0</v>
      </c>
      <c r="G12" s="1158"/>
      <c r="H12" s="1159"/>
      <c r="I12" s="1162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4">
        <f t="shared" si="1"/>
        <v>997.9</v>
      </c>
      <c r="G12" s="695" t="s">
        <v>788</v>
      </c>
      <c r="H12" s="696">
        <v>25.8</v>
      </c>
      <c r="I12" s="692">
        <f t="shared" si="2"/>
        <v>3696.3000000000006</v>
      </c>
      <c r="J12" s="730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4">
        <f t="shared" si="1"/>
        <v>934.4</v>
      </c>
      <c r="G13" s="695" t="s">
        <v>811</v>
      </c>
      <c r="H13" s="696">
        <v>25.8</v>
      </c>
      <c r="I13" s="692">
        <f t="shared" si="2"/>
        <v>2761.9000000000005</v>
      </c>
      <c r="J13" s="730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4">
        <f t="shared" si="1"/>
        <v>910.35</v>
      </c>
      <c r="G14" s="695" t="s">
        <v>811</v>
      </c>
      <c r="H14" s="696">
        <v>25.8</v>
      </c>
      <c r="I14" s="692">
        <f t="shared" si="2"/>
        <v>1851.5500000000006</v>
      </c>
      <c r="J14" s="730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4">
        <f t="shared" si="1"/>
        <v>966.6</v>
      </c>
      <c r="G15" s="695" t="s">
        <v>811</v>
      </c>
      <c r="H15" s="696">
        <v>25.8</v>
      </c>
      <c r="I15" s="692">
        <f t="shared" si="2"/>
        <v>884.95000000000061</v>
      </c>
      <c r="J15" s="730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4">
        <f t="shared" si="1"/>
        <v>884.95</v>
      </c>
      <c r="G16" s="695" t="s">
        <v>811</v>
      </c>
      <c r="H16" s="696">
        <v>25.8</v>
      </c>
      <c r="I16" s="692">
        <f t="shared" si="2"/>
        <v>0</v>
      </c>
      <c r="J16" s="730">
        <f t="shared" si="0"/>
        <v>22831.710000000003</v>
      </c>
    </row>
    <row r="17" spans="1:10" x14ac:dyDescent="0.25">
      <c r="B17" s="89"/>
      <c r="C17" s="336"/>
      <c r="D17" s="337"/>
      <c r="E17" s="349"/>
      <c r="F17" s="1197">
        <f t="shared" si="1"/>
        <v>0</v>
      </c>
      <c r="G17" s="1158"/>
      <c r="H17" s="1159"/>
      <c r="I17" s="1176">
        <f t="shared" si="2"/>
        <v>0</v>
      </c>
      <c r="J17" s="1174">
        <f t="shared" si="0"/>
        <v>0</v>
      </c>
    </row>
    <row r="18" spans="1:10" x14ac:dyDescent="0.25">
      <c r="B18" s="89"/>
      <c r="C18" s="336"/>
      <c r="D18" s="337"/>
      <c r="E18" s="349"/>
      <c r="F18" s="1197">
        <f t="shared" si="1"/>
        <v>0</v>
      </c>
      <c r="G18" s="1158"/>
      <c r="H18" s="1159"/>
      <c r="I18" s="1176">
        <f t="shared" si="2"/>
        <v>0</v>
      </c>
      <c r="J18" s="1174">
        <f t="shared" si="0"/>
        <v>0</v>
      </c>
    </row>
    <row r="19" spans="1:10" x14ac:dyDescent="0.25">
      <c r="B19" s="89"/>
      <c r="C19" s="336"/>
      <c r="D19" s="337"/>
      <c r="E19" s="349"/>
      <c r="F19" s="1197">
        <f t="shared" si="1"/>
        <v>0</v>
      </c>
      <c r="G19" s="1158"/>
      <c r="H19" s="1159"/>
      <c r="I19" s="1176">
        <f t="shared" si="2"/>
        <v>0</v>
      </c>
      <c r="J19" s="1174">
        <f t="shared" si="0"/>
        <v>0</v>
      </c>
    </row>
    <row r="20" spans="1:10" x14ac:dyDescent="0.25">
      <c r="B20" s="89"/>
      <c r="C20" s="336"/>
      <c r="D20" s="337"/>
      <c r="E20" s="349"/>
      <c r="F20" s="1197">
        <f t="shared" si="1"/>
        <v>0</v>
      </c>
      <c r="G20" s="1158"/>
      <c r="H20" s="1159"/>
      <c r="I20" s="1176">
        <f t="shared" si="2"/>
        <v>0</v>
      </c>
      <c r="J20" s="1174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89" t="s">
        <v>21</v>
      </c>
      <c r="E32" s="1390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94" t="s">
        <v>218</v>
      </c>
      <c r="B1" s="1394"/>
      <c r="C1" s="1394"/>
      <c r="D1" s="1394"/>
      <c r="E1" s="1394"/>
      <c r="F1" s="1394"/>
      <c r="G1" s="1394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406" t="s">
        <v>97</v>
      </c>
      <c r="B5" s="1408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406" t="s">
        <v>97</v>
      </c>
      <c r="L5" s="1408" t="s">
        <v>98</v>
      </c>
      <c r="M5" s="66">
        <v>85</v>
      </c>
      <c r="N5" s="134">
        <v>44916</v>
      </c>
      <c r="O5" s="86">
        <v>524.9</v>
      </c>
      <c r="P5" s="73">
        <v>17</v>
      </c>
      <c r="Q5" s="1105"/>
    </row>
    <row r="6" spans="1:19" ht="15.75" customHeight="1" x14ac:dyDescent="0.25">
      <c r="A6" s="1406"/>
      <c r="B6" s="1408"/>
      <c r="C6" s="66"/>
      <c r="D6" s="134"/>
      <c r="E6" s="105"/>
      <c r="F6" s="1150"/>
      <c r="G6" s="1184">
        <f>F27</f>
        <v>1019.4300000000001</v>
      </c>
      <c r="H6" s="7">
        <f>E6-G6+E5+E7+E4</f>
        <v>-1.1368683772161603E-13</v>
      </c>
      <c r="K6" s="1406"/>
      <c r="L6" s="1408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50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08">
        <f t="shared" ref="L12:L14" si="5">L11-M12</f>
        <v>27</v>
      </c>
      <c r="M12" s="709">
        <v>10</v>
      </c>
      <c r="N12" s="697">
        <v>298.07</v>
      </c>
      <c r="O12" s="831">
        <v>44932</v>
      </c>
      <c r="P12" s="731">
        <f t="shared" si="1"/>
        <v>298.07</v>
      </c>
      <c r="Q12" s="695" t="s">
        <v>900</v>
      </c>
      <c r="R12" s="696">
        <v>85</v>
      </c>
      <c r="S12" s="692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08">
        <f t="shared" si="5"/>
        <v>27</v>
      </c>
      <c r="M13" s="709"/>
      <c r="N13" s="697"/>
      <c r="O13" s="831"/>
      <c r="P13" s="731">
        <f t="shared" si="1"/>
        <v>0</v>
      </c>
      <c r="Q13" s="695"/>
      <c r="R13" s="1109"/>
      <c r="S13" s="692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08">
        <f t="shared" si="5"/>
        <v>27</v>
      </c>
      <c r="M14" s="709"/>
      <c r="N14" s="697"/>
      <c r="O14" s="831"/>
      <c r="P14" s="731">
        <f t="shared" si="1"/>
        <v>0</v>
      </c>
      <c r="Q14" s="695"/>
      <c r="R14" s="1109"/>
      <c r="S14" s="692">
        <f t="shared" si="3"/>
        <v>788.32000000000016</v>
      </c>
    </row>
    <row r="15" spans="1:19" x14ac:dyDescent="0.25">
      <c r="B15" s="807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08">
        <f>L14-M15</f>
        <v>27</v>
      </c>
      <c r="M15" s="709"/>
      <c r="N15" s="697"/>
      <c r="O15" s="831"/>
      <c r="P15" s="731">
        <f t="shared" si="1"/>
        <v>0</v>
      </c>
      <c r="Q15" s="695"/>
      <c r="R15" s="1109"/>
      <c r="S15" s="692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5">
        <v>44837</v>
      </c>
      <c r="F16" s="736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08">
        <f t="shared" ref="L16:L26" si="7">L15-M16</f>
        <v>27</v>
      </c>
      <c r="M16" s="709"/>
      <c r="N16" s="697"/>
      <c r="O16" s="831"/>
      <c r="P16" s="731">
        <f t="shared" si="1"/>
        <v>0</v>
      </c>
      <c r="Q16" s="695"/>
      <c r="R16" s="979"/>
      <c r="S16" s="692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5">
        <v>44844</v>
      </c>
      <c r="F17" s="736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08">
        <f t="shared" si="7"/>
        <v>27</v>
      </c>
      <c r="M17" s="709"/>
      <c r="N17" s="697"/>
      <c r="O17" s="831"/>
      <c r="P17" s="731">
        <f t="shared" si="1"/>
        <v>0</v>
      </c>
      <c r="Q17" s="695"/>
      <c r="R17" s="979"/>
      <c r="S17" s="692">
        <f t="shared" si="3"/>
        <v>788.32000000000016</v>
      </c>
    </row>
    <row r="18" spans="1:19" x14ac:dyDescent="0.25">
      <c r="B18" s="835">
        <f t="shared" si="6"/>
        <v>15</v>
      </c>
      <c r="C18" s="73">
        <v>1</v>
      </c>
      <c r="D18" s="534">
        <v>29.94</v>
      </c>
      <c r="E18" s="735">
        <v>44858</v>
      </c>
      <c r="F18" s="736">
        <f t="shared" si="0"/>
        <v>29.94</v>
      </c>
      <c r="G18" s="329" t="s">
        <v>208</v>
      </c>
      <c r="H18" s="330">
        <v>61</v>
      </c>
      <c r="I18" s="814">
        <f t="shared" si="2"/>
        <v>473.93999999999977</v>
      </c>
      <c r="L18" s="1108">
        <f t="shared" si="7"/>
        <v>27</v>
      </c>
      <c r="M18" s="709"/>
      <c r="N18" s="697"/>
      <c r="O18" s="831"/>
      <c r="P18" s="731">
        <f t="shared" si="1"/>
        <v>0</v>
      </c>
      <c r="Q18" s="695"/>
      <c r="R18" s="979"/>
      <c r="S18" s="692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24">
        <v>31.74</v>
      </c>
      <c r="E19" s="833">
        <v>44870</v>
      </c>
      <c r="F19" s="834">
        <f t="shared" si="0"/>
        <v>31.74</v>
      </c>
      <c r="G19" s="826" t="s">
        <v>242</v>
      </c>
      <c r="H19" s="827">
        <v>61</v>
      </c>
      <c r="I19" s="132">
        <f t="shared" si="2"/>
        <v>442.19999999999976</v>
      </c>
      <c r="L19" s="1108">
        <f t="shared" si="7"/>
        <v>27</v>
      </c>
      <c r="M19" s="709"/>
      <c r="N19" s="697"/>
      <c r="O19" s="831"/>
      <c r="P19" s="731">
        <f t="shared" si="1"/>
        <v>0</v>
      </c>
      <c r="Q19" s="695"/>
      <c r="R19" s="1110"/>
      <c r="S19" s="692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24">
        <v>31.36</v>
      </c>
      <c r="E20" s="833">
        <v>44877</v>
      </c>
      <c r="F20" s="834">
        <f t="shared" si="0"/>
        <v>31.36</v>
      </c>
      <c r="G20" s="826" t="s">
        <v>265</v>
      </c>
      <c r="H20" s="827">
        <v>61</v>
      </c>
      <c r="I20" s="132">
        <f t="shared" si="2"/>
        <v>410.83999999999975</v>
      </c>
      <c r="L20" s="1108">
        <f t="shared" si="7"/>
        <v>27</v>
      </c>
      <c r="M20" s="709"/>
      <c r="N20" s="697"/>
      <c r="O20" s="831"/>
      <c r="P20" s="731">
        <f t="shared" si="1"/>
        <v>0</v>
      </c>
      <c r="Q20" s="695"/>
      <c r="R20" s="1110"/>
      <c r="S20" s="692">
        <f t="shared" si="3"/>
        <v>788.32000000000016</v>
      </c>
    </row>
    <row r="21" spans="1:19" x14ac:dyDescent="0.25">
      <c r="B21" s="835">
        <f t="shared" si="6"/>
        <v>12</v>
      </c>
      <c r="C21" s="73">
        <v>1</v>
      </c>
      <c r="D21" s="824">
        <v>26.53</v>
      </c>
      <c r="E21" s="833">
        <v>44881</v>
      </c>
      <c r="F21" s="834">
        <f t="shared" si="0"/>
        <v>26.53</v>
      </c>
      <c r="G21" s="826" t="s">
        <v>279</v>
      </c>
      <c r="H21" s="827">
        <v>61</v>
      </c>
      <c r="I21" s="814">
        <f t="shared" si="2"/>
        <v>384.30999999999972</v>
      </c>
      <c r="L21" s="1108">
        <f t="shared" si="7"/>
        <v>27</v>
      </c>
      <c r="M21" s="709"/>
      <c r="N21" s="697"/>
      <c r="O21" s="831"/>
      <c r="P21" s="731">
        <f t="shared" si="1"/>
        <v>0</v>
      </c>
      <c r="Q21" s="695"/>
      <c r="R21" s="1110"/>
      <c r="S21" s="692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6">
        <v>31.37</v>
      </c>
      <c r="E22" s="1169">
        <v>44903</v>
      </c>
      <c r="F22" s="1170">
        <f t="shared" si="0"/>
        <v>31.37</v>
      </c>
      <c r="G22" s="678" t="s">
        <v>642</v>
      </c>
      <c r="H22" s="205">
        <v>61</v>
      </c>
      <c r="I22" s="132">
        <f t="shared" si="2"/>
        <v>352.93999999999971</v>
      </c>
      <c r="L22" s="1108">
        <f t="shared" si="7"/>
        <v>27</v>
      </c>
      <c r="M22" s="709"/>
      <c r="N22" s="697">
        <v>0</v>
      </c>
      <c r="O22" s="831"/>
      <c r="P22" s="731">
        <f t="shared" si="1"/>
        <v>0</v>
      </c>
      <c r="Q22" s="695"/>
      <c r="R22" s="979"/>
      <c r="S22" s="692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6">
        <v>129.43</v>
      </c>
      <c r="E23" s="1169">
        <v>44912</v>
      </c>
      <c r="F23" s="1170">
        <f t="shared" si="0"/>
        <v>129.43</v>
      </c>
      <c r="G23" s="678" t="s">
        <v>742</v>
      </c>
      <c r="H23" s="205">
        <v>61</v>
      </c>
      <c r="I23" s="132">
        <f t="shared" si="2"/>
        <v>223.50999999999971</v>
      </c>
      <c r="L23" s="1108">
        <f t="shared" si="7"/>
        <v>27</v>
      </c>
      <c r="M23" s="806"/>
      <c r="N23" s="697">
        <v>0</v>
      </c>
      <c r="O23" s="831"/>
      <c r="P23" s="731">
        <f t="shared" si="1"/>
        <v>0</v>
      </c>
      <c r="Q23" s="695"/>
      <c r="R23" s="979"/>
      <c r="S23" s="692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6">
        <v>223.51</v>
      </c>
      <c r="E24" s="1169">
        <v>44916</v>
      </c>
      <c r="F24" s="1170">
        <f t="shared" si="0"/>
        <v>223.51</v>
      </c>
      <c r="G24" s="678" t="s">
        <v>774</v>
      </c>
      <c r="H24" s="205">
        <v>61</v>
      </c>
      <c r="I24" s="132">
        <f t="shared" si="2"/>
        <v>-2.8421709430404007E-13</v>
      </c>
      <c r="L24" s="1108">
        <f t="shared" si="7"/>
        <v>27</v>
      </c>
      <c r="M24" s="806"/>
      <c r="N24" s="697">
        <v>0</v>
      </c>
      <c r="O24" s="831"/>
      <c r="P24" s="731">
        <f t="shared" si="1"/>
        <v>0</v>
      </c>
      <c r="Q24" s="695"/>
      <c r="R24" s="979"/>
      <c r="S24" s="692">
        <f t="shared" si="3"/>
        <v>788.32000000000016</v>
      </c>
    </row>
    <row r="25" spans="1:19" x14ac:dyDescent="0.25">
      <c r="B25" s="416">
        <f t="shared" si="6"/>
        <v>0</v>
      </c>
      <c r="C25" s="15"/>
      <c r="D25" s="676">
        <v>0</v>
      </c>
      <c r="E25" s="1169"/>
      <c r="F25" s="1181">
        <f t="shared" si="0"/>
        <v>0</v>
      </c>
      <c r="G25" s="1146"/>
      <c r="H25" s="1147"/>
      <c r="I25" s="1176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6">
        <v>0</v>
      </c>
      <c r="E26" s="1171"/>
      <c r="F26" s="1181">
        <f t="shared" si="0"/>
        <v>0</v>
      </c>
      <c r="G26" s="1182"/>
      <c r="H26" s="1183"/>
      <c r="I26" s="1176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85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89" t="s">
        <v>21</v>
      </c>
      <c r="E29" s="1390"/>
      <c r="F29" s="141">
        <f>E5+E6-F27+E7+E4</f>
        <v>-1.1368683772161603E-13</v>
      </c>
      <c r="L29" s="5"/>
      <c r="N29" s="1389" t="s">
        <v>21</v>
      </c>
      <c r="O29" s="1390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02" t="s">
        <v>4</v>
      </c>
      <c r="O30" s="1103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99"/>
      <c r="B6" s="1419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99"/>
      <c r="B7" s="1420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9" t="s">
        <v>21</v>
      </c>
      <c r="E30" s="1390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424" t="s">
        <v>324</v>
      </c>
      <c r="B1" s="1424"/>
      <c r="C1" s="1424"/>
      <c r="D1" s="1424"/>
      <c r="E1" s="1424"/>
      <c r="F1" s="1424"/>
      <c r="G1" s="1424"/>
      <c r="H1" s="1424"/>
      <c r="I1" s="1424"/>
      <c r="J1" s="1424"/>
      <c r="K1" s="478">
        <v>1</v>
      </c>
      <c r="M1" s="1421" t="s">
        <v>339</v>
      </c>
      <c r="N1" s="1421"/>
      <c r="O1" s="1421"/>
      <c r="P1" s="1421"/>
      <c r="Q1" s="1421"/>
      <c r="R1" s="1421"/>
      <c r="S1" s="1421"/>
      <c r="T1" s="1421"/>
      <c r="U1" s="1421"/>
      <c r="V1" s="1421"/>
      <c r="W1" s="478">
        <v>2</v>
      </c>
      <c r="Y1" s="1421" t="s">
        <v>339</v>
      </c>
      <c r="Z1" s="1421"/>
      <c r="AA1" s="1421"/>
      <c r="AB1" s="1421"/>
      <c r="AC1" s="1421"/>
      <c r="AD1" s="1421"/>
      <c r="AE1" s="1421"/>
      <c r="AF1" s="1421"/>
      <c r="AG1" s="1421"/>
      <c r="AH1" s="1421"/>
      <c r="AI1" s="478">
        <v>2</v>
      </c>
      <c r="AK1" s="1421" t="s">
        <v>339</v>
      </c>
      <c r="AL1" s="1421"/>
      <c r="AM1" s="1421"/>
      <c r="AN1" s="1421"/>
      <c r="AO1" s="1421"/>
      <c r="AP1" s="1421"/>
      <c r="AQ1" s="1421"/>
      <c r="AR1" s="1421"/>
      <c r="AS1" s="1421"/>
      <c r="AT1" s="1421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422" t="s">
        <v>97</v>
      </c>
      <c r="B5" s="73" t="s">
        <v>48</v>
      </c>
      <c r="C5" s="865">
        <v>92</v>
      </c>
      <c r="D5" s="713">
        <v>44870</v>
      </c>
      <c r="E5" s="692">
        <v>5008.4799999999996</v>
      </c>
      <c r="F5" s="709">
        <v>184</v>
      </c>
      <c r="G5" s="47">
        <f>F115</f>
        <v>5013.4699999999993</v>
      </c>
      <c r="H5" s="154">
        <f>E5+E6-G5+E4</f>
        <v>2.1849189124623081E-13</v>
      </c>
      <c r="M5" s="1422" t="s">
        <v>97</v>
      </c>
      <c r="N5" s="73" t="s">
        <v>48</v>
      </c>
      <c r="O5" s="865">
        <v>88.5</v>
      </c>
      <c r="P5" s="713">
        <v>44898</v>
      </c>
      <c r="Q5" s="692">
        <v>5008.4799999999996</v>
      </c>
      <c r="R5" s="709">
        <v>184</v>
      </c>
      <c r="S5" s="47">
        <f>R115</f>
        <v>5199.0199999999986</v>
      </c>
      <c r="T5" s="154">
        <f>Q5+Q6-S5+Q4</f>
        <v>4.9900000000006912</v>
      </c>
      <c r="Y5" s="1422" t="s">
        <v>52</v>
      </c>
      <c r="Z5" s="73" t="s">
        <v>48</v>
      </c>
      <c r="AA5" s="865">
        <v>86</v>
      </c>
      <c r="AB5" s="713">
        <v>44900</v>
      </c>
      <c r="AC5" s="692">
        <v>9016.44</v>
      </c>
      <c r="AD5" s="709">
        <v>331</v>
      </c>
      <c r="AE5" s="47">
        <f>AD115</f>
        <v>9206.9399999999987</v>
      </c>
      <c r="AF5" s="154">
        <f>AC5+AC6-AE5+AC4</f>
        <v>5.0300000000024738</v>
      </c>
      <c r="AK5" s="1422" t="s">
        <v>97</v>
      </c>
      <c r="AL5" s="73" t="s">
        <v>48</v>
      </c>
      <c r="AM5" s="865">
        <v>84.5</v>
      </c>
      <c r="AN5" s="713">
        <v>44930</v>
      </c>
      <c r="AO5" s="692">
        <v>9227.58</v>
      </c>
      <c r="AP5" s="709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423"/>
      <c r="B6" s="665" t="s">
        <v>142</v>
      </c>
      <c r="C6" s="866"/>
      <c r="D6" s="713"/>
      <c r="E6" s="838"/>
      <c r="F6" s="867"/>
      <c r="M6" s="1423"/>
      <c r="N6" s="665" t="s">
        <v>142</v>
      </c>
      <c r="O6" s="866"/>
      <c r="P6" s="713"/>
      <c r="Q6" s="838">
        <v>195.53</v>
      </c>
      <c r="R6" s="867">
        <v>7</v>
      </c>
      <c r="Y6" s="1423"/>
      <c r="Z6" s="665" t="s">
        <v>142</v>
      </c>
      <c r="AA6" s="866"/>
      <c r="AB6" s="713"/>
      <c r="AC6" s="838">
        <v>195.53</v>
      </c>
      <c r="AD6" s="867">
        <v>7</v>
      </c>
      <c r="AK6" s="1423"/>
      <c r="AL6" s="665" t="s">
        <v>142</v>
      </c>
      <c r="AM6" s="866"/>
      <c r="AN6" s="713"/>
      <c r="AO6" s="838"/>
      <c r="AP6" s="867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46" t="s">
        <v>59</v>
      </c>
      <c r="J8" s="846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48" t="s">
        <v>59</v>
      </c>
      <c r="V8" s="948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48" t="s">
        <v>59</v>
      </c>
      <c r="AH8" s="948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191" t="s">
        <v>59</v>
      </c>
      <c r="AT8" s="1191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71">
        <f>E5-F9+E4+E6+E7</f>
        <v>4469.07</v>
      </c>
      <c r="J9" s="972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15">
        <f>Q5-R9+Q4+Q6+Q7</f>
        <v>4550.7299999999996</v>
      </c>
      <c r="V9" s="1016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15">
        <f>AC5-AD9+AC4+AC6+AC7</f>
        <v>8966.9900000000016</v>
      </c>
      <c r="AH9" s="1016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15">
        <f>AO5-AP9+AO4+AO6+AO7</f>
        <v>8574.2999999999993</v>
      </c>
      <c r="AT9" s="1016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86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7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7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7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7">
        <f t="shared" ref="D11:D74" si="12">C11*B11</f>
        <v>979.92</v>
      </c>
      <c r="E11" s="735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7">
        <f t="shared" si="12"/>
        <v>27.22</v>
      </c>
      <c r="E12" s="735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7">
        <f t="shared" si="12"/>
        <v>653.28</v>
      </c>
      <c r="E13" s="735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7">
        <f t="shared" si="12"/>
        <v>163.32</v>
      </c>
      <c r="E14" s="735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7">
        <f t="shared" si="12"/>
        <v>27.22</v>
      </c>
      <c r="E15" s="735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7">
        <f t="shared" si="12"/>
        <v>1007.14</v>
      </c>
      <c r="E16" s="735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7">
        <f t="shared" si="12"/>
        <v>272.2</v>
      </c>
      <c r="E17" s="735">
        <v>44900</v>
      </c>
      <c r="F17" s="534">
        <f t="shared" si="13"/>
        <v>272.2</v>
      </c>
      <c r="G17" s="329" t="s">
        <v>613</v>
      </c>
      <c r="H17" s="1161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7">
        <f t="shared" si="12"/>
        <v>871.04</v>
      </c>
      <c r="E18" s="735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7">
        <f t="shared" si="12"/>
        <v>0</v>
      </c>
      <c r="E19" s="735"/>
      <c r="F19" s="1152">
        <f t="shared" si="13"/>
        <v>0</v>
      </c>
      <c r="G19" s="1153"/>
      <c r="H19" s="1154"/>
      <c r="I19" s="1167">
        <f t="shared" si="14"/>
        <v>195.52999999999997</v>
      </c>
      <c r="J19" s="1168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7">
        <f t="shared" si="12"/>
        <v>0</v>
      </c>
      <c r="E20" s="735"/>
      <c r="F20" s="1152">
        <f t="shared" si="13"/>
        <v>0</v>
      </c>
      <c r="G20" s="1153"/>
      <c r="H20" s="1154"/>
      <c r="I20" s="1167">
        <f t="shared" si="14"/>
        <v>195.52999999999997</v>
      </c>
      <c r="J20" s="1168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7">
        <f t="shared" si="12"/>
        <v>0</v>
      </c>
      <c r="E21" s="735"/>
      <c r="F21" s="1152">
        <f t="shared" si="13"/>
        <v>0</v>
      </c>
      <c r="G21" s="1153"/>
      <c r="H21" s="1154"/>
      <c r="I21" s="1167">
        <f t="shared" si="14"/>
        <v>195.52999999999997</v>
      </c>
      <c r="J21" s="1168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7">
        <f t="shared" si="12"/>
        <v>190.54</v>
      </c>
      <c r="E22" s="735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7">
        <f t="shared" si="12"/>
        <v>0</v>
      </c>
      <c r="E23" s="735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7">
        <f t="shared" si="12"/>
        <v>0</v>
      </c>
      <c r="E24" s="735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7">
        <f t="shared" si="12"/>
        <v>0</v>
      </c>
      <c r="E25" s="735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59"/>
      <c r="U25" s="1167">
        <f t="shared" si="18"/>
        <v>4.9900000000003502</v>
      </c>
      <c r="V25" s="1168">
        <f t="shared" si="29"/>
        <v>0</v>
      </c>
      <c r="W25" s="1180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7">
        <f t="shared" si="12"/>
        <v>0</v>
      </c>
      <c r="E26" s="735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59"/>
      <c r="U26" s="1167">
        <f t="shared" si="18"/>
        <v>4.9900000000003502</v>
      </c>
      <c r="V26" s="1168">
        <f t="shared" si="29"/>
        <v>0</v>
      </c>
      <c r="W26" s="1180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7">
        <f t="shared" si="12"/>
        <v>0</v>
      </c>
      <c r="E27" s="735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59"/>
      <c r="U27" s="1167">
        <f t="shared" si="18"/>
        <v>4.9900000000003502</v>
      </c>
      <c r="V27" s="1168">
        <f t="shared" si="29"/>
        <v>0</v>
      </c>
      <c r="W27" s="1180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7">
        <f t="shared" si="12"/>
        <v>0</v>
      </c>
      <c r="E28" s="735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59"/>
      <c r="U28" s="1167">
        <f t="shared" si="18"/>
        <v>4.9900000000003502</v>
      </c>
      <c r="V28" s="1168">
        <f t="shared" si="29"/>
        <v>0</v>
      </c>
      <c r="W28" s="1180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7">
        <f t="shared" si="12"/>
        <v>0</v>
      </c>
      <c r="E29" s="735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7">
        <f t="shared" si="12"/>
        <v>0</v>
      </c>
      <c r="E30" s="735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7">
        <f t="shared" si="12"/>
        <v>0</v>
      </c>
      <c r="E31" s="735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7">
        <f t="shared" si="12"/>
        <v>0</v>
      </c>
      <c r="E32" s="735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7">
        <f t="shared" si="12"/>
        <v>0</v>
      </c>
      <c r="E33" s="735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3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3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3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3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96" t="s">
        <v>11</v>
      </c>
      <c r="D120" s="1397"/>
      <c r="E120" s="57">
        <f>E4+E5+E6-F115</f>
        <v>0</v>
      </c>
      <c r="G120" s="47"/>
      <c r="H120" s="91"/>
      <c r="O120" s="1396" t="s">
        <v>11</v>
      </c>
      <c r="P120" s="1397"/>
      <c r="Q120" s="57">
        <f>Q4+Q5+Q6-R115</f>
        <v>4.9900000000006912</v>
      </c>
      <c r="S120" s="47"/>
      <c r="T120" s="91"/>
      <c r="AA120" s="1396" t="s">
        <v>11</v>
      </c>
      <c r="AB120" s="1397"/>
      <c r="AC120" s="57">
        <f>AC4+AC5+AC6-AD115</f>
        <v>5.0300000000024738</v>
      </c>
      <c r="AE120" s="47"/>
      <c r="AF120" s="91"/>
      <c r="AM120" s="1396" t="s">
        <v>11</v>
      </c>
      <c r="AN120" s="1397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4" t="s">
        <v>325</v>
      </c>
      <c r="B1" s="1394"/>
      <c r="C1" s="1394"/>
      <c r="D1" s="1394"/>
      <c r="E1" s="1394"/>
      <c r="F1" s="1394"/>
      <c r="G1" s="1394"/>
      <c r="H1" s="11">
        <v>1</v>
      </c>
      <c r="K1" s="1398" t="s">
        <v>498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75"/>
      <c r="D4" s="876"/>
      <c r="E4" s="936">
        <v>111.09</v>
      </c>
      <c r="F4" s="867">
        <v>6</v>
      </c>
      <c r="G4" s="73"/>
      <c r="L4" s="83"/>
      <c r="M4" s="875"/>
      <c r="N4" s="876"/>
      <c r="O4" s="936">
        <v>244.42</v>
      </c>
      <c r="P4" s="867">
        <v>13</v>
      </c>
      <c r="Q4" s="73"/>
    </row>
    <row r="5" spans="1:19" ht="15.75" customHeight="1" x14ac:dyDescent="0.25">
      <c r="A5" s="1399" t="s">
        <v>223</v>
      </c>
      <c r="B5" s="350" t="s">
        <v>66</v>
      </c>
      <c r="C5" s="710">
        <v>144</v>
      </c>
      <c r="D5" s="711">
        <v>44874</v>
      </c>
      <c r="E5" s="697">
        <v>2545.4699999999998</v>
      </c>
      <c r="F5" s="709">
        <v>128</v>
      </c>
      <c r="G5" s="47">
        <f>F68</f>
        <v>2656.5600000000004</v>
      </c>
      <c r="H5" s="7">
        <f>E5-G5+E4+E6+E7</f>
        <v>-5.9685589803848416E-13</v>
      </c>
      <c r="K5" s="1399" t="s">
        <v>223</v>
      </c>
      <c r="L5" s="350" t="s">
        <v>66</v>
      </c>
      <c r="M5" s="710">
        <v>142</v>
      </c>
      <c r="N5" s="711">
        <v>44915</v>
      </c>
      <c r="O5" s="697">
        <v>1085.3399999999999</v>
      </c>
      <c r="P5" s="709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99"/>
      <c r="B6" s="847" t="s">
        <v>67</v>
      </c>
      <c r="C6" s="878"/>
      <c r="D6" s="878"/>
      <c r="E6" s="878"/>
      <c r="F6" s="877"/>
      <c r="K6" s="1399"/>
      <c r="L6" s="1104" t="s">
        <v>67</v>
      </c>
      <c r="M6" s="878"/>
      <c r="N6" s="878"/>
      <c r="O6" s="878"/>
      <c r="P6" s="877"/>
    </row>
    <row r="7" spans="1:19" ht="15.75" thickBot="1" x14ac:dyDescent="0.3">
      <c r="B7" s="73"/>
      <c r="C7" s="879"/>
      <c r="D7" s="879"/>
      <c r="E7" s="879"/>
      <c r="F7" s="877"/>
      <c r="L7" s="73"/>
      <c r="M7" s="879"/>
      <c r="N7" s="879"/>
      <c r="O7" s="879"/>
      <c r="P7" s="877"/>
    </row>
    <row r="8" spans="1:19" ht="16.5" thickTop="1" thickBot="1" x14ac:dyDescent="0.3">
      <c r="B8" s="64" t="s">
        <v>7</v>
      </c>
      <c r="C8" s="816" t="s">
        <v>8</v>
      </c>
      <c r="D8" s="817" t="s">
        <v>3</v>
      </c>
      <c r="E8" s="818" t="s">
        <v>2</v>
      </c>
      <c r="F8" s="9" t="s">
        <v>9</v>
      </c>
      <c r="G8" s="10" t="s">
        <v>15</v>
      </c>
      <c r="H8" s="24"/>
      <c r="L8" s="64" t="s">
        <v>7</v>
      </c>
      <c r="M8" s="816" t="s">
        <v>8</v>
      </c>
      <c r="N8" s="817" t="s">
        <v>3</v>
      </c>
      <c r="O8" s="818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38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38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12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15">
        <f t="shared" si="3"/>
        <v>2197.1400000000003</v>
      </c>
      <c r="K12" s="55" t="s">
        <v>33</v>
      </c>
      <c r="L12" s="873">
        <f t="shared" si="4"/>
        <v>50</v>
      </c>
      <c r="M12" s="1107"/>
      <c r="N12" s="697"/>
      <c r="O12" s="837"/>
      <c r="P12" s="697">
        <f t="shared" si="5"/>
        <v>0</v>
      </c>
      <c r="Q12" s="695"/>
      <c r="R12" s="696"/>
      <c r="S12" s="838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73">
        <f t="shared" si="4"/>
        <v>50</v>
      </c>
      <c r="M13" s="1107"/>
      <c r="N13" s="697"/>
      <c r="O13" s="837"/>
      <c r="P13" s="697">
        <f t="shared" si="5"/>
        <v>0</v>
      </c>
      <c r="Q13" s="695"/>
      <c r="R13" s="696"/>
      <c r="S13" s="838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52">
        <f t="shared" si="0"/>
        <v>0</v>
      </c>
      <c r="G34" s="1153"/>
      <c r="H34" s="1154"/>
      <c r="I34" s="1160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52">
        <f t="shared" si="0"/>
        <v>0</v>
      </c>
      <c r="G35" s="1153"/>
      <c r="H35" s="1154"/>
      <c r="I35" s="1160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52">
        <v>244.42</v>
      </c>
      <c r="G36" s="1153"/>
      <c r="H36" s="1154"/>
      <c r="I36" s="1160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52">
        <f t="shared" si="0"/>
        <v>0</v>
      </c>
      <c r="G37" s="1153"/>
      <c r="H37" s="1154"/>
      <c r="I37" s="1160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52">
        <f t="shared" si="0"/>
        <v>0</v>
      </c>
      <c r="G38" s="1153"/>
      <c r="H38" s="1154"/>
      <c r="I38" s="1160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96" t="s">
        <v>11</v>
      </c>
      <c r="D73" s="1397"/>
      <c r="E73" s="57">
        <f>E5-F68+E4+E6+E7</f>
        <v>-5.9685589803848416E-13</v>
      </c>
      <c r="L73" s="91"/>
      <c r="M73" s="1396" t="s">
        <v>11</v>
      </c>
      <c r="N73" s="1397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99"/>
      <c r="B5" s="1425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99"/>
      <c r="B6" s="1425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96" t="s">
        <v>11</v>
      </c>
      <c r="D60" s="139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4" t="s">
        <v>326</v>
      </c>
      <c r="B1" s="1394"/>
      <c r="C1" s="1394"/>
      <c r="D1" s="1394"/>
      <c r="E1" s="1394"/>
      <c r="F1" s="1394"/>
      <c r="G1" s="1394"/>
      <c r="H1" s="11">
        <v>1</v>
      </c>
      <c r="K1" s="1398" t="s">
        <v>326</v>
      </c>
      <c r="L1" s="1398"/>
      <c r="M1" s="1398"/>
      <c r="N1" s="1398"/>
      <c r="O1" s="1398"/>
      <c r="P1" s="1398"/>
      <c r="Q1" s="13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9"/>
      <c r="B4" s="1426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99"/>
      <c r="L4" s="1426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99"/>
      <c r="B5" s="1427"/>
      <c r="C5" s="128">
        <v>75.5</v>
      </c>
      <c r="D5" s="231">
        <v>44887</v>
      </c>
      <c r="E5" s="78">
        <v>2997.33</v>
      </c>
      <c r="F5" s="62">
        <v>113</v>
      </c>
      <c r="K5" s="1399"/>
      <c r="L5" s="1427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427"/>
      <c r="C6" s="128"/>
      <c r="D6" s="231"/>
      <c r="E6" s="78"/>
      <c r="F6" s="62"/>
      <c r="K6" s="1047" t="s">
        <v>52</v>
      </c>
      <c r="L6" s="1427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47"/>
      <c r="L7" s="1048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47"/>
      <c r="L8" s="1048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5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15">
        <f>E5+E4-F10+E6+E7+E8</f>
        <v>2120.29</v>
      </c>
      <c r="K10" s="55" t="s">
        <v>32</v>
      </c>
      <c r="L10" s="835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15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7">
        <v>525.08000000000004</v>
      </c>
      <c r="E13" s="837">
        <v>44900</v>
      </c>
      <c r="F13" s="697">
        <f t="shared" si="0"/>
        <v>525.08000000000004</v>
      </c>
      <c r="G13" s="695" t="s">
        <v>612</v>
      </c>
      <c r="H13" s="696">
        <v>77.5</v>
      </c>
      <c r="I13" s="838">
        <f t="shared" si="4"/>
        <v>0</v>
      </c>
      <c r="K13" s="55" t="s">
        <v>33</v>
      </c>
      <c r="L13" s="182">
        <f t="shared" si="3"/>
        <v>0</v>
      </c>
      <c r="M13" s="15"/>
      <c r="N13" s="697"/>
      <c r="O13" s="837"/>
      <c r="P13" s="1157">
        <f t="shared" si="1"/>
        <v>0</v>
      </c>
      <c r="Q13" s="1158"/>
      <c r="R13" s="1159"/>
      <c r="S13" s="1160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7"/>
      <c r="E14" s="837"/>
      <c r="F14" s="1157">
        <f t="shared" si="0"/>
        <v>0</v>
      </c>
      <c r="G14" s="1158"/>
      <c r="H14" s="1159"/>
      <c r="I14" s="1160">
        <f t="shared" si="4"/>
        <v>0</v>
      </c>
      <c r="K14" s="77"/>
      <c r="L14" s="182">
        <f t="shared" si="3"/>
        <v>0</v>
      </c>
      <c r="M14" s="15"/>
      <c r="N14" s="697"/>
      <c r="O14" s="837"/>
      <c r="P14" s="1157">
        <f t="shared" si="1"/>
        <v>0</v>
      </c>
      <c r="Q14" s="1158"/>
      <c r="R14" s="1159"/>
      <c r="S14" s="1160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7"/>
      <c r="E15" s="837"/>
      <c r="F15" s="1157">
        <f t="shared" si="0"/>
        <v>0</v>
      </c>
      <c r="G15" s="1158"/>
      <c r="H15" s="1159"/>
      <c r="I15" s="1160">
        <f t="shared" si="4"/>
        <v>0</v>
      </c>
      <c r="K15" s="12"/>
      <c r="L15" s="182">
        <f t="shared" si="3"/>
        <v>0</v>
      </c>
      <c r="M15" s="15"/>
      <c r="N15" s="697"/>
      <c r="O15" s="837"/>
      <c r="P15" s="1157">
        <f t="shared" si="1"/>
        <v>0</v>
      </c>
      <c r="Q15" s="1158"/>
      <c r="R15" s="1159"/>
      <c r="S15" s="1160">
        <f t="shared" si="5"/>
        <v>0</v>
      </c>
    </row>
    <row r="16" spans="1:19" x14ac:dyDescent="0.25">
      <c r="B16" s="182">
        <f t="shared" si="2"/>
        <v>0</v>
      </c>
      <c r="C16" s="15"/>
      <c r="D16" s="697"/>
      <c r="E16" s="837"/>
      <c r="F16" s="1157">
        <f t="shared" si="0"/>
        <v>0</v>
      </c>
      <c r="G16" s="1158"/>
      <c r="H16" s="1159"/>
      <c r="I16" s="1160">
        <f t="shared" si="4"/>
        <v>0</v>
      </c>
      <c r="L16" s="182">
        <f t="shared" si="3"/>
        <v>0</v>
      </c>
      <c r="M16" s="15"/>
      <c r="N16" s="697"/>
      <c r="O16" s="837"/>
      <c r="P16" s="697">
        <f t="shared" si="1"/>
        <v>0</v>
      </c>
      <c r="Q16" s="695"/>
      <c r="R16" s="696"/>
      <c r="S16" s="838">
        <f t="shared" si="5"/>
        <v>0</v>
      </c>
    </row>
    <row r="17" spans="2:19" x14ac:dyDescent="0.25">
      <c r="B17" s="182">
        <f t="shared" si="2"/>
        <v>0</v>
      </c>
      <c r="C17" s="15"/>
      <c r="D17" s="697"/>
      <c r="E17" s="837"/>
      <c r="F17" s="1157">
        <f t="shared" si="0"/>
        <v>0</v>
      </c>
      <c r="G17" s="1158"/>
      <c r="H17" s="1159"/>
      <c r="I17" s="1160">
        <f t="shared" si="4"/>
        <v>0</v>
      </c>
      <c r="L17" s="182">
        <f t="shared" si="3"/>
        <v>0</v>
      </c>
      <c r="M17" s="15"/>
      <c r="N17" s="697"/>
      <c r="O17" s="837"/>
      <c r="P17" s="697">
        <f t="shared" si="1"/>
        <v>0</v>
      </c>
      <c r="Q17" s="695"/>
      <c r="R17" s="696"/>
      <c r="S17" s="838">
        <f t="shared" si="5"/>
        <v>0</v>
      </c>
    </row>
    <row r="18" spans="2:19" x14ac:dyDescent="0.25">
      <c r="B18" s="182">
        <f t="shared" si="2"/>
        <v>0</v>
      </c>
      <c r="C18" s="15"/>
      <c r="D18" s="697"/>
      <c r="E18" s="837"/>
      <c r="F18" s="697">
        <f t="shared" si="0"/>
        <v>0</v>
      </c>
      <c r="G18" s="695"/>
      <c r="H18" s="696"/>
      <c r="I18" s="838">
        <f t="shared" si="4"/>
        <v>0</v>
      </c>
      <c r="L18" s="182">
        <f t="shared" si="3"/>
        <v>0</v>
      </c>
      <c r="M18" s="15"/>
      <c r="N18" s="697"/>
      <c r="O18" s="837"/>
      <c r="P18" s="697">
        <f t="shared" si="1"/>
        <v>0</v>
      </c>
      <c r="Q18" s="695"/>
      <c r="R18" s="696"/>
      <c r="S18" s="838">
        <f t="shared" si="5"/>
        <v>0</v>
      </c>
    </row>
    <row r="19" spans="2:19" x14ac:dyDescent="0.25">
      <c r="B19" s="182">
        <f t="shared" si="2"/>
        <v>0</v>
      </c>
      <c r="C19" s="53"/>
      <c r="D19" s="697"/>
      <c r="E19" s="837"/>
      <c r="F19" s="697">
        <f t="shared" si="0"/>
        <v>0</v>
      </c>
      <c r="G19" s="695"/>
      <c r="H19" s="696"/>
      <c r="I19" s="838">
        <f t="shared" si="4"/>
        <v>0</v>
      </c>
      <c r="L19" s="182">
        <f t="shared" si="3"/>
        <v>0</v>
      </c>
      <c r="M19" s="53"/>
      <c r="N19" s="697"/>
      <c r="O19" s="837"/>
      <c r="P19" s="697">
        <f t="shared" si="1"/>
        <v>0</v>
      </c>
      <c r="Q19" s="695"/>
      <c r="R19" s="696"/>
      <c r="S19" s="838">
        <f t="shared" si="5"/>
        <v>0</v>
      </c>
    </row>
    <row r="20" spans="2:19" x14ac:dyDescent="0.25">
      <c r="B20" s="182">
        <f t="shared" si="2"/>
        <v>0</v>
      </c>
      <c r="C20" s="15"/>
      <c r="D20" s="697"/>
      <c r="E20" s="837"/>
      <c r="F20" s="697">
        <f t="shared" si="0"/>
        <v>0</v>
      </c>
      <c r="G20" s="695"/>
      <c r="H20" s="696"/>
      <c r="I20" s="838">
        <f t="shared" si="4"/>
        <v>0</v>
      </c>
      <c r="L20" s="182">
        <f t="shared" si="3"/>
        <v>0</v>
      </c>
      <c r="M20" s="15"/>
      <c r="N20" s="697"/>
      <c r="O20" s="837"/>
      <c r="P20" s="697">
        <f t="shared" si="1"/>
        <v>0</v>
      </c>
      <c r="Q20" s="695"/>
      <c r="R20" s="696"/>
      <c r="S20" s="838">
        <f t="shared" si="5"/>
        <v>0</v>
      </c>
    </row>
    <row r="21" spans="2:19" x14ac:dyDescent="0.25">
      <c r="B21" s="182">
        <f t="shared" si="2"/>
        <v>0</v>
      </c>
      <c r="C21" s="15"/>
      <c r="D21" s="697"/>
      <c r="E21" s="837"/>
      <c r="F21" s="697">
        <f t="shared" si="0"/>
        <v>0</v>
      </c>
      <c r="G21" s="695"/>
      <c r="H21" s="696"/>
      <c r="I21" s="838">
        <f t="shared" si="4"/>
        <v>0</v>
      </c>
      <c r="L21" s="182">
        <f t="shared" si="3"/>
        <v>0</v>
      </c>
      <c r="M21" s="15"/>
      <c r="N21" s="697"/>
      <c r="O21" s="837"/>
      <c r="P21" s="697">
        <f t="shared" si="1"/>
        <v>0</v>
      </c>
      <c r="Q21" s="695"/>
      <c r="R21" s="696"/>
      <c r="S21" s="838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96" t="s">
        <v>11</v>
      </c>
      <c r="D61" s="1397"/>
      <c r="E61" s="57">
        <f>E5+E6+E7+E8-F56</f>
        <v>0</v>
      </c>
      <c r="L61" s="91"/>
      <c r="M61" s="1396" t="s">
        <v>11</v>
      </c>
      <c r="N61" s="1397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428"/>
      <c r="B5" s="1430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429"/>
      <c r="B6" s="1431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432" t="s">
        <v>11</v>
      </c>
      <c r="D56" s="143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94" t="s">
        <v>107</v>
      </c>
      <c r="B1" s="1394"/>
      <c r="C1" s="1394"/>
      <c r="D1" s="1394"/>
      <c r="E1" s="1394"/>
      <c r="F1" s="1394"/>
      <c r="G1" s="139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95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95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3"/>
      <c r="B1" s="1383"/>
      <c r="C1" s="1383"/>
      <c r="D1" s="1383"/>
      <c r="E1" s="1383"/>
      <c r="F1" s="1383"/>
      <c r="G1" s="138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34"/>
      <c r="C4" s="17"/>
      <c r="E4" s="253"/>
      <c r="F4" s="239"/>
    </row>
    <row r="5" spans="1:10" ht="15" customHeight="1" x14ac:dyDescent="0.25">
      <c r="A5" s="1428"/>
      <c r="B5" s="1435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429"/>
      <c r="B6" s="1436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432" t="s">
        <v>11</v>
      </c>
      <c r="D55" s="143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4" t="s">
        <v>327</v>
      </c>
      <c r="B1" s="1394"/>
      <c r="C1" s="1394"/>
      <c r="D1" s="1394"/>
      <c r="E1" s="1394"/>
      <c r="F1" s="1394"/>
      <c r="G1" s="1394"/>
      <c r="H1" s="1394"/>
      <c r="I1" s="1394"/>
      <c r="J1" s="11">
        <v>1</v>
      </c>
      <c r="M1" s="1398" t="s">
        <v>339</v>
      </c>
      <c r="N1" s="1398"/>
      <c r="O1" s="1398"/>
      <c r="P1" s="1398"/>
      <c r="Q1" s="1398"/>
      <c r="R1" s="1398"/>
      <c r="S1" s="1398"/>
      <c r="T1" s="1398"/>
      <c r="U1" s="139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35"/>
      <c r="P4" s="1036"/>
      <c r="Q4" s="731">
        <v>22.6</v>
      </c>
      <c r="R4" s="709">
        <v>5</v>
      </c>
      <c r="S4" s="73"/>
      <c r="U4" s="190"/>
      <c r="V4" s="73" t="s">
        <v>36</v>
      </c>
    </row>
    <row r="5" spans="1:23" ht="15" customHeight="1" x14ac:dyDescent="0.25">
      <c r="A5" s="1406" t="s">
        <v>174</v>
      </c>
      <c r="B5" s="1437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406" t="s">
        <v>174</v>
      </c>
      <c r="N5" s="1437" t="s">
        <v>43</v>
      </c>
      <c r="O5" s="1035">
        <v>44</v>
      </c>
      <c r="P5" s="1036">
        <v>44900</v>
      </c>
      <c r="Q5" s="731">
        <v>1502.74</v>
      </c>
      <c r="R5" s="709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406"/>
      <c r="B6" s="1437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406"/>
      <c r="N6" s="1437"/>
      <c r="O6" s="1035">
        <v>44</v>
      </c>
      <c r="P6" s="1011">
        <v>44914</v>
      </c>
      <c r="Q6" s="838">
        <v>1003.34</v>
      </c>
      <c r="R6" s="867">
        <v>221</v>
      </c>
      <c r="U6" s="191"/>
      <c r="V6" s="73"/>
    </row>
    <row r="7" spans="1:23" ht="15.75" thickBot="1" x14ac:dyDescent="0.3">
      <c r="B7" s="12"/>
      <c r="C7" s="944"/>
      <c r="D7" s="945" t="s">
        <v>316</v>
      </c>
      <c r="E7" s="105">
        <v>9.08</v>
      </c>
      <c r="F7" s="73">
        <v>2</v>
      </c>
      <c r="I7" s="191"/>
      <c r="J7" s="73"/>
      <c r="N7" s="12"/>
      <c r="O7" s="710">
        <v>44</v>
      </c>
      <c r="P7" s="1011">
        <v>44925</v>
      </c>
      <c r="Q7" s="731">
        <v>1502.74</v>
      </c>
      <c r="R7" s="709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06">
        <f>6+74</f>
        <v>80</v>
      </c>
      <c r="P11" s="697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19">
        <f t="shared" si="7"/>
        <v>338</v>
      </c>
      <c r="K42" s="829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0">
        <f t="shared" si="5"/>
        <v>6809.9999999999991</v>
      </c>
    </row>
    <row r="43" spans="1:23" x14ac:dyDescent="0.25">
      <c r="B43" s="133">
        <v>4.54</v>
      </c>
      <c r="C43" s="1198">
        <v>30</v>
      </c>
      <c r="D43" s="1199">
        <f t="shared" si="0"/>
        <v>136.19999999999999</v>
      </c>
      <c r="E43" s="738">
        <v>44893</v>
      </c>
      <c r="F43" s="534">
        <f t="shared" si="10"/>
        <v>136.19999999999999</v>
      </c>
      <c r="G43" s="329" t="s">
        <v>566</v>
      </c>
      <c r="H43" s="330">
        <v>50</v>
      </c>
      <c r="I43" s="987">
        <f t="shared" si="6"/>
        <v>1398.3200000000018</v>
      </c>
      <c r="J43" s="747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198">
        <v>10</v>
      </c>
      <c r="D44" s="1199">
        <f t="shared" si="0"/>
        <v>45.4</v>
      </c>
      <c r="E44" s="738">
        <v>44893</v>
      </c>
      <c r="F44" s="534">
        <f t="shared" si="10"/>
        <v>45.4</v>
      </c>
      <c r="G44" s="329" t="s">
        <v>567</v>
      </c>
      <c r="H44" s="330">
        <v>50</v>
      </c>
      <c r="I44" s="987">
        <f t="shared" si="6"/>
        <v>1352.9200000000017</v>
      </c>
      <c r="J44" s="747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198">
        <v>4</v>
      </c>
      <c r="D45" s="1199">
        <f t="shared" si="0"/>
        <v>18.16</v>
      </c>
      <c r="E45" s="738">
        <v>44895</v>
      </c>
      <c r="F45" s="534">
        <f t="shared" si="10"/>
        <v>18.16</v>
      </c>
      <c r="G45" s="329" t="s">
        <v>576</v>
      </c>
      <c r="H45" s="330">
        <v>50</v>
      </c>
      <c r="I45" s="987">
        <f t="shared" si="6"/>
        <v>1334.7600000000016</v>
      </c>
      <c r="J45" s="747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198">
        <v>20</v>
      </c>
      <c r="D46" s="1199">
        <f t="shared" si="0"/>
        <v>90.8</v>
      </c>
      <c r="E46" s="738">
        <v>44895</v>
      </c>
      <c r="F46" s="534">
        <f t="shared" si="10"/>
        <v>90.8</v>
      </c>
      <c r="G46" s="329" t="s">
        <v>577</v>
      </c>
      <c r="H46" s="330">
        <v>50</v>
      </c>
      <c r="I46" s="987">
        <f t="shared" si="6"/>
        <v>1243.9600000000016</v>
      </c>
      <c r="J46" s="747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198">
        <v>30</v>
      </c>
      <c r="D47" s="1199">
        <f t="shared" si="0"/>
        <v>136.19999999999999</v>
      </c>
      <c r="E47" s="738">
        <v>44895</v>
      </c>
      <c r="F47" s="534">
        <f t="shared" si="10"/>
        <v>136.19999999999999</v>
      </c>
      <c r="G47" s="329" t="s">
        <v>577</v>
      </c>
      <c r="H47" s="330">
        <v>50</v>
      </c>
      <c r="I47" s="987">
        <f t="shared" si="6"/>
        <v>1107.7600000000016</v>
      </c>
      <c r="J47" s="747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198">
        <v>2</v>
      </c>
      <c r="D48" s="1199">
        <f t="shared" si="0"/>
        <v>9.08</v>
      </c>
      <c r="E48" s="738">
        <v>44895</v>
      </c>
      <c r="F48" s="534">
        <f t="shared" si="10"/>
        <v>9.08</v>
      </c>
      <c r="G48" s="329" t="s">
        <v>585</v>
      </c>
      <c r="H48" s="330">
        <v>50</v>
      </c>
      <c r="I48" s="987">
        <f t="shared" si="6"/>
        <v>1098.6800000000017</v>
      </c>
      <c r="J48" s="747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198">
        <v>1</v>
      </c>
      <c r="D49" s="1199">
        <f t="shared" si="0"/>
        <v>4.54</v>
      </c>
      <c r="E49" s="738">
        <v>44896</v>
      </c>
      <c r="F49" s="534">
        <f t="shared" si="10"/>
        <v>4.54</v>
      </c>
      <c r="G49" s="329" t="s">
        <v>586</v>
      </c>
      <c r="H49" s="330">
        <v>50</v>
      </c>
      <c r="I49" s="987">
        <f t="shared" si="6"/>
        <v>1094.1400000000017</v>
      </c>
      <c r="J49" s="747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198">
        <v>30</v>
      </c>
      <c r="D50" s="1199">
        <f t="shared" si="0"/>
        <v>136.19999999999999</v>
      </c>
      <c r="E50" s="738">
        <v>44896</v>
      </c>
      <c r="F50" s="534">
        <f t="shared" si="10"/>
        <v>136.19999999999999</v>
      </c>
      <c r="G50" s="329" t="s">
        <v>591</v>
      </c>
      <c r="H50" s="330">
        <v>50</v>
      </c>
      <c r="I50" s="987">
        <f t="shared" si="6"/>
        <v>957.94000000000165</v>
      </c>
      <c r="J50" s="747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198">
        <v>10</v>
      </c>
      <c r="D51" s="1199">
        <f t="shared" si="0"/>
        <v>45.4</v>
      </c>
      <c r="E51" s="738">
        <v>44898</v>
      </c>
      <c r="F51" s="534">
        <f t="shared" si="10"/>
        <v>45.4</v>
      </c>
      <c r="G51" s="329" t="s">
        <v>605</v>
      </c>
      <c r="H51" s="330">
        <v>50</v>
      </c>
      <c r="I51" s="987">
        <f t="shared" si="6"/>
        <v>912.54000000000167</v>
      </c>
      <c r="J51" s="747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198">
        <v>1</v>
      </c>
      <c r="D52" s="1199">
        <f t="shared" si="0"/>
        <v>4.54</v>
      </c>
      <c r="E52" s="738">
        <v>44898</v>
      </c>
      <c r="F52" s="534">
        <f t="shared" si="10"/>
        <v>4.54</v>
      </c>
      <c r="G52" s="329" t="s">
        <v>601</v>
      </c>
      <c r="H52" s="330">
        <v>50</v>
      </c>
      <c r="I52" s="987">
        <f t="shared" si="6"/>
        <v>908.00000000000171</v>
      </c>
      <c r="J52" s="747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198">
        <v>6</v>
      </c>
      <c r="D53" s="1199">
        <f t="shared" si="0"/>
        <v>27.240000000000002</v>
      </c>
      <c r="E53" s="738">
        <v>44898</v>
      </c>
      <c r="F53" s="534">
        <f t="shared" si="10"/>
        <v>27.240000000000002</v>
      </c>
      <c r="G53" s="329" t="s">
        <v>607</v>
      </c>
      <c r="H53" s="330">
        <v>50</v>
      </c>
      <c r="I53" s="987">
        <f t="shared" si="6"/>
        <v>880.7600000000017</v>
      </c>
      <c r="J53" s="747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4" t="s">
        <v>217</v>
      </c>
      <c r="B54" s="893">
        <v>4.54</v>
      </c>
      <c r="C54" s="1198">
        <v>30</v>
      </c>
      <c r="D54" s="1199">
        <f t="shared" si="0"/>
        <v>136.19999999999999</v>
      </c>
      <c r="E54" s="976">
        <v>44898</v>
      </c>
      <c r="F54" s="977">
        <f t="shared" si="10"/>
        <v>136.19999999999999</v>
      </c>
      <c r="G54" s="978" t="s">
        <v>608</v>
      </c>
      <c r="H54" s="979">
        <v>50</v>
      </c>
      <c r="I54" s="988">
        <f t="shared" si="6"/>
        <v>744.56000000000176</v>
      </c>
      <c r="J54" s="989">
        <f t="shared" si="7"/>
        <v>164</v>
      </c>
      <c r="K54" s="60">
        <f t="shared" si="4"/>
        <v>6809.9999999999991</v>
      </c>
      <c r="L54" s="806">
        <v>30</v>
      </c>
      <c r="M54" s="714"/>
      <c r="N54" s="893">
        <v>4.54</v>
      </c>
      <c r="O54" s="806"/>
      <c r="P54" s="697">
        <f t="shared" si="2"/>
        <v>0</v>
      </c>
      <c r="Q54" s="843"/>
      <c r="R54" s="697">
        <f t="shared" si="11"/>
        <v>0</v>
      </c>
      <c r="S54" s="695"/>
      <c r="T54" s="696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29"/>
      <c r="B55" s="893">
        <v>4.54</v>
      </c>
      <c r="C55" s="1198">
        <v>10</v>
      </c>
      <c r="D55" s="1199">
        <f t="shared" si="0"/>
        <v>45.4</v>
      </c>
      <c r="E55" s="976">
        <v>44900</v>
      </c>
      <c r="F55" s="977">
        <f t="shared" si="10"/>
        <v>45.4</v>
      </c>
      <c r="G55" s="978" t="s">
        <v>610</v>
      </c>
      <c r="H55" s="979">
        <v>50</v>
      </c>
      <c r="I55" s="988">
        <f t="shared" si="6"/>
        <v>699.16000000000179</v>
      </c>
      <c r="J55" s="989">
        <f t="shared" si="7"/>
        <v>154</v>
      </c>
      <c r="K55" s="60">
        <f t="shared" si="4"/>
        <v>2270</v>
      </c>
      <c r="L55" s="806">
        <v>10</v>
      </c>
      <c r="M55" s="729"/>
      <c r="N55" s="893">
        <v>4.54</v>
      </c>
      <c r="O55" s="806"/>
      <c r="P55" s="697">
        <f t="shared" si="2"/>
        <v>0</v>
      </c>
      <c r="Q55" s="843"/>
      <c r="R55" s="697">
        <f t="shared" si="11"/>
        <v>0</v>
      </c>
      <c r="S55" s="695"/>
      <c r="T55" s="696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198">
        <v>30</v>
      </c>
      <c r="D56" s="1199">
        <f t="shared" si="0"/>
        <v>136.19999999999999</v>
      </c>
      <c r="E56" s="738">
        <v>44900</v>
      </c>
      <c r="F56" s="534">
        <f t="shared" si="10"/>
        <v>136.19999999999999</v>
      </c>
      <c r="G56" s="329" t="s">
        <v>615</v>
      </c>
      <c r="H56" s="330">
        <v>50</v>
      </c>
      <c r="I56" s="987">
        <f t="shared" si="6"/>
        <v>562.96000000000186</v>
      </c>
      <c r="J56" s="747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198">
        <v>10</v>
      </c>
      <c r="D57" s="1199">
        <f t="shared" si="0"/>
        <v>45.4</v>
      </c>
      <c r="E57" s="738">
        <v>44901</v>
      </c>
      <c r="F57" s="534">
        <f t="shared" si="10"/>
        <v>45.4</v>
      </c>
      <c r="G57" s="329" t="s">
        <v>621</v>
      </c>
      <c r="H57" s="330">
        <v>50</v>
      </c>
      <c r="I57" s="987">
        <f t="shared" si="6"/>
        <v>517.56000000000188</v>
      </c>
      <c r="J57" s="747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198">
        <v>30</v>
      </c>
      <c r="D58" s="1199">
        <f t="shared" si="0"/>
        <v>136.19999999999999</v>
      </c>
      <c r="E58" s="738">
        <v>44901</v>
      </c>
      <c r="F58" s="534">
        <f t="shared" si="10"/>
        <v>136.19999999999999</v>
      </c>
      <c r="G58" s="329" t="s">
        <v>625</v>
      </c>
      <c r="H58" s="330">
        <v>50</v>
      </c>
      <c r="I58" s="987">
        <f t="shared" si="6"/>
        <v>381.36000000000189</v>
      </c>
      <c r="J58" s="747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198">
        <v>1</v>
      </c>
      <c r="D59" s="1199">
        <f t="shared" si="0"/>
        <v>4.54</v>
      </c>
      <c r="E59" s="738">
        <v>44902</v>
      </c>
      <c r="F59" s="534">
        <f t="shared" si="10"/>
        <v>4.54</v>
      </c>
      <c r="G59" s="329" t="s">
        <v>629</v>
      </c>
      <c r="H59" s="330">
        <v>50</v>
      </c>
      <c r="I59" s="987">
        <f t="shared" si="6"/>
        <v>376.82000000000187</v>
      </c>
      <c r="J59" s="747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198">
        <v>30</v>
      </c>
      <c r="D60" s="1199">
        <f t="shared" si="0"/>
        <v>136.19999999999999</v>
      </c>
      <c r="E60" s="738">
        <v>44902</v>
      </c>
      <c r="F60" s="534">
        <f t="shared" si="10"/>
        <v>136.19999999999999</v>
      </c>
      <c r="G60" s="329" t="s">
        <v>631</v>
      </c>
      <c r="H60" s="330">
        <v>50</v>
      </c>
      <c r="I60" s="987">
        <f t="shared" si="6"/>
        <v>240.62000000000188</v>
      </c>
      <c r="J60" s="747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198">
        <v>10</v>
      </c>
      <c r="D61" s="1199">
        <f t="shared" si="0"/>
        <v>45.4</v>
      </c>
      <c r="E61" s="738">
        <v>44903</v>
      </c>
      <c r="F61" s="534">
        <f t="shared" si="10"/>
        <v>45.4</v>
      </c>
      <c r="G61" s="329" t="s">
        <v>641</v>
      </c>
      <c r="H61" s="330">
        <v>50</v>
      </c>
      <c r="I61" s="987">
        <f t="shared" si="6"/>
        <v>195.22000000000187</v>
      </c>
      <c r="J61" s="747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198">
        <v>8</v>
      </c>
      <c r="D62" s="1199">
        <f t="shared" si="0"/>
        <v>36.32</v>
      </c>
      <c r="E62" s="738">
        <v>44904</v>
      </c>
      <c r="F62" s="534">
        <f t="shared" si="10"/>
        <v>36.32</v>
      </c>
      <c r="G62" s="329" t="s">
        <v>653</v>
      </c>
      <c r="H62" s="330">
        <v>50</v>
      </c>
      <c r="I62" s="987">
        <f t="shared" si="6"/>
        <v>158.90000000000188</v>
      </c>
      <c r="J62" s="747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198">
        <v>30</v>
      </c>
      <c r="D63" s="1199">
        <f t="shared" si="0"/>
        <v>136.19999999999999</v>
      </c>
      <c r="E63" s="738">
        <v>44904</v>
      </c>
      <c r="F63" s="534">
        <f t="shared" si="10"/>
        <v>136.19999999999999</v>
      </c>
      <c r="G63" s="329" t="s">
        <v>654</v>
      </c>
      <c r="H63" s="330">
        <v>50</v>
      </c>
      <c r="I63" s="987">
        <f t="shared" si="6"/>
        <v>22.700000000001893</v>
      </c>
      <c r="J63" s="747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38"/>
      <c r="F64" s="534">
        <f t="shared" si="10"/>
        <v>0</v>
      </c>
      <c r="G64" s="329"/>
      <c r="H64" s="330"/>
      <c r="I64" s="987">
        <f t="shared" si="6"/>
        <v>22.700000000001893</v>
      </c>
      <c r="J64" s="747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38"/>
      <c r="F65" s="534">
        <f t="shared" si="10"/>
        <v>0</v>
      </c>
      <c r="G65" s="329"/>
      <c r="H65" s="330"/>
      <c r="I65" s="987">
        <f t="shared" si="6"/>
        <v>22.700000000001893</v>
      </c>
      <c r="J65" s="747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38"/>
      <c r="F66" s="534">
        <f t="shared" si="10"/>
        <v>22.7</v>
      </c>
      <c r="G66" s="1153"/>
      <c r="H66" s="1154"/>
      <c r="I66" s="1172">
        <f t="shared" si="6"/>
        <v>1.893596390800667E-12</v>
      </c>
      <c r="J66" s="1173">
        <f t="shared" si="7"/>
        <v>0</v>
      </c>
      <c r="K66" s="1174">
        <f t="shared" si="4"/>
        <v>0</v>
      </c>
      <c r="N66" s="133">
        <v>4.54</v>
      </c>
      <c r="O66" s="15"/>
      <c r="P66" s="534">
        <f t="shared" si="2"/>
        <v>0</v>
      </c>
      <c r="Q66" s="738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38"/>
      <c r="F67" s="534">
        <f t="shared" si="10"/>
        <v>0</v>
      </c>
      <c r="G67" s="1153"/>
      <c r="H67" s="1154"/>
      <c r="I67" s="1172">
        <f t="shared" si="6"/>
        <v>1.893596390800667E-12</v>
      </c>
      <c r="J67" s="1173">
        <f t="shared" si="7"/>
        <v>0</v>
      </c>
      <c r="K67" s="1174">
        <f t="shared" si="4"/>
        <v>0</v>
      </c>
      <c r="N67" s="133">
        <v>4.54</v>
      </c>
      <c r="O67" s="15"/>
      <c r="P67" s="534">
        <f t="shared" si="2"/>
        <v>0</v>
      </c>
      <c r="Q67" s="738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38"/>
      <c r="F68" s="534">
        <f t="shared" si="10"/>
        <v>0</v>
      </c>
      <c r="G68" s="1153"/>
      <c r="H68" s="1154"/>
      <c r="I68" s="1172">
        <f t="shared" si="6"/>
        <v>1.893596390800667E-12</v>
      </c>
      <c r="J68" s="1173">
        <f t="shared" si="7"/>
        <v>0</v>
      </c>
      <c r="K68" s="1174">
        <f t="shared" si="4"/>
        <v>0</v>
      </c>
      <c r="N68" s="133">
        <v>4.54</v>
      </c>
      <c r="O68" s="15"/>
      <c r="P68" s="534">
        <f t="shared" si="2"/>
        <v>0</v>
      </c>
      <c r="Q68" s="738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38"/>
      <c r="F69" s="534">
        <f t="shared" si="10"/>
        <v>0</v>
      </c>
      <c r="G69" s="1153"/>
      <c r="H69" s="1154"/>
      <c r="I69" s="1172">
        <f t="shared" si="6"/>
        <v>1.893596390800667E-12</v>
      </c>
      <c r="J69" s="1173">
        <f t="shared" si="7"/>
        <v>0</v>
      </c>
      <c r="K69" s="1174">
        <f t="shared" si="4"/>
        <v>0</v>
      </c>
      <c r="N69" s="133">
        <v>4.54</v>
      </c>
      <c r="O69" s="15"/>
      <c r="P69" s="534">
        <f t="shared" si="2"/>
        <v>0</v>
      </c>
      <c r="Q69" s="738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38"/>
      <c r="F70" s="534">
        <f t="shared" si="10"/>
        <v>0</v>
      </c>
      <c r="G70" s="1153"/>
      <c r="H70" s="1154"/>
      <c r="I70" s="1172">
        <f t="shared" si="6"/>
        <v>1.893596390800667E-12</v>
      </c>
      <c r="J70" s="1173">
        <f t="shared" si="7"/>
        <v>0</v>
      </c>
      <c r="K70" s="1174">
        <f t="shared" si="4"/>
        <v>0</v>
      </c>
      <c r="N70" s="133">
        <v>4.54</v>
      </c>
      <c r="O70" s="15"/>
      <c r="P70" s="534">
        <f t="shared" si="2"/>
        <v>0</v>
      </c>
      <c r="Q70" s="738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38"/>
      <c r="F71" s="534">
        <f t="shared" si="10"/>
        <v>0</v>
      </c>
      <c r="G71" s="329"/>
      <c r="H71" s="330"/>
      <c r="I71" s="987">
        <f t="shared" si="6"/>
        <v>1.893596390800667E-12</v>
      </c>
      <c r="J71" s="747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38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38"/>
      <c r="F72" s="534">
        <f t="shared" si="10"/>
        <v>0</v>
      </c>
      <c r="G72" s="329"/>
      <c r="H72" s="330"/>
      <c r="I72" s="987">
        <f t="shared" si="6"/>
        <v>1.893596390800667E-12</v>
      </c>
      <c r="J72" s="747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38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38"/>
      <c r="F73" s="534">
        <f t="shared" si="10"/>
        <v>0</v>
      </c>
      <c r="G73" s="329"/>
      <c r="H73" s="330"/>
      <c r="I73" s="987">
        <f t="shared" si="6"/>
        <v>1.893596390800667E-12</v>
      </c>
      <c r="J73" s="747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38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38"/>
      <c r="F74" s="534">
        <f t="shared" si="10"/>
        <v>0</v>
      </c>
      <c r="G74" s="329"/>
      <c r="H74" s="330"/>
      <c r="I74" s="987">
        <f t="shared" si="6"/>
        <v>1.893596390800667E-12</v>
      </c>
      <c r="J74" s="747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38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38"/>
      <c r="F75" s="534">
        <f t="shared" si="10"/>
        <v>0</v>
      </c>
      <c r="G75" s="329"/>
      <c r="H75" s="330"/>
      <c r="I75" s="987">
        <f t="shared" ref="I75:I107" si="14">I74-F75</f>
        <v>1.893596390800667E-12</v>
      </c>
      <c r="J75" s="747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38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38"/>
      <c r="F76" s="534">
        <f t="shared" si="10"/>
        <v>0</v>
      </c>
      <c r="G76" s="329"/>
      <c r="H76" s="330"/>
      <c r="I76" s="987">
        <f t="shared" si="14"/>
        <v>1.893596390800667E-12</v>
      </c>
      <c r="J76" s="747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38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38"/>
      <c r="F77" s="534">
        <f t="shared" si="10"/>
        <v>0</v>
      </c>
      <c r="G77" s="329"/>
      <c r="H77" s="330"/>
      <c r="I77" s="987">
        <f t="shared" si="14"/>
        <v>1.893596390800667E-12</v>
      </c>
      <c r="J77" s="747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38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38"/>
      <c r="F78" s="534">
        <f t="shared" si="10"/>
        <v>0</v>
      </c>
      <c r="G78" s="329"/>
      <c r="H78" s="330"/>
      <c r="I78" s="987">
        <f t="shared" si="14"/>
        <v>1.893596390800667E-12</v>
      </c>
      <c r="J78" s="747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38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38"/>
      <c r="F79" s="534">
        <f t="shared" si="10"/>
        <v>0</v>
      </c>
      <c r="G79" s="329"/>
      <c r="H79" s="330"/>
      <c r="I79" s="987">
        <f t="shared" si="14"/>
        <v>1.893596390800667E-12</v>
      </c>
      <c r="J79" s="747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38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38"/>
      <c r="F80" s="534">
        <f t="shared" si="10"/>
        <v>0</v>
      </c>
      <c r="G80" s="329"/>
      <c r="H80" s="330"/>
      <c r="I80" s="987">
        <f t="shared" si="14"/>
        <v>1.893596390800667E-12</v>
      </c>
      <c r="J80" s="747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38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38"/>
      <c r="F81" s="534">
        <f t="shared" si="10"/>
        <v>0</v>
      </c>
      <c r="G81" s="329"/>
      <c r="H81" s="330"/>
      <c r="I81" s="987">
        <f t="shared" si="14"/>
        <v>1.893596390800667E-12</v>
      </c>
      <c r="J81" s="747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38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38"/>
      <c r="F82" s="534">
        <f t="shared" si="10"/>
        <v>0</v>
      </c>
      <c r="G82" s="329"/>
      <c r="H82" s="330"/>
      <c r="I82" s="987">
        <f t="shared" si="14"/>
        <v>1.893596390800667E-12</v>
      </c>
      <c r="J82" s="747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38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438" t="s">
        <v>19</v>
      </c>
      <c r="D112" s="1439"/>
      <c r="E112" s="39">
        <f>E4+E5-F109+E6+E7</f>
        <v>9.8232533218833851E-13</v>
      </c>
      <c r="F112" s="6"/>
      <c r="G112" s="6"/>
      <c r="H112" s="17"/>
      <c r="I112" s="132"/>
      <c r="J112" s="73"/>
      <c r="O112" s="1438" t="s">
        <v>19</v>
      </c>
      <c r="P112" s="1439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99" t="s">
        <v>52</v>
      </c>
      <c r="B5" s="1440" t="s">
        <v>99</v>
      </c>
      <c r="C5" s="199"/>
      <c r="D5" s="149"/>
      <c r="E5" s="132"/>
      <c r="F5" s="73"/>
      <c r="G5" s="692"/>
      <c r="H5" s="138">
        <f>E4+E5-G5+E6+E7</f>
        <v>0</v>
      </c>
    </row>
    <row r="6" spans="1:10" ht="15.75" thickBot="1" x14ac:dyDescent="0.3">
      <c r="A6" s="1399"/>
      <c r="B6" s="1440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44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2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51">
        <f>B9-C10</f>
        <v>0</v>
      </c>
      <c r="C10" s="806"/>
      <c r="D10" s="973"/>
      <c r="E10" s="843"/>
      <c r="F10" s="697">
        <f t="shared" ref="F10:F29" si="0">D10</f>
        <v>0</v>
      </c>
      <c r="G10" s="695"/>
      <c r="H10" s="696"/>
      <c r="I10" s="731">
        <f>I9-F10</f>
        <v>0</v>
      </c>
      <c r="J10" s="729"/>
    </row>
    <row r="11" spans="1:10" x14ac:dyDescent="0.25">
      <c r="A11" s="55" t="s">
        <v>32</v>
      </c>
      <c r="B11" s="851">
        <f t="shared" ref="B11:B30" si="1">B10-C11</f>
        <v>0</v>
      </c>
      <c r="C11" s="806"/>
      <c r="D11" s="974"/>
      <c r="E11" s="843"/>
      <c r="F11" s="697">
        <f t="shared" si="0"/>
        <v>0</v>
      </c>
      <c r="G11" s="695"/>
      <c r="H11" s="696"/>
      <c r="I11" s="731">
        <f t="shared" ref="I11:I30" si="2">I10-F11</f>
        <v>0</v>
      </c>
      <c r="J11" s="729"/>
    </row>
    <row r="12" spans="1:10" x14ac:dyDescent="0.25">
      <c r="A12" s="85"/>
      <c r="B12" s="851">
        <f t="shared" si="1"/>
        <v>0</v>
      </c>
      <c r="C12" s="806"/>
      <c r="D12" s="974"/>
      <c r="E12" s="843"/>
      <c r="F12" s="697">
        <f t="shared" si="0"/>
        <v>0</v>
      </c>
      <c r="G12" s="695"/>
      <c r="H12" s="696"/>
      <c r="I12" s="731">
        <f t="shared" si="2"/>
        <v>0</v>
      </c>
      <c r="J12" s="729"/>
    </row>
    <row r="13" spans="1:10" x14ac:dyDescent="0.25">
      <c r="B13" s="851">
        <f t="shared" si="1"/>
        <v>0</v>
      </c>
      <c r="C13" s="806"/>
      <c r="D13" s="974"/>
      <c r="E13" s="843"/>
      <c r="F13" s="697">
        <f t="shared" si="0"/>
        <v>0</v>
      </c>
      <c r="G13" s="695"/>
      <c r="H13" s="696"/>
      <c r="I13" s="731">
        <f t="shared" si="2"/>
        <v>0</v>
      </c>
      <c r="J13" s="729"/>
    </row>
    <row r="14" spans="1:10" x14ac:dyDescent="0.25">
      <c r="A14" s="55" t="s">
        <v>33</v>
      </c>
      <c r="B14" s="851">
        <f t="shared" si="1"/>
        <v>0</v>
      </c>
      <c r="C14" s="806"/>
      <c r="D14" s="974"/>
      <c r="E14" s="843"/>
      <c r="F14" s="697">
        <f t="shared" si="0"/>
        <v>0</v>
      </c>
      <c r="G14" s="695"/>
      <c r="H14" s="696"/>
      <c r="I14" s="731">
        <f t="shared" si="2"/>
        <v>0</v>
      </c>
      <c r="J14" s="729"/>
    </row>
    <row r="15" spans="1:10" x14ac:dyDescent="0.25">
      <c r="B15" s="851">
        <f t="shared" si="1"/>
        <v>0</v>
      </c>
      <c r="C15" s="806"/>
      <c r="D15" s="975"/>
      <c r="E15" s="843"/>
      <c r="F15" s="697">
        <f t="shared" si="0"/>
        <v>0</v>
      </c>
      <c r="G15" s="695"/>
      <c r="H15" s="696"/>
      <c r="I15" s="731">
        <f t="shared" si="2"/>
        <v>0</v>
      </c>
      <c r="J15" s="729"/>
    </row>
    <row r="16" spans="1:10" x14ac:dyDescent="0.25">
      <c r="B16" s="851">
        <f t="shared" si="1"/>
        <v>0</v>
      </c>
      <c r="C16" s="806"/>
      <c r="D16" s="975"/>
      <c r="E16" s="843"/>
      <c r="F16" s="697">
        <f t="shared" si="0"/>
        <v>0</v>
      </c>
      <c r="G16" s="695"/>
      <c r="H16" s="696"/>
      <c r="I16" s="731">
        <f t="shared" si="2"/>
        <v>0</v>
      </c>
      <c r="J16" s="729"/>
    </row>
    <row r="17" spans="2:10" x14ac:dyDescent="0.25">
      <c r="B17" s="851">
        <f t="shared" si="1"/>
        <v>0</v>
      </c>
      <c r="C17" s="806"/>
      <c r="D17" s="975"/>
      <c r="E17" s="843"/>
      <c r="F17" s="697">
        <f t="shared" si="0"/>
        <v>0</v>
      </c>
      <c r="G17" s="695"/>
      <c r="H17" s="696"/>
      <c r="I17" s="731">
        <f t="shared" si="2"/>
        <v>0</v>
      </c>
      <c r="J17" s="729"/>
    </row>
    <row r="18" spans="2:10" x14ac:dyDescent="0.25">
      <c r="B18" s="851">
        <f t="shared" si="1"/>
        <v>0</v>
      </c>
      <c r="C18" s="806"/>
      <c r="D18" s="975"/>
      <c r="E18" s="843"/>
      <c r="F18" s="697">
        <f t="shared" si="0"/>
        <v>0</v>
      </c>
      <c r="G18" s="695"/>
      <c r="H18" s="696"/>
      <c r="I18" s="731">
        <f t="shared" si="2"/>
        <v>0</v>
      </c>
      <c r="J18" s="729"/>
    </row>
    <row r="19" spans="2:10" x14ac:dyDescent="0.25">
      <c r="B19" s="851">
        <f t="shared" si="1"/>
        <v>0</v>
      </c>
      <c r="C19" s="806"/>
      <c r="D19" s="975"/>
      <c r="E19" s="843"/>
      <c r="F19" s="697">
        <f t="shared" si="0"/>
        <v>0</v>
      </c>
      <c r="G19" s="695"/>
      <c r="H19" s="696"/>
      <c r="I19" s="731">
        <f t="shared" si="2"/>
        <v>0</v>
      </c>
      <c r="J19" s="729"/>
    </row>
    <row r="20" spans="2:10" x14ac:dyDescent="0.25">
      <c r="B20" s="851">
        <f t="shared" si="1"/>
        <v>0</v>
      </c>
      <c r="C20" s="806"/>
      <c r="D20" s="975"/>
      <c r="E20" s="843"/>
      <c r="F20" s="697">
        <f t="shared" si="0"/>
        <v>0</v>
      </c>
      <c r="G20" s="695"/>
      <c r="H20" s="696"/>
      <c r="I20" s="731">
        <f t="shared" si="2"/>
        <v>0</v>
      </c>
      <c r="J20" s="729"/>
    </row>
    <row r="21" spans="2:10" x14ac:dyDescent="0.25">
      <c r="B21" s="851">
        <f t="shared" si="1"/>
        <v>0</v>
      </c>
      <c r="C21" s="806"/>
      <c r="D21" s="980"/>
      <c r="E21" s="843"/>
      <c r="F21" s="697">
        <f t="shared" si="0"/>
        <v>0</v>
      </c>
      <c r="G21" s="695"/>
      <c r="H21" s="696"/>
      <c r="I21" s="731">
        <f t="shared" si="2"/>
        <v>0</v>
      </c>
      <c r="J21" s="729"/>
    </row>
    <row r="22" spans="2:10" x14ac:dyDescent="0.25">
      <c r="B22" s="851">
        <f t="shared" si="1"/>
        <v>0</v>
      </c>
      <c r="C22" s="806"/>
      <c r="D22" s="980"/>
      <c r="E22" s="843"/>
      <c r="F22" s="697">
        <f t="shared" si="0"/>
        <v>0</v>
      </c>
      <c r="G22" s="695"/>
      <c r="H22" s="696"/>
      <c r="I22" s="731">
        <f t="shared" si="2"/>
        <v>0</v>
      </c>
      <c r="J22" s="729"/>
    </row>
    <row r="23" spans="2:10" x14ac:dyDescent="0.25">
      <c r="B23" s="851">
        <f t="shared" si="1"/>
        <v>0</v>
      </c>
      <c r="C23" s="806"/>
      <c r="D23" s="980"/>
      <c r="E23" s="843"/>
      <c r="F23" s="697">
        <f t="shared" si="0"/>
        <v>0</v>
      </c>
      <c r="G23" s="695"/>
      <c r="H23" s="696"/>
      <c r="I23" s="731">
        <f t="shared" si="2"/>
        <v>0</v>
      </c>
      <c r="J23" s="729"/>
    </row>
    <row r="24" spans="2:10" x14ac:dyDescent="0.25">
      <c r="B24" s="851">
        <f t="shared" si="1"/>
        <v>0</v>
      </c>
      <c r="C24" s="806"/>
      <c r="D24" s="980"/>
      <c r="E24" s="843"/>
      <c r="F24" s="697">
        <f t="shared" si="0"/>
        <v>0</v>
      </c>
      <c r="G24" s="695"/>
      <c r="H24" s="696"/>
      <c r="I24" s="731">
        <f t="shared" si="2"/>
        <v>0</v>
      </c>
      <c r="J24" s="729"/>
    </row>
    <row r="25" spans="2:10" x14ac:dyDescent="0.25">
      <c r="B25" s="851">
        <f t="shared" si="1"/>
        <v>0</v>
      </c>
      <c r="C25" s="806"/>
      <c r="D25" s="980"/>
      <c r="E25" s="843"/>
      <c r="F25" s="697">
        <f t="shared" si="0"/>
        <v>0</v>
      </c>
      <c r="G25" s="695"/>
      <c r="H25" s="696"/>
      <c r="I25" s="731">
        <f t="shared" si="2"/>
        <v>0</v>
      </c>
      <c r="J25" s="729"/>
    </row>
    <row r="26" spans="2:10" x14ac:dyDescent="0.25">
      <c r="B26" s="851">
        <f t="shared" si="1"/>
        <v>0</v>
      </c>
      <c r="C26" s="806"/>
      <c r="D26" s="980"/>
      <c r="E26" s="843"/>
      <c r="F26" s="697">
        <f t="shared" si="0"/>
        <v>0</v>
      </c>
      <c r="G26" s="695"/>
      <c r="H26" s="696"/>
      <c r="I26" s="731">
        <f t="shared" si="2"/>
        <v>0</v>
      </c>
      <c r="J26" s="729"/>
    </row>
    <row r="27" spans="2:10" x14ac:dyDescent="0.25">
      <c r="B27" s="851">
        <f t="shared" si="1"/>
        <v>0</v>
      </c>
      <c r="C27" s="806"/>
      <c r="D27" s="980"/>
      <c r="E27" s="843"/>
      <c r="F27" s="697">
        <f t="shared" si="0"/>
        <v>0</v>
      </c>
      <c r="G27" s="695"/>
      <c r="H27" s="696"/>
      <c r="I27" s="731">
        <f t="shared" si="2"/>
        <v>0</v>
      </c>
      <c r="J27" s="729"/>
    </row>
    <row r="28" spans="2:10" x14ac:dyDescent="0.25">
      <c r="B28" s="851">
        <f t="shared" si="1"/>
        <v>0</v>
      </c>
      <c r="C28" s="806"/>
      <c r="D28" s="828"/>
      <c r="E28" s="843"/>
      <c r="F28" s="697">
        <f t="shared" si="0"/>
        <v>0</v>
      </c>
      <c r="G28" s="695"/>
      <c r="H28" s="696"/>
      <c r="I28" s="731">
        <f t="shared" si="2"/>
        <v>0</v>
      </c>
      <c r="J28" s="729"/>
    </row>
    <row r="29" spans="2:10" x14ac:dyDescent="0.25">
      <c r="B29" s="851">
        <f t="shared" si="1"/>
        <v>0</v>
      </c>
      <c r="C29" s="806"/>
      <c r="D29" s="828"/>
      <c r="E29" s="843"/>
      <c r="F29" s="697">
        <f t="shared" si="0"/>
        <v>0</v>
      </c>
      <c r="G29" s="695"/>
      <c r="H29" s="696"/>
      <c r="I29" s="731">
        <f t="shared" si="2"/>
        <v>0</v>
      </c>
      <c r="J29" s="729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38" t="s">
        <v>19</v>
      </c>
      <c r="D34" s="143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94" t="s">
        <v>328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DEL MES DE  NOVIEMBRE 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  <c r="AE1" s="1398" t="s">
        <v>339</v>
      </c>
      <c r="AF1" s="1398"/>
      <c r="AG1" s="1398"/>
      <c r="AH1" s="1398"/>
      <c r="AI1" s="1398"/>
      <c r="AJ1" s="1398"/>
      <c r="AK1" s="1398"/>
      <c r="AL1" s="11">
        <v>4</v>
      </c>
      <c r="AO1" s="1398" t="s">
        <v>339</v>
      </c>
      <c r="AP1" s="1398"/>
      <c r="AQ1" s="1398"/>
      <c r="AR1" s="1398"/>
      <c r="AS1" s="1398"/>
      <c r="AT1" s="1398"/>
      <c r="AU1" s="139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406" t="s">
        <v>64</v>
      </c>
      <c r="B5" s="1447" t="s">
        <v>69</v>
      </c>
      <c r="C5" s="391">
        <v>85</v>
      </c>
      <c r="D5" s="134">
        <v>44862</v>
      </c>
      <c r="E5" s="822">
        <v>150</v>
      </c>
      <c r="F5" s="840">
        <v>15</v>
      </c>
      <c r="G5" s="5"/>
      <c r="K5" s="1428" t="s">
        <v>175</v>
      </c>
      <c r="L5" s="1443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406" t="s">
        <v>374</v>
      </c>
      <c r="V5" s="1447" t="s">
        <v>69</v>
      </c>
      <c r="W5" s="391">
        <v>85</v>
      </c>
      <c r="X5" s="711">
        <v>44900</v>
      </c>
      <c r="Y5" s="1012">
        <v>150</v>
      </c>
      <c r="Z5" s="867">
        <v>15</v>
      </c>
      <c r="AA5" s="5"/>
      <c r="AE5" s="1428" t="s">
        <v>175</v>
      </c>
      <c r="AF5" s="1445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428" t="s">
        <v>175</v>
      </c>
      <c r="AP5" s="1443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406"/>
      <c r="B6" s="1447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428"/>
      <c r="L6" s="1444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406"/>
      <c r="V6" s="1447"/>
      <c r="W6" s="391">
        <v>85</v>
      </c>
      <c r="X6" s="711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428"/>
      <c r="AF6" s="1446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428"/>
      <c r="AP6" s="1444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0"/>
      <c r="D7" s="741"/>
      <c r="E7" s="742"/>
      <c r="F7" s="743"/>
      <c r="L7" s="19"/>
      <c r="M7" s="230"/>
      <c r="N7" s="231"/>
      <c r="O7" s="78"/>
      <c r="P7" s="62"/>
      <c r="V7" s="19"/>
      <c r="W7" s="740"/>
      <c r="X7" s="741"/>
      <c r="Y7" s="742"/>
      <c r="Z7" s="743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81">
        <f t="shared" ref="AF10:AF73" si="5">AF9-AG10</f>
        <v>0</v>
      </c>
      <c r="AG10" s="806"/>
      <c r="AH10" s="697"/>
      <c r="AI10" s="727"/>
      <c r="AJ10" s="1157">
        <f>AH10</f>
        <v>0</v>
      </c>
      <c r="AK10" s="1158"/>
      <c r="AL10" s="1159"/>
      <c r="AM10" s="1155">
        <f>AM9-AJ10</f>
        <v>0</v>
      </c>
      <c r="AN10" s="729"/>
      <c r="AO10" s="194"/>
      <c r="AP10" s="881">
        <f t="shared" ref="AP10:AP73" si="6">AP9-AQ10</f>
        <v>25</v>
      </c>
      <c r="AQ10" s="806">
        <v>1</v>
      </c>
      <c r="AR10" s="697">
        <v>10</v>
      </c>
      <c r="AS10" s="727">
        <v>44910</v>
      </c>
      <c r="AT10" s="697">
        <f>AR10</f>
        <v>10</v>
      </c>
      <c r="AU10" s="695" t="s">
        <v>720</v>
      </c>
      <c r="AV10" s="696">
        <v>115</v>
      </c>
      <c r="AW10" s="731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0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09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81">
        <f t="shared" si="5"/>
        <v>0</v>
      </c>
      <c r="AG11" s="806"/>
      <c r="AH11" s="697"/>
      <c r="AI11" s="727"/>
      <c r="AJ11" s="1157">
        <f>AH11</f>
        <v>0</v>
      </c>
      <c r="AK11" s="1158"/>
      <c r="AL11" s="1159"/>
      <c r="AM11" s="1155">
        <f t="shared" ref="AM11:AM74" si="10">AM10-AJ11</f>
        <v>0</v>
      </c>
      <c r="AN11" s="729"/>
      <c r="AO11" s="182"/>
      <c r="AP11" s="881">
        <f t="shared" si="6"/>
        <v>24</v>
      </c>
      <c r="AQ11" s="806">
        <v>1</v>
      </c>
      <c r="AR11" s="697">
        <v>10</v>
      </c>
      <c r="AS11" s="727">
        <v>44910</v>
      </c>
      <c r="AT11" s="697">
        <f>AR11</f>
        <v>10</v>
      </c>
      <c r="AU11" s="695" t="s">
        <v>722</v>
      </c>
      <c r="AV11" s="696">
        <v>115</v>
      </c>
      <c r="AW11" s="731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24">
        <v>10</v>
      </c>
      <c r="O12" s="825">
        <v>44866</v>
      </c>
      <c r="P12" s="824">
        <f>N12</f>
        <v>10</v>
      </c>
      <c r="Q12" s="826" t="s">
        <v>234</v>
      </c>
      <c r="R12" s="827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81">
        <f t="shared" si="5"/>
        <v>0</v>
      </c>
      <c r="AG12" s="806"/>
      <c r="AH12" s="697"/>
      <c r="AI12" s="727"/>
      <c r="AJ12" s="1157">
        <f>AH12</f>
        <v>0</v>
      </c>
      <c r="AK12" s="1158"/>
      <c r="AL12" s="1159"/>
      <c r="AM12" s="1155">
        <f t="shared" si="10"/>
        <v>0</v>
      </c>
      <c r="AN12" s="729"/>
      <c r="AO12" s="182"/>
      <c r="AP12" s="881">
        <f t="shared" si="6"/>
        <v>22</v>
      </c>
      <c r="AQ12" s="806">
        <v>2</v>
      </c>
      <c r="AR12" s="697">
        <v>20</v>
      </c>
      <c r="AS12" s="727">
        <v>44911</v>
      </c>
      <c r="AT12" s="697">
        <f>AR12</f>
        <v>20</v>
      </c>
      <c r="AU12" s="695" t="s">
        <v>726</v>
      </c>
      <c r="AV12" s="696">
        <v>115</v>
      </c>
      <c r="AW12" s="731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24">
        <v>10</v>
      </c>
      <c r="O13" s="825">
        <v>44867</v>
      </c>
      <c r="P13" s="824">
        <f>N13</f>
        <v>10</v>
      </c>
      <c r="Q13" s="826" t="s">
        <v>238</v>
      </c>
      <c r="R13" s="827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81">
        <f t="shared" si="5"/>
        <v>0</v>
      </c>
      <c r="AG13" s="806"/>
      <c r="AH13" s="697"/>
      <c r="AI13" s="727"/>
      <c r="AJ13" s="1157">
        <f>AH13</f>
        <v>0</v>
      </c>
      <c r="AK13" s="1158"/>
      <c r="AL13" s="1159"/>
      <c r="AM13" s="1155">
        <f t="shared" si="10"/>
        <v>0</v>
      </c>
      <c r="AN13" s="729"/>
      <c r="AO13" s="82" t="s">
        <v>33</v>
      </c>
      <c r="AP13" s="881">
        <f t="shared" si="6"/>
        <v>21</v>
      </c>
      <c r="AQ13" s="806">
        <v>1</v>
      </c>
      <c r="AR13" s="697">
        <v>10</v>
      </c>
      <c r="AS13" s="727">
        <v>44914</v>
      </c>
      <c r="AT13" s="697">
        <f>AR13</f>
        <v>10</v>
      </c>
      <c r="AU13" s="695" t="s">
        <v>753</v>
      </c>
      <c r="AV13" s="696">
        <v>115</v>
      </c>
      <c r="AW13" s="731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24">
        <v>10</v>
      </c>
      <c r="O14" s="825">
        <v>44868</v>
      </c>
      <c r="P14" s="824">
        <f t="shared" ref="P14:P76" si="12">N14</f>
        <v>10</v>
      </c>
      <c r="Q14" s="826" t="s">
        <v>240</v>
      </c>
      <c r="R14" s="827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81">
        <f t="shared" si="5"/>
        <v>0</v>
      </c>
      <c r="AG14" s="806"/>
      <c r="AH14" s="697"/>
      <c r="AI14" s="727"/>
      <c r="AJ14" s="1157">
        <f t="shared" ref="AJ14:AJ76" si="13">AH14</f>
        <v>0</v>
      </c>
      <c r="AK14" s="1158"/>
      <c r="AL14" s="1159"/>
      <c r="AM14" s="1155">
        <f t="shared" si="10"/>
        <v>0</v>
      </c>
      <c r="AN14" s="729"/>
      <c r="AO14" s="73"/>
      <c r="AP14" s="881">
        <f t="shared" si="6"/>
        <v>20</v>
      </c>
      <c r="AQ14" s="806">
        <v>1</v>
      </c>
      <c r="AR14" s="697">
        <v>10</v>
      </c>
      <c r="AS14" s="727">
        <v>44915</v>
      </c>
      <c r="AT14" s="697">
        <f t="shared" ref="AT14:AT76" si="14">AR14</f>
        <v>10</v>
      </c>
      <c r="AU14" s="695" t="s">
        <v>763</v>
      </c>
      <c r="AV14" s="696">
        <v>115</v>
      </c>
      <c r="AW14" s="731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24">
        <v>10</v>
      </c>
      <c r="O15" s="825">
        <v>44869</v>
      </c>
      <c r="P15" s="824">
        <f t="shared" si="12"/>
        <v>10</v>
      </c>
      <c r="Q15" s="826" t="s">
        <v>241</v>
      </c>
      <c r="R15" s="827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81">
        <f t="shared" si="5"/>
        <v>0</v>
      </c>
      <c r="AG15" s="806"/>
      <c r="AH15" s="697"/>
      <c r="AI15" s="727"/>
      <c r="AJ15" s="697">
        <f t="shared" si="13"/>
        <v>0</v>
      </c>
      <c r="AK15" s="695"/>
      <c r="AL15" s="696"/>
      <c r="AM15" s="731">
        <f t="shared" si="10"/>
        <v>0</v>
      </c>
      <c r="AN15" s="729"/>
      <c r="AO15" s="73" t="s">
        <v>22</v>
      </c>
      <c r="AP15" s="881">
        <f t="shared" si="6"/>
        <v>18</v>
      </c>
      <c r="AQ15" s="806">
        <v>2</v>
      </c>
      <c r="AR15" s="697">
        <v>20</v>
      </c>
      <c r="AS15" s="727">
        <v>44918</v>
      </c>
      <c r="AT15" s="697">
        <f t="shared" si="14"/>
        <v>20</v>
      </c>
      <c r="AU15" s="695" t="s">
        <v>808</v>
      </c>
      <c r="AV15" s="696">
        <v>115</v>
      </c>
      <c r="AW15" s="731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24">
        <v>10</v>
      </c>
      <c r="O16" s="825">
        <v>44872</v>
      </c>
      <c r="P16" s="824">
        <f t="shared" si="12"/>
        <v>10</v>
      </c>
      <c r="Q16" s="826" t="s">
        <v>249</v>
      </c>
      <c r="R16" s="827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81">
        <f t="shared" si="5"/>
        <v>0</v>
      </c>
      <c r="AG16" s="806"/>
      <c r="AH16" s="697"/>
      <c r="AI16" s="727"/>
      <c r="AJ16" s="697">
        <f t="shared" si="13"/>
        <v>0</v>
      </c>
      <c r="AK16" s="695"/>
      <c r="AL16" s="696"/>
      <c r="AM16" s="731">
        <f t="shared" si="10"/>
        <v>0</v>
      </c>
      <c r="AN16" s="729"/>
      <c r="AP16" s="881">
        <f t="shared" si="6"/>
        <v>17</v>
      </c>
      <c r="AQ16" s="806">
        <v>1</v>
      </c>
      <c r="AR16" s="697">
        <v>10</v>
      </c>
      <c r="AS16" s="727">
        <v>44919</v>
      </c>
      <c r="AT16" s="697">
        <f t="shared" si="14"/>
        <v>10</v>
      </c>
      <c r="AU16" s="695" t="s">
        <v>822</v>
      </c>
      <c r="AV16" s="696">
        <v>115</v>
      </c>
      <c r="AW16" s="731">
        <f t="shared" si="11"/>
        <v>170</v>
      </c>
    </row>
    <row r="17" spans="1:49" x14ac:dyDescent="0.25">
      <c r="B17" s="810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09">
        <f t="shared" si="7"/>
        <v>50</v>
      </c>
      <c r="L17" s="83">
        <f t="shared" si="2"/>
        <v>16</v>
      </c>
      <c r="M17" s="15">
        <v>1</v>
      </c>
      <c r="N17" s="824">
        <v>10</v>
      </c>
      <c r="O17" s="825">
        <v>44873</v>
      </c>
      <c r="P17" s="824">
        <f t="shared" si="12"/>
        <v>10</v>
      </c>
      <c r="Q17" s="826" t="s">
        <v>250</v>
      </c>
      <c r="R17" s="827">
        <v>115</v>
      </c>
      <c r="S17" s="105">
        <f t="shared" si="8"/>
        <v>160</v>
      </c>
      <c r="V17" s="881">
        <f t="shared" si="3"/>
        <v>13</v>
      </c>
      <c r="W17" s="709">
        <v>3</v>
      </c>
      <c r="X17" s="697">
        <v>30</v>
      </c>
      <c r="Y17" s="727">
        <v>44926</v>
      </c>
      <c r="Z17" s="697">
        <f t="shared" si="4"/>
        <v>30</v>
      </c>
      <c r="AA17" s="695" t="s">
        <v>858</v>
      </c>
      <c r="AB17" s="696">
        <v>100</v>
      </c>
      <c r="AC17" s="731">
        <f t="shared" si="9"/>
        <v>130</v>
      </c>
      <c r="AF17" s="881">
        <f t="shared" si="5"/>
        <v>0</v>
      </c>
      <c r="AG17" s="806"/>
      <c r="AH17" s="697"/>
      <c r="AI17" s="727"/>
      <c r="AJ17" s="697">
        <f t="shared" si="13"/>
        <v>0</v>
      </c>
      <c r="AK17" s="695"/>
      <c r="AL17" s="696"/>
      <c r="AM17" s="731">
        <f t="shared" si="10"/>
        <v>0</v>
      </c>
      <c r="AN17" s="729"/>
      <c r="AP17" s="881">
        <f t="shared" si="6"/>
        <v>16</v>
      </c>
      <c r="AQ17" s="806">
        <v>1</v>
      </c>
      <c r="AR17" s="697">
        <v>10</v>
      </c>
      <c r="AS17" s="727">
        <v>44923</v>
      </c>
      <c r="AT17" s="697">
        <f t="shared" si="14"/>
        <v>10</v>
      </c>
      <c r="AU17" s="695" t="s">
        <v>805</v>
      </c>
      <c r="AV17" s="696">
        <v>115</v>
      </c>
      <c r="AW17" s="731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6">
        <v>44895</v>
      </c>
      <c r="F18" s="534">
        <f t="shared" si="1"/>
        <v>10</v>
      </c>
      <c r="G18" s="329" t="s">
        <v>577</v>
      </c>
      <c r="H18" s="330">
        <v>100</v>
      </c>
      <c r="I18" s="736">
        <f t="shared" si="7"/>
        <v>40</v>
      </c>
      <c r="K18" s="122"/>
      <c r="L18" s="83">
        <f t="shared" si="2"/>
        <v>15</v>
      </c>
      <c r="M18" s="15">
        <v>1</v>
      </c>
      <c r="N18" s="824">
        <v>10</v>
      </c>
      <c r="O18" s="825">
        <v>44875</v>
      </c>
      <c r="P18" s="824">
        <f t="shared" si="12"/>
        <v>10</v>
      </c>
      <c r="Q18" s="826" t="s">
        <v>260</v>
      </c>
      <c r="R18" s="827">
        <v>115</v>
      </c>
      <c r="S18" s="105">
        <f t="shared" si="8"/>
        <v>150</v>
      </c>
      <c r="U18" s="122"/>
      <c r="V18" s="881">
        <f t="shared" si="3"/>
        <v>10</v>
      </c>
      <c r="W18" s="709">
        <v>3</v>
      </c>
      <c r="X18" s="697">
        <v>30</v>
      </c>
      <c r="Y18" s="727">
        <v>44926</v>
      </c>
      <c r="Z18" s="697">
        <f t="shared" si="4"/>
        <v>30</v>
      </c>
      <c r="AA18" s="695" t="s">
        <v>862</v>
      </c>
      <c r="AB18" s="696">
        <v>100</v>
      </c>
      <c r="AC18" s="731">
        <f t="shared" si="9"/>
        <v>100</v>
      </c>
      <c r="AE18" s="122"/>
      <c r="AF18" s="881">
        <f t="shared" si="5"/>
        <v>0</v>
      </c>
      <c r="AG18" s="806"/>
      <c r="AH18" s="697"/>
      <c r="AI18" s="727"/>
      <c r="AJ18" s="697">
        <f t="shared" si="13"/>
        <v>0</v>
      </c>
      <c r="AK18" s="695"/>
      <c r="AL18" s="696"/>
      <c r="AM18" s="731">
        <f t="shared" si="10"/>
        <v>0</v>
      </c>
      <c r="AN18" s="729"/>
      <c r="AO18" s="122"/>
      <c r="AP18" s="881">
        <f t="shared" si="6"/>
        <v>15</v>
      </c>
      <c r="AQ18" s="806">
        <v>1</v>
      </c>
      <c r="AR18" s="697">
        <v>10</v>
      </c>
      <c r="AS18" s="727">
        <v>44924</v>
      </c>
      <c r="AT18" s="697">
        <f t="shared" si="14"/>
        <v>10</v>
      </c>
      <c r="AU18" s="695" t="s">
        <v>849</v>
      </c>
      <c r="AV18" s="696">
        <v>115</v>
      </c>
      <c r="AW18" s="731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6">
        <v>44898</v>
      </c>
      <c r="F19" s="534">
        <f t="shared" si="1"/>
        <v>10</v>
      </c>
      <c r="G19" s="329" t="s">
        <v>607</v>
      </c>
      <c r="H19" s="330">
        <v>100</v>
      </c>
      <c r="I19" s="736">
        <f t="shared" si="7"/>
        <v>30</v>
      </c>
      <c r="K19" s="122"/>
      <c r="L19" s="83">
        <f t="shared" si="2"/>
        <v>14</v>
      </c>
      <c r="M19" s="15">
        <v>1</v>
      </c>
      <c r="N19" s="824">
        <v>10</v>
      </c>
      <c r="O19" s="825">
        <v>44877</v>
      </c>
      <c r="P19" s="824">
        <f t="shared" si="12"/>
        <v>10</v>
      </c>
      <c r="Q19" s="826" t="s">
        <v>265</v>
      </c>
      <c r="R19" s="827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81">
        <f t="shared" si="5"/>
        <v>0</v>
      </c>
      <c r="AG19" s="806"/>
      <c r="AH19" s="697"/>
      <c r="AI19" s="727"/>
      <c r="AJ19" s="697">
        <f t="shared" si="13"/>
        <v>0</v>
      </c>
      <c r="AK19" s="695"/>
      <c r="AL19" s="696"/>
      <c r="AM19" s="731">
        <f t="shared" si="10"/>
        <v>0</v>
      </c>
      <c r="AN19" s="729"/>
      <c r="AO19" s="122"/>
      <c r="AP19" s="881">
        <f t="shared" si="6"/>
        <v>13</v>
      </c>
      <c r="AQ19" s="806">
        <v>2</v>
      </c>
      <c r="AR19" s="697">
        <v>20</v>
      </c>
      <c r="AS19" s="727">
        <v>44925</v>
      </c>
      <c r="AT19" s="697">
        <f t="shared" si="14"/>
        <v>20</v>
      </c>
      <c r="AU19" s="695" t="s">
        <v>854</v>
      </c>
      <c r="AV19" s="696">
        <v>115</v>
      </c>
      <c r="AW19" s="731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6">
        <v>44900</v>
      </c>
      <c r="F20" s="534">
        <f t="shared" si="1"/>
        <v>10</v>
      </c>
      <c r="G20" s="329" t="s">
        <v>611</v>
      </c>
      <c r="H20" s="330">
        <v>100</v>
      </c>
      <c r="I20" s="736">
        <f t="shared" si="7"/>
        <v>20</v>
      </c>
      <c r="K20" s="122"/>
      <c r="L20" s="83">
        <f t="shared" si="2"/>
        <v>13</v>
      </c>
      <c r="M20" s="15">
        <v>1</v>
      </c>
      <c r="N20" s="824">
        <v>10</v>
      </c>
      <c r="O20" s="825">
        <v>44879</v>
      </c>
      <c r="P20" s="824">
        <f t="shared" si="12"/>
        <v>10</v>
      </c>
      <c r="Q20" s="826" t="s">
        <v>272</v>
      </c>
      <c r="R20" s="827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81">
        <f t="shared" si="5"/>
        <v>0</v>
      </c>
      <c r="AG20" s="806"/>
      <c r="AH20" s="697"/>
      <c r="AI20" s="727"/>
      <c r="AJ20" s="697">
        <f t="shared" si="13"/>
        <v>0</v>
      </c>
      <c r="AK20" s="695"/>
      <c r="AL20" s="696"/>
      <c r="AM20" s="731">
        <f t="shared" si="10"/>
        <v>0</v>
      </c>
      <c r="AN20" s="729"/>
      <c r="AO20" s="122"/>
      <c r="AP20" s="881">
        <f t="shared" si="6"/>
        <v>10</v>
      </c>
      <c r="AQ20" s="806">
        <v>3</v>
      </c>
      <c r="AR20" s="697">
        <v>30</v>
      </c>
      <c r="AS20" s="727">
        <v>44926</v>
      </c>
      <c r="AT20" s="697">
        <f t="shared" si="14"/>
        <v>30</v>
      </c>
      <c r="AU20" s="695" t="s">
        <v>858</v>
      </c>
      <c r="AV20" s="696">
        <v>115</v>
      </c>
      <c r="AW20" s="731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6">
        <v>44901</v>
      </c>
      <c r="F21" s="534">
        <f t="shared" si="1"/>
        <v>10</v>
      </c>
      <c r="G21" s="329" t="s">
        <v>622</v>
      </c>
      <c r="H21" s="330">
        <v>100</v>
      </c>
      <c r="I21" s="736">
        <f t="shared" si="7"/>
        <v>10</v>
      </c>
      <c r="K21" s="122"/>
      <c r="L21" s="83">
        <f t="shared" si="2"/>
        <v>12</v>
      </c>
      <c r="M21" s="15">
        <v>1</v>
      </c>
      <c r="N21" s="824">
        <v>10</v>
      </c>
      <c r="O21" s="825">
        <v>44880</v>
      </c>
      <c r="P21" s="824">
        <f t="shared" si="12"/>
        <v>10</v>
      </c>
      <c r="Q21" s="826" t="s">
        <v>276</v>
      </c>
      <c r="R21" s="827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81">
        <f t="shared" si="5"/>
        <v>0</v>
      </c>
      <c r="AG21" s="806"/>
      <c r="AH21" s="697"/>
      <c r="AI21" s="727"/>
      <c r="AJ21" s="697">
        <f t="shared" si="13"/>
        <v>0</v>
      </c>
      <c r="AK21" s="695"/>
      <c r="AL21" s="696"/>
      <c r="AM21" s="731">
        <f t="shared" si="10"/>
        <v>0</v>
      </c>
      <c r="AN21" s="729"/>
      <c r="AO21" s="122"/>
      <c r="AP21" s="881">
        <f t="shared" si="6"/>
        <v>7</v>
      </c>
      <c r="AQ21" s="806">
        <v>3</v>
      </c>
      <c r="AR21" s="697">
        <v>30</v>
      </c>
      <c r="AS21" s="727">
        <v>44926</v>
      </c>
      <c r="AT21" s="697">
        <f t="shared" si="14"/>
        <v>30</v>
      </c>
      <c r="AU21" s="695" t="s">
        <v>862</v>
      </c>
      <c r="AV21" s="696">
        <v>115</v>
      </c>
      <c r="AW21" s="731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6">
        <v>44905</v>
      </c>
      <c r="F22" s="534">
        <f t="shared" si="1"/>
        <v>10</v>
      </c>
      <c r="G22" s="329" t="s">
        <v>666</v>
      </c>
      <c r="H22" s="330">
        <v>100</v>
      </c>
      <c r="I22" s="736">
        <f t="shared" si="7"/>
        <v>0</v>
      </c>
      <c r="K22" s="122"/>
      <c r="L22" s="232">
        <f t="shared" si="2"/>
        <v>11</v>
      </c>
      <c r="M22" s="15">
        <v>1</v>
      </c>
      <c r="N22" s="824">
        <v>10</v>
      </c>
      <c r="O22" s="825">
        <v>44881</v>
      </c>
      <c r="P22" s="824">
        <f t="shared" si="12"/>
        <v>10</v>
      </c>
      <c r="Q22" s="826" t="s">
        <v>278</v>
      </c>
      <c r="R22" s="827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37">
        <f t="shared" si="5"/>
        <v>0</v>
      </c>
      <c r="AG22" s="806"/>
      <c r="AH22" s="697"/>
      <c r="AI22" s="727"/>
      <c r="AJ22" s="697">
        <f t="shared" si="13"/>
        <v>0</v>
      </c>
      <c r="AK22" s="695"/>
      <c r="AL22" s="696"/>
      <c r="AM22" s="731">
        <f t="shared" si="10"/>
        <v>0</v>
      </c>
      <c r="AN22" s="729"/>
      <c r="AO22" s="122"/>
      <c r="AP22" s="1037">
        <f t="shared" si="6"/>
        <v>6</v>
      </c>
      <c r="AQ22" s="806">
        <v>1</v>
      </c>
      <c r="AR22" s="697">
        <v>10</v>
      </c>
      <c r="AS22" s="727">
        <v>44930</v>
      </c>
      <c r="AT22" s="697">
        <f t="shared" si="14"/>
        <v>10</v>
      </c>
      <c r="AU22" s="695" t="s">
        <v>876</v>
      </c>
      <c r="AV22" s="696">
        <v>115</v>
      </c>
      <c r="AW22" s="731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6"/>
      <c r="F23" s="1152">
        <f t="shared" si="1"/>
        <v>0</v>
      </c>
      <c r="G23" s="1153"/>
      <c r="H23" s="1154"/>
      <c r="I23" s="1175">
        <f t="shared" si="7"/>
        <v>0</v>
      </c>
      <c r="K23" s="123"/>
      <c r="L23" s="232">
        <f t="shared" si="2"/>
        <v>10</v>
      </c>
      <c r="M23" s="15">
        <v>1</v>
      </c>
      <c r="N23" s="824">
        <v>10</v>
      </c>
      <c r="O23" s="825">
        <v>44884</v>
      </c>
      <c r="P23" s="824">
        <f t="shared" si="12"/>
        <v>10</v>
      </c>
      <c r="Q23" s="826" t="s">
        <v>290</v>
      </c>
      <c r="R23" s="827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37">
        <f t="shared" si="5"/>
        <v>0</v>
      </c>
      <c r="AG23" s="806"/>
      <c r="AH23" s="697"/>
      <c r="AI23" s="727"/>
      <c r="AJ23" s="697">
        <f t="shared" si="13"/>
        <v>0</v>
      </c>
      <c r="AK23" s="695"/>
      <c r="AL23" s="696"/>
      <c r="AM23" s="731">
        <f t="shared" si="10"/>
        <v>0</v>
      </c>
      <c r="AN23" s="729"/>
      <c r="AO23" s="123"/>
      <c r="AP23" s="1037">
        <f t="shared" si="6"/>
        <v>5</v>
      </c>
      <c r="AQ23" s="806">
        <v>1</v>
      </c>
      <c r="AR23" s="697">
        <v>10</v>
      </c>
      <c r="AS23" s="727">
        <v>44933</v>
      </c>
      <c r="AT23" s="697">
        <f t="shared" si="14"/>
        <v>10</v>
      </c>
      <c r="AU23" s="695" t="s">
        <v>910</v>
      </c>
      <c r="AV23" s="696">
        <v>115</v>
      </c>
      <c r="AW23" s="731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6"/>
      <c r="F24" s="1152">
        <f t="shared" si="1"/>
        <v>0</v>
      </c>
      <c r="G24" s="1153"/>
      <c r="H24" s="1154"/>
      <c r="I24" s="1175">
        <f t="shared" si="7"/>
        <v>0</v>
      </c>
      <c r="K24" s="122"/>
      <c r="L24" s="232">
        <f t="shared" si="2"/>
        <v>9</v>
      </c>
      <c r="M24" s="15">
        <v>1</v>
      </c>
      <c r="N24" s="824">
        <v>10</v>
      </c>
      <c r="O24" s="825">
        <v>44888</v>
      </c>
      <c r="P24" s="824">
        <f t="shared" si="12"/>
        <v>10</v>
      </c>
      <c r="Q24" s="826" t="s">
        <v>297</v>
      </c>
      <c r="R24" s="827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37">
        <f t="shared" si="5"/>
        <v>0</v>
      </c>
      <c r="AG24" s="806"/>
      <c r="AH24" s="697"/>
      <c r="AI24" s="727"/>
      <c r="AJ24" s="697">
        <f t="shared" si="13"/>
        <v>0</v>
      </c>
      <c r="AK24" s="695"/>
      <c r="AL24" s="696"/>
      <c r="AM24" s="731">
        <f t="shared" si="10"/>
        <v>0</v>
      </c>
      <c r="AN24" s="729"/>
      <c r="AO24" s="122"/>
      <c r="AP24" s="1037">
        <f t="shared" si="6"/>
        <v>5</v>
      </c>
      <c r="AQ24" s="806"/>
      <c r="AR24" s="697"/>
      <c r="AS24" s="727"/>
      <c r="AT24" s="697">
        <f t="shared" si="14"/>
        <v>0</v>
      </c>
      <c r="AU24" s="695"/>
      <c r="AV24" s="696"/>
      <c r="AW24" s="731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6"/>
      <c r="F25" s="1152">
        <f t="shared" si="1"/>
        <v>0</v>
      </c>
      <c r="G25" s="1153"/>
      <c r="H25" s="1154"/>
      <c r="I25" s="1175">
        <f t="shared" si="7"/>
        <v>0</v>
      </c>
      <c r="K25" s="122"/>
      <c r="L25" s="839">
        <f t="shared" si="2"/>
        <v>8</v>
      </c>
      <c r="M25" s="15">
        <v>1</v>
      </c>
      <c r="N25" s="824">
        <v>10</v>
      </c>
      <c r="O25" s="825">
        <v>44889</v>
      </c>
      <c r="P25" s="824">
        <f t="shared" si="12"/>
        <v>10</v>
      </c>
      <c r="Q25" s="826" t="s">
        <v>302</v>
      </c>
      <c r="R25" s="827">
        <v>115</v>
      </c>
      <c r="S25" s="809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37">
        <f t="shared" si="5"/>
        <v>0</v>
      </c>
      <c r="AG25" s="806"/>
      <c r="AH25" s="697"/>
      <c r="AI25" s="727"/>
      <c r="AJ25" s="697">
        <f t="shared" si="13"/>
        <v>0</v>
      </c>
      <c r="AK25" s="695"/>
      <c r="AL25" s="696"/>
      <c r="AM25" s="731">
        <f t="shared" si="10"/>
        <v>0</v>
      </c>
      <c r="AN25" s="729"/>
      <c r="AO25" s="122"/>
      <c r="AP25" s="1037">
        <f t="shared" si="6"/>
        <v>5</v>
      </c>
      <c r="AQ25" s="806"/>
      <c r="AR25" s="697"/>
      <c r="AS25" s="727"/>
      <c r="AT25" s="697">
        <f t="shared" si="14"/>
        <v>0</v>
      </c>
      <c r="AU25" s="695"/>
      <c r="AV25" s="696"/>
      <c r="AW25" s="731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6"/>
      <c r="F26" s="1152">
        <f t="shared" si="1"/>
        <v>0</v>
      </c>
      <c r="G26" s="1153"/>
      <c r="H26" s="1154"/>
      <c r="I26" s="1175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6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73">
        <f t="shared" si="5"/>
        <v>0</v>
      </c>
      <c r="AG26" s="806"/>
      <c r="AH26" s="697"/>
      <c r="AI26" s="727"/>
      <c r="AJ26" s="697">
        <f t="shared" si="13"/>
        <v>0</v>
      </c>
      <c r="AK26" s="695"/>
      <c r="AL26" s="696"/>
      <c r="AM26" s="731">
        <f t="shared" si="10"/>
        <v>0</v>
      </c>
      <c r="AN26" s="729"/>
      <c r="AO26" s="122"/>
      <c r="AP26" s="873">
        <f t="shared" si="6"/>
        <v>5</v>
      </c>
      <c r="AQ26" s="806"/>
      <c r="AR26" s="697"/>
      <c r="AS26" s="727"/>
      <c r="AT26" s="697">
        <f t="shared" si="14"/>
        <v>0</v>
      </c>
      <c r="AU26" s="695"/>
      <c r="AV26" s="696"/>
      <c r="AW26" s="731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6"/>
      <c r="F27" s="534">
        <f t="shared" si="1"/>
        <v>0</v>
      </c>
      <c r="G27" s="329"/>
      <c r="H27" s="330"/>
      <c r="I27" s="736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6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37">
        <f t="shared" si="5"/>
        <v>0</v>
      </c>
      <c r="AG27" s="806"/>
      <c r="AH27" s="697"/>
      <c r="AI27" s="727"/>
      <c r="AJ27" s="697">
        <f t="shared" si="13"/>
        <v>0</v>
      </c>
      <c r="AK27" s="695"/>
      <c r="AL27" s="696"/>
      <c r="AM27" s="731">
        <f t="shared" si="10"/>
        <v>0</v>
      </c>
      <c r="AN27" s="729"/>
      <c r="AO27" s="122"/>
      <c r="AP27" s="1037">
        <f t="shared" si="6"/>
        <v>5</v>
      </c>
      <c r="AQ27" s="806"/>
      <c r="AR27" s="697"/>
      <c r="AS27" s="727"/>
      <c r="AT27" s="697">
        <f t="shared" si="14"/>
        <v>0</v>
      </c>
      <c r="AU27" s="695"/>
      <c r="AV27" s="696"/>
      <c r="AW27" s="731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6"/>
      <c r="F28" s="534">
        <f t="shared" si="1"/>
        <v>0</v>
      </c>
      <c r="G28" s="329"/>
      <c r="H28" s="330"/>
      <c r="I28" s="736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6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73">
        <f t="shared" si="5"/>
        <v>0</v>
      </c>
      <c r="AG28" s="806"/>
      <c r="AH28" s="697"/>
      <c r="AI28" s="727"/>
      <c r="AJ28" s="697">
        <f t="shared" si="13"/>
        <v>0</v>
      </c>
      <c r="AK28" s="695"/>
      <c r="AL28" s="696"/>
      <c r="AM28" s="731">
        <f t="shared" si="10"/>
        <v>0</v>
      </c>
      <c r="AN28" s="729"/>
      <c r="AO28" s="122"/>
      <c r="AP28" s="873">
        <f t="shared" si="6"/>
        <v>5</v>
      </c>
      <c r="AQ28" s="806"/>
      <c r="AR28" s="697"/>
      <c r="AS28" s="727"/>
      <c r="AT28" s="697">
        <f t="shared" si="14"/>
        <v>0</v>
      </c>
      <c r="AU28" s="695"/>
      <c r="AV28" s="696"/>
      <c r="AW28" s="731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6"/>
      <c r="F29" s="534">
        <f t="shared" si="1"/>
        <v>0</v>
      </c>
      <c r="G29" s="329"/>
      <c r="H29" s="330"/>
      <c r="I29" s="736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6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6"/>
      <c r="F30" s="534">
        <f t="shared" si="1"/>
        <v>0</v>
      </c>
      <c r="G30" s="329"/>
      <c r="H30" s="330"/>
      <c r="I30" s="736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6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6"/>
      <c r="F31" s="534">
        <f t="shared" si="1"/>
        <v>0</v>
      </c>
      <c r="G31" s="329"/>
      <c r="H31" s="330"/>
      <c r="I31" s="736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6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6"/>
      <c r="Z31" s="534">
        <f t="shared" si="4"/>
        <v>0</v>
      </c>
      <c r="AA31" s="329"/>
      <c r="AB31" s="330"/>
      <c r="AC31" s="736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6"/>
      <c r="F32" s="534">
        <f t="shared" si="1"/>
        <v>0</v>
      </c>
      <c r="G32" s="329"/>
      <c r="H32" s="330"/>
      <c r="I32" s="736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6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6"/>
      <c r="Z32" s="534">
        <f t="shared" si="4"/>
        <v>0</v>
      </c>
      <c r="AA32" s="329"/>
      <c r="AB32" s="330"/>
      <c r="AC32" s="736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6"/>
      <c r="F33" s="534">
        <f t="shared" si="1"/>
        <v>0</v>
      </c>
      <c r="G33" s="329"/>
      <c r="H33" s="330"/>
      <c r="I33" s="736">
        <f t="shared" si="7"/>
        <v>0</v>
      </c>
      <c r="K33" s="122"/>
      <c r="L33" s="232">
        <f t="shared" si="2"/>
        <v>1</v>
      </c>
      <c r="M33" s="15"/>
      <c r="N33" s="534"/>
      <c r="O33" s="726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6"/>
      <c r="Z33" s="534">
        <f t="shared" si="4"/>
        <v>0</v>
      </c>
      <c r="AA33" s="329"/>
      <c r="AB33" s="330"/>
      <c r="AC33" s="736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6"/>
      <c r="F34" s="534">
        <f t="shared" si="1"/>
        <v>0</v>
      </c>
      <c r="G34" s="329"/>
      <c r="H34" s="330"/>
      <c r="I34" s="736">
        <f t="shared" si="7"/>
        <v>0</v>
      </c>
      <c r="K34" s="122"/>
      <c r="L34" s="232">
        <f t="shared" si="2"/>
        <v>0</v>
      </c>
      <c r="M34" s="15">
        <v>1</v>
      </c>
      <c r="N34" s="534"/>
      <c r="O34" s="726"/>
      <c r="P34" s="1152">
        <v>10</v>
      </c>
      <c r="Q34" s="1153"/>
      <c r="R34" s="1154"/>
      <c r="S34" s="1155">
        <f t="shared" si="8"/>
        <v>0</v>
      </c>
      <c r="U34" s="122"/>
      <c r="V34" s="232">
        <f t="shared" si="3"/>
        <v>8</v>
      </c>
      <c r="W34" s="15"/>
      <c r="X34" s="534"/>
      <c r="Y34" s="726"/>
      <c r="Z34" s="534">
        <f t="shared" si="4"/>
        <v>0</v>
      </c>
      <c r="AA34" s="329"/>
      <c r="AB34" s="330"/>
      <c r="AC34" s="736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6"/>
      <c r="F35" s="534">
        <f t="shared" si="1"/>
        <v>0</v>
      </c>
      <c r="G35" s="329"/>
      <c r="H35" s="330"/>
      <c r="I35" s="736">
        <f t="shared" si="7"/>
        <v>0</v>
      </c>
      <c r="K35" s="122"/>
      <c r="L35" s="232">
        <f t="shared" si="2"/>
        <v>0</v>
      </c>
      <c r="M35" s="15"/>
      <c r="N35" s="534"/>
      <c r="O35" s="726"/>
      <c r="P35" s="1152">
        <f t="shared" si="12"/>
        <v>0</v>
      </c>
      <c r="Q35" s="1153"/>
      <c r="R35" s="1154"/>
      <c r="S35" s="1155">
        <f t="shared" si="8"/>
        <v>0</v>
      </c>
      <c r="U35" s="122"/>
      <c r="V35" s="232">
        <f t="shared" si="3"/>
        <v>8</v>
      </c>
      <c r="W35" s="15"/>
      <c r="X35" s="534"/>
      <c r="Y35" s="726"/>
      <c r="Z35" s="534">
        <f t="shared" si="4"/>
        <v>0</v>
      </c>
      <c r="AA35" s="329"/>
      <c r="AB35" s="330"/>
      <c r="AC35" s="736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6"/>
      <c r="F36" s="534">
        <f t="shared" si="1"/>
        <v>0</v>
      </c>
      <c r="G36" s="329"/>
      <c r="H36" s="330"/>
      <c r="I36" s="736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6"/>
      <c r="P36" s="1152">
        <f t="shared" si="12"/>
        <v>0</v>
      </c>
      <c r="Q36" s="1153"/>
      <c r="R36" s="1154"/>
      <c r="S36" s="1155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6"/>
      <c r="Z36" s="534">
        <f t="shared" si="4"/>
        <v>0</v>
      </c>
      <c r="AA36" s="329"/>
      <c r="AB36" s="330"/>
      <c r="AC36" s="736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6"/>
      <c r="F37" s="534">
        <f t="shared" si="1"/>
        <v>0</v>
      </c>
      <c r="G37" s="329"/>
      <c r="H37" s="330"/>
      <c r="I37" s="736">
        <f t="shared" si="7"/>
        <v>0</v>
      </c>
      <c r="K37" s="123"/>
      <c r="L37" s="232">
        <f t="shared" si="2"/>
        <v>0</v>
      </c>
      <c r="M37" s="15"/>
      <c r="N37" s="534"/>
      <c r="O37" s="726"/>
      <c r="P37" s="1152">
        <f t="shared" si="12"/>
        <v>0</v>
      </c>
      <c r="Q37" s="1153"/>
      <c r="R37" s="1154"/>
      <c r="S37" s="1155">
        <f t="shared" si="8"/>
        <v>0</v>
      </c>
      <c r="U37" s="123"/>
      <c r="V37" s="232">
        <f t="shared" si="3"/>
        <v>8</v>
      </c>
      <c r="W37" s="15"/>
      <c r="X37" s="534"/>
      <c r="Y37" s="726"/>
      <c r="Z37" s="534">
        <f t="shared" si="4"/>
        <v>0</v>
      </c>
      <c r="AA37" s="329"/>
      <c r="AB37" s="330"/>
      <c r="AC37" s="736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6"/>
      <c r="F38" s="534">
        <f t="shared" si="1"/>
        <v>0</v>
      </c>
      <c r="G38" s="329"/>
      <c r="H38" s="330"/>
      <c r="I38" s="736">
        <f t="shared" si="7"/>
        <v>0</v>
      </c>
      <c r="K38" s="122"/>
      <c r="L38" s="232">
        <f t="shared" si="2"/>
        <v>0</v>
      </c>
      <c r="M38" s="15"/>
      <c r="N38" s="534"/>
      <c r="O38" s="726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6"/>
      <c r="Z38" s="534">
        <f t="shared" si="4"/>
        <v>0</v>
      </c>
      <c r="AA38" s="329"/>
      <c r="AB38" s="330"/>
      <c r="AC38" s="736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6"/>
      <c r="F39" s="534">
        <f t="shared" si="1"/>
        <v>0</v>
      </c>
      <c r="G39" s="329"/>
      <c r="H39" s="330"/>
      <c r="I39" s="736">
        <f t="shared" si="7"/>
        <v>0</v>
      </c>
      <c r="K39" s="122"/>
      <c r="L39" s="83">
        <f t="shared" si="2"/>
        <v>0</v>
      </c>
      <c r="M39" s="15"/>
      <c r="N39" s="534"/>
      <c r="O39" s="726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6"/>
      <c r="Z39" s="534">
        <f t="shared" si="4"/>
        <v>0</v>
      </c>
      <c r="AA39" s="329"/>
      <c r="AB39" s="330"/>
      <c r="AC39" s="736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6"/>
      <c r="F40" s="534">
        <f t="shared" si="1"/>
        <v>0</v>
      </c>
      <c r="G40" s="329"/>
      <c r="H40" s="330"/>
      <c r="I40" s="736">
        <f t="shared" si="7"/>
        <v>0</v>
      </c>
      <c r="K40" s="122"/>
      <c r="L40" s="83">
        <f t="shared" si="2"/>
        <v>0</v>
      </c>
      <c r="M40" s="15"/>
      <c r="N40" s="534"/>
      <c r="O40" s="726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6"/>
      <c r="Z40" s="534">
        <f t="shared" si="4"/>
        <v>0</v>
      </c>
      <c r="AA40" s="329"/>
      <c r="AB40" s="330"/>
      <c r="AC40" s="736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6"/>
      <c r="F41" s="534">
        <f t="shared" si="1"/>
        <v>0</v>
      </c>
      <c r="G41" s="329"/>
      <c r="H41" s="330"/>
      <c r="I41" s="736">
        <f t="shared" si="7"/>
        <v>0</v>
      </c>
      <c r="K41" s="122"/>
      <c r="L41" s="83">
        <f t="shared" si="2"/>
        <v>0</v>
      </c>
      <c r="M41" s="15"/>
      <c r="N41" s="534"/>
      <c r="O41" s="726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6"/>
      <c r="Z41" s="534">
        <f t="shared" si="4"/>
        <v>0</v>
      </c>
      <c r="AA41" s="329"/>
      <c r="AB41" s="330"/>
      <c r="AC41" s="736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6"/>
      <c r="F42" s="534">
        <f t="shared" si="1"/>
        <v>0</v>
      </c>
      <c r="G42" s="329"/>
      <c r="H42" s="330"/>
      <c r="I42" s="736">
        <f t="shared" si="7"/>
        <v>0</v>
      </c>
      <c r="K42" s="122"/>
      <c r="L42" s="83">
        <f t="shared" si="2"/>
        <v>0</v>
      </c>
      <c r="M42" s="15"/>
      <c r="N42" s="534"/>
      <c r="O42" s="726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6"/>
      <c r="Z42" s="534">
        <f t="shared" si="4"/>
        <v>0</v>
      </c>
      <c r="AA42" s="329"/>
      <c r="AB42" s="330"/>
      <c r="AC42" s="736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6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6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6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6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6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6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6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6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6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6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6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6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6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6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6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6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6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96" t="s">
        <v>11</v>
      </c>
      <c r="D83" s="1397"/>
      <c r="E83" s="57">
        <f>E5+E6-F78+E7</f>
        <v>0</v>
      </c>
      <c r="F83" s="73"/>
      <c r="M83" s="1396" t="s">
        <v>11</v>
      </c>
      <c r="N83" s="1397"/>
      <c r="O83" s="57">
        <f>O5+O6-P78+O7</f>
        <v>0</v>
      </c>
      <c r="P83" s="73"/>
      <c r="W83" s="1396" t="s">
        <v>11</v>
      </c>
      <c r="X83" s="1397"/>
      <c r="Y83" s="57">
        <f>Y5+Y6-Z78+Y7</f>
        <v>80</v>
      </c>
      <c r="Z83" s="73"/>
      <c r="AG83" s="1396" t="s">
        <v>11</v>
      </c>
      <c r="AH83" s="1397"/>
      <c r="AI83" s="57">
        <f>AI5+AI6-AJ78+AI7</f>
        <v>0</v>
      </c>
      <c r="AJ83" s="73"/>
      <c r="AQ83" s="1396" t="s">
        <v>11</v>
      </c>
      <c r="AR83" s="1397"/>
      <c r="AS83" s="57">
        <f>AS5+AS6-AT78+AS7</f>
        <v>40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94" t="s">
        <v>329</v>
      </c>
      <c r="B1" s="1394"/>
      <c r="C1" s="1394"/>
      <c r="D1" s="1394"/>
      <c r="E1" s="1394"/>
      <c r="F1" s="1394"/>
      <c r="G1" s="1394"/>
      <c r="H1" s="11">
        <v>1</v>
      </c>
      <c r="L1" s="1398" t="s">
        <v>509</v>
      </c>
      <c r="M1" s="1398"/>
      <c r="N1" s="1398"/>
      <c r="O1" s="1398"/>
      <c r="P1" s="1398"/>
      <c r="Q1" s="1398"/>
      <c r="R1" s="1398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99" t="s">
        <v>221</v>
      </c>
      <c r="B5" s="1407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99" t="s">
        <v>221</v>
      </c>
      <c r="M5" s="1407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99"/>
      <c r="B6" s="1407"/>
      <c r="C6" s="199"/>
      <c r="D6" s="149"/>
      <c r="E6" s="105"/>
      <c r="F6" s="73"/>
      <c r="L6" s="1399"/>
      <c r="M6" s="1407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21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21" t="s">
        <v>3</v>
      </c>
    </row>
    <row r="9" spans="1:21" ht="15.75" thickTop="1" x14ac:dyDescent="0.25">
      <c r="A9" s="73"/>
      <c r="B9" s="851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52">
        <f>H9*F9</f>
        <v>32670</v>
      </c>
      <c r="J9" s="731">
        <f>E4+E5+E6+E7-F9</f>
        <v>18351.099999999999</v>
      </c>
      <c r="L9" s="73"/>
      <c r="M9" s="851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52">
        <f>S9*Q9</f>
        <v>51994.799999999996</v>
      </c>
      <c r="U9" s="731">
        <f>P4+P5+P6+P7-Q9</f>
        <v>17813.3</v>
      </c>
    </row>
    <row r="10" spans="1:21" x14ac:dyDescent="0.25">
      <c r="B10" s="851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53">
        <f t="shared" ref="I10:I37" si="2">H10*F10</f>
        <v>33260</v>
      </c>
      <c r="J10" s="731">
        <f>J9-F10</f>
        <v>17685.899999999998</v>
      </c>
      <c r="M10" s="851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53">
        <f t="shared" ref="T10:T37" si="3">S10*Q10</f>
        <v>41805</v>
      </c>
      <c r="U10" s="731">
        <f>U9-Q10</f>
        <v>16977.2</v>
      </c>
    </row>
    <row r="11" spans="1:21" x14ac:dyDescent="0.25">
      <c r="A11" s="55" t="s">
        <v>32</v>
      </c>
      <c r="B11" s="851">
        <f t="shared" ref="B11:B37" si="4">B10-C11</f>
        <v>596</v>
      </c>
      <c r="C11" s="806">
        <v>24</v>
      </c>
      <c r="D11" s="694">
        <v>666.4</v>
      </c>
      <c r="E11" s="843">
        <v>44873</v>
      </c>
      <c r="F11" s="697">
        <f t="shared" ref="F11:F37" si="5">D11</f>
        <v>666.4</v>
      </c>
      <c r="G11" s="695" t="s">
        <v>251</v>
      </c>
      <c r="H11" s="696">
        <v>50</v>
      </c>
      <c r="I11" s="853">
        <f t="shared" si="2"/>
        <v>33320</v>
      </c>
      <c r="J11" s="731">
        <f t="shared" ref="J11:J12" si="6">J10-F11</f>
        <v>17019.499999999996</v>
      </c>
      <c r="L11" s="55" t="s">
        <v>32</v>
      </c>
      <c r="M11" s="851">
        <f t="shared" ref="M11:M37" si="7">M10-N11</f>
        <v>558</v>
      </c>
      <c r="N11" s="806">
        <v>12</v>
      </c>
      <c r="O11" s="694">
        <v>354.12</v>
      </c>
      <c r="P11" s="843">
        <v>44924</v>
      </c>
      <c r="Q11" s="697">
        <f t="shared" si="1"/>
        <v>354.12</v>
      </c>
      <c r="R11" s="695" t="s">
        <v>849</v>
      </c>
      <c r="S11" s="696">
        <v>50</v>
      </c>
      <c r="T11" s="853">
        <f t="shared" si="3"/>
        <v>17706</v>
      </c>
      <c r="U11" s="731">
        <f t="shared" ref="U11:U12" si="8">U10-Q11</f>
        <v>16623.080000000002</v>
      </c>
    </row>
    <row r="12" spans="1:21" x14ac:dyDescent="0.25">
      <c r="A12" s="85"/>
      <c r="B12" s="851">
        <f t="shared" si="4"/>
        <v>572</v>
      </c>
      <c r="C12" s="806">
        <v>24</v>
      </c>
      <c r="D12" s="694">
        <v>601</v>
      </c>
      <c r="E12" s="843">
        <v>44875</v>
      </c>
      <c r="F12" s="697">
        <f t="shared" si="5"/>
        <v>601</v>
      </c>
      <c r="G12" s="695" t="s">
        <v>260</v>
      </c>
      <c r="H12" s="696">
        <v>50</v>
      </c>
      <c r="I12" s="853">
        <f t="shared" si="2"/>
        <v>30050</v>
      </c>
      <c r="J12" s="731">
        <f t="shared" si="6"/>
        <v>16418.499999999996</v>
      </c>
      <c r="L12" s="85"/>
      <c r="M12" s="851">
        <f t="shared" si="7"/>
        <v>538</v>
      </c>
      <c r="N12" s="806">
        <v>20</v>
      </c>
      <c r="O12" s="694">
        <v>539.1</v>
      </c>
      <c r="P12" s="843">
        <v>44924</v>
      </c>
      <c r="Q12" s="697">
        <f t="shared" si="1"/>
        <v>539.1</v>
      </c>
      <c r="R12" s="695" t="s">
        <v>849</v>
      </c>
      <c r="S12" s="696">
        <v>52</v>
      </c>
      <c r="T12" s="853">
        <f t="shared" si="3"/>
        <v>28033.200000000001</v>
      </c>
      <c r="U12" s="731">
        <f t="shared" si="8"/>
        <v>16083.980000000001</v>
      </c>
    </row>
    <row r="13" spans="1:21" x14ac:dyDescent="0.25">
      <c r="B13" s="851">
        <f t="shared" si="4"/>
        <v>548</v>
      </c>
      <c r="C13" s="806">
        <v>24</v>
      </c>
      <c r="D13" s="694">
        <v>685.1</v>
      </c>
      <c r="E13" s="843">
        <v>44877</v>
      </c>
      <c r="F13" s="697">
        <f t="shared" si="5"/>
        <v>685.1</v>
      </c>
      <c r="G13" s="695" t="s">
        <v>270</v>
      </c>
      <c r="H13" s="696">
        <v>50</v>
      </c>
      <c r="I13" s="853">
        <f t="shared" si="2"/>
        <v>34255</v>
      </c>
      <c r="J13" s="731">
        <f>J12-F13</f>
        <v>15733.399999999996</v>
      </c>
      <c r="M13" s="851">
        <f t="shared" si="7"/>
        <v>508</v>
      </c>
      <c r="N13" s="806">
        <v>30</v>
      </c>
      <c r="O13" s="694">
        <v>886.2</v>
      </c>
      <c r="P13" s="843">
        <v>44929</v>
      </c>
      <c r="Q13" s="697">
        <f t="shared" si="1"/>
        <v>886.2</v>
      </c>
      <c r="R13" s="695" t="s">
        <v>873</v>
      </c>
      <c r="S13" s="696">
        <v>52</v>
      </c>
      <c r="T13" s="853">
        <f t="shared" si="3"/>
        <v>46082.400000000001</v>
      </c>
      <c r="U13" s="731">
        <f>U12-Q13</f>
        <v>15197.78</v>
      </c>
    </row>
    <row r="14" spans="1:21" x14ac:dyDescent="0.25">
      <c r="A14" s="55" t="s">
        <v>33</v>
      </c>
      <c r="B14" s="851">
        <f t="shared" si="4"/>
        <v>524</v>
      </c>
      <c r="C14" s="806">
        <v>24</v>
      </c>
      <c r="D14" s="694">
        <v>701.7</v>
      </c>
      <c r="E14" s="843">
        <v>44879</v>
      </c>
      <c r="F14" s="697">
        <f t="shared" si="5"/>
        <v>701.7</v>
      </c>
      <c r="G14" s="695" t="s">
        <v>271</v>
      </c>
      <c r="H14" s="696">
        <v>50</v>
      </c>
      <c r="I14" s="853">
        <f t="shared" si="2"/>
        <v>35085</v>
      </c>
      <c r="J14" s="731">
        <f t="shared" ref="J14:J37" si="9">J13-F14</f>
        <v>15031.699999999995</v>
      </c>
      <c r="L14" s="55" t="s">
        <v>33</v>
      </c>
      <c r="M14" s="851">
        <f t="shared" si="7"/>
        <v>508</v>
      </c>
      <c r="N14" s="806"/>
      <c r="O14" s="694"/>
      <c r="P14" s="843"/>
      <c r="Q14" s="697">
        <f t="shared" si="1"/>
        <v>0</v>
      </c>
      <c r="R14" s="695"/>
      <c r="S14" s="696"/>
      <c r="T14" s="853">
        <f t="shared" si="3"/>
        <v>0</v>
      </c>
      <c r="U14" s="731">
        <f t="shared" ref="U14:U37" si="10">U13-Q14</f>
        <v>15197.78</v>
      </c>
    </row>
    <row r="15" spans="1:21" x14ac:dyDescent="0.25">
      <c r="A15" s="729"/>
      <c r="B15" s="851">
        <f t="shared" si="4"/>
        <v>500</v>
      </c>
      <c r="C15" s="806">
        <v>24</v>
      </c>
      <c r="D15" s="694">
        <v>739.6</v>
      </c>
      <c r="E15" s="843">
        <v>44881</v>
      </c>
      <c r="F15" s="697">
        <f t="shared" si="5"/>
        <v>739.6</v>
      </c>
      <c r="G15" s="695" t="s">
        <v>278</v>
      </c>
      <c r="H15" s="696">
        <v>50</v>
      </c>
      <c r="I15" s="853">
        <f t="shared" si="2"/>
        <v>36980</v>
      </c>
      <c r="J15" s="731">
        <f t="shared" si="9"/>
        <v>14292.099999999995</v>
      </c>
      <c r="L15" s="729"/>
      <c r="M15" s="851">
        <f t="shared" si="7"/>
        <v>508</v>
      </c>
      <c r="N15" s="806"/>
      <c r="O15" s="694"/>
      <c r="P15" s="843"/>
      <c r="Q15" s="697">
        <f t="shared" si="1"/>
        <v>0</v>
      </c>
      <c r="R15" s="695"/>
      <c r="S15" s="696"/>
      <c r="T15" s="853">
        <f t="shared" si="3"/>
        <v>0</v>
      </c>
      <c r="U15" s="731">
        <f t="shared" si="10"/>
        <v>15197.78</v>
      </c>
    </row>
    <row r="16" spans="1:21" ht="15.75" x14ac:dyDescent="0.25">
      <c r="A16" s="850"/>
      <c r="B16" s="851">
        <f t="shared" si="4"/>
        <v>476</v>
      </c>
      <c r="C16" s="806">
        <v>24</v>
      </c>
      <c r="D16" s="694">
        <v>688.6</v>
      </c>
      <c r="E16" s="843">
        <v>44883</v>
      </c>
      <c r="F16" s="697">
        <f t="shared" si="5"/>
        <v>688.6</v>
      </c>
      <c r="G16" s="695" t="s">
        <v>286</v>
      </c>
      <c r="H16" s="696">
        <v>50</v>
      </c>
      <c r="I16" s="853">
        <f t="shared" si="2"/>
        <v>34430</v>
      </c>
      <c r="J16" s="731">
        <f t="shared" si="9"/>
        <v>13603.499999999995</v>
      </c>
      <c r="L16" s="850"/>
      <c r="M16" s="851">
        <f t="shared" si="7"/>
        <v>508</v>
      </c>
      <c r="N16" s="806"/>
      <c r="O16" s="694"/>
      <c r="P16" s="843"/>
      <c r="Q16" s="697">
        <f t="shared" si="1"/>
        <v>0</v>
      </c>
      <c r="R16" s="695"/>
      <c r="S16" s="696"/>
      <c r="T16" s="853">
        <f t="shared" si="3"/>
        <v>0</v>
      </c>
      <c r="U16" s="731">
        <f t="shared" si="10"/>
        <v>15197.78</v>
      </c>
    </row>
    <row r="17" spans="1:21" ht="15.75" x14ac:dyDescent="0.25">
      <c r="A17" s="850"/>
      <c r="B17" s="851">
        <f t="shared" si="4"/>
        <v>452</v>
      </c>
      <c r="C17" s="806">
        <v>24</v>
      </c>
      <c r="D17" s="694">
        <v>712.8</v>
      </c>
      <c r="E17" s="843">
        <v>44884</v>
      </c>
      <c r="F17" s="697">
        <f t="shared" si="5"/>
        <v>712.8</v>
      </c>
      <c r="G17" s="695" t="s">
        <v>290</v>
      </c>
      <c r="H17" s="696">
        <v>50</v>
      </c>
      <c r="I17" s="853">
        <f t="shared" si="2"/>
        <v>35640</v>
      </c>
      <c r="J17" s="731">
        <f t="shared" si="9"/>
        <v>12890.699999999995</v>
      </c>
      <c r="L17" s="850"/>
      <c r="M17" s="851">
        <f t="shared" si="7"/>
        <v>508</v>
      </c>
      <c r="N17" s="806"/>
      <c r="O17" s="694"/>
      <c r="P17" s="843"/>
      <c r="Q17" s="697">
        <f t="shared" si="1"/>
        <v>0</v>
      </c>
      <c r="R17" s="695"/>
      <c r="S17" s="696"/>
      <c r="T17" s="853">
        <f t="shared" si="3"/>
        <v>0</v>
      </c>
      <c r="U17" s="731">
        <f t="shared" si="10"/>
        <v>15197.78</v>
      </c>
    </row>
    <row r="18" spans="1:21" ht="15.75" x14ac:dyDescent="0.25">
      <c r="A18" s="850"/>
      <c r="B18" s="851">
        <f t="shared" si="4"/>
        <v>428</v>
      </c>
      <c r="C18" s="806">
        <v>24</v>
      </c>
      <c r="D18" s="694">
        <v>714.4</v>
      </c>
      <c r="E18" s="843">
        <v>44888</v>
      </c>
      <c r="F18" s="697">
        <f t="shared" si="5"/>
        <v>714.4</v>
      </c>
      <c r="G18" s="695" t="s">
        <v>295</v>
      </c>
      <c r="H18" s="696">
        <v>50</v>
      </c>
      <c r="I18" s="853">
        <f t="shared" si="2"/>
        <v>35720</v>
      </c>
      <c r="J18" s="731">
        <f t="shared" si="9"/>
        <v>12176.299999999996</v>
      </c>
      <c r="L18" s="850"/>
      <c r="M18" s="851">
        <f t="shared" si="7"/>
        <v>508</v>
      </c>
      <c r="N18" s="806"/>
      <c r="O18" s="694"/>
      <c r="P18" s="843"/>
      <c r="Q18" s="697">
        <f t="shared" si="1"/>
        <v>0</v>
      </c>
      <c r="R18" s="695"/>
      <c r="S18" s="696"/>
      <c r="T18" s="853">
        <f t="shared" si="3"/>
        <v>0</v>
      </c>
      <c r="U18" s="731">
        <f t="shared" si="10"/>
        <v>15197.78</v>
      </c>
    </row>
    <row r="19" spans="1:21" x14ac:dyDescent="0.25">
      <c r="A19" s="729"/>
      <c r="B19" s="808">
        <f t="shared" si="4"/>
        <v>404</v>
      </c>
      <c r="C19" s="806">
        <v>24</v>
      </c>
      <c r="D19" s="694">
        <v>691.4</v>
      </c>
      <c r="E19" s="843">
        <v>44891</v>
      </c>
      <c r="F19" s="697">
        <f t="shared" si="5"/>
        <v>691.4</v>
      </c>
      <c r="G19" s="695" t="s">
        <v>312</v>
      </c>
      <c r="H19" s="696">
        <v>50</v>
      </c>
      <c r="I19" s="853">
        <f t="shared" si="2"/>
        <v>34570</v>
      </c>
      <c r="J19" s="809">
        <f t="shared" si="9"/>
        <v>11484.899999999996</v>
      </c>
      <c r="L19" s="729"/>
      <c r="M19" s="851">
        <f t="shared" si="7"/>
        <v>508</v>
      </c>
      <c r="N19" s="806"/>
      <c r="O19" s="694"/>
      <c r="P19" s="843"/>
      <c r="Q19" s="697">
        <f t="shared" si="1"/>
        <v>0</v>
      </c>
      <c r="R19" s="695"/>
      <c r="S19" s="696"/>
      <c r="T19" s="853">
        <f t="shared" si="3"/>
        <v>0</v>
      </c>
      <c r="U19" s="731">
        <f t="shared" si="10"/>
        <v>15197.78</v>
      </c>
    </row>
    <row r="20" spans="1:21" x14ac:dyDescent="0.25">
      <c r="A20" s="729"/>
      <c r="B20" s="851">
        <f t="shared" si="4"/>
        <v>380</v>
      </c>
      <c r="C20" s="806">
        <v>24</v>
      </c>
      <c r="D20" s="975">
        <v>658.4</v>
      </c>
      <c r="E20" s="976">
        <v>44893</v>
      </c>
      <c r="F20" s="977">
        <f t="shared" si="5"/>
        <v>658.4</v>
      </c>
      <c r="G20" s="978" t="s">
        <v>566</v>
      </c>
      <c r="H20" s="979">
        <v>50</v>
      </c>
      <c r="I20" s="853">
        <f t="shared" si="2"/>
        <v>32920</v>
      </c>
      <c r="J20" s="731">
        <f t="shared" si="9"/>
        <v>10826.499999999996</v>
      </c>
      <c r="L20" s="729"/>
      <c r="M20" s="851">
        <f t="shared" si="7"/>
        <v>508</v>
      </c>
      <c r="N20" s="806"/>
      <c r="O20" s="694"/>
      <c r="P20" s="843"/>
      <c r="Q20" s="697">
        <f t="shared" si="1"/>
        <v>0</v>
      </c>
      <c r="R20" s="695"/>
      <c r="S20" s="979"/>
      <c r="T20" s="853">
        <f t="shared" si="3"/>
        <v>0</v>
      </c>
      <c r="U20" s="731">
        <f t="shared" si="10"/>
        <v>15197.78</v>
      </c>
    </row>
    <row r="21" spans="1:21" x14ac:dyDescent="0.25">
      <c r="B21" s="851">
        <f t="shared" si="4"/>
        <v>356</v>
      </c>
      <c r="C21" s="806">
        <v>24</v>
      </c>
      <c r="D21" s="975">
        <v>708.3</v>
      </c>
      <c r="E21" s="976">
        <v>44895</v>
      </c>
      <c r="F21" s="977">
        <f t="shared" si="5"/>
        <v>708.3</v>
      </c>
      <c r="G21" s="978" t="s">
        <v>577</v>
      </c>
      <c r="H21" s="979">
        <v>50</v>
      </c>
      <c r="I21" s="853">
        <f t="shared" si="2"/>
        <v>35415</v>
      </c>
      <c r="J21" s="731">
        <f t="shared" si="9"/>
        <v>10118.199999999997</v>
      </c>
      <c r="M21" s="851">
        <f t="shared" si="7"/>
        <v>508</v>
      </c>
      <c r="N21" s="806"/>
      <c r="O21" s="694"/>
      <c r="P21" s="843"/>
      <c r="Q21" s="697">
        <f t="shared" si="1"/>
        <v>0</v>
      </c>
      <c r="R21" s="695"/>
      <c r="S21" s="979"/>
      <c r="T21" s="853">
        <f t="shared" si="3"/>
        <v>0</v>
      </c>
      <c r="U21" s="731">
        <f t="shared" si="10"/>
        <v>15197.78</v>
      </c>
    </row>
    <row r="22" spans="1:21" x14ac:dyDescent="0.25">
      <c r="B22" s="851">
        <f t="shared" si="4"/>
        <v>332</v>
      </c>
      <c r="C22" s="806">
        <v>24</v>
      </c>
      <c r="D22" s="975">
        <v>647.70000000000005</v>
      </c>
      <c r="E22" s="976">
        <v>44897</v>
      </c>
      <c r="F22" s="977">
        <f t="shared" si="5"/>
        <v>647.70000000000005</v>
      </c>
      <c r="G22" s="978" t="s">
        <v>596</v>
      </c>
      <c r="H22" s="979">
        <v>50</v>
      </c>
      <c r="I22" s="853">
        <f t="shared" si="2"/>
        <v>32385.000000000004</v>
      </c>
      <c r="J22" s="731">
        <f t="shared" si="9"/>
        <v>9470.4999999999964</v>
      </c>
      <c r="M22" s="851">
        <f t="shared" si="7"/>
        <v>508</v>
      </c>
      <c r="N22" s="806"/>
      <c r="O22" s="694"/>
      <c r="P22" s="843"/>
      <c r="Q22" s="697">
        <f t="shared" si="1"/>
        <v>0</v>
      </c>
      <c r="R22" s="695"/>
      <c r="S22" s="979"/>
      <c r="T22" s="853">
        <f t="shared" si="3"/>
        <v>0</v>
      </c>
      <c r="U22" s="731">
        <f t="shared" si="10"/>
        <v>15197.78</v>
      </c>
    </row>
    <row r="23" spans="1:21" x14ac:dyDescent="0.25">
      <c r="B23" s="851">
        <f t="shared" si="4"/>
        <v>308</v>
      </c>
      <c r="C23" s="806">
        <v>24</v>
      </c>
      <c r="D23" s="975">
        <v>680</v>
      </c>
      <c r="E23" s="976">
        <v>44900</v>
      </c>
      <c r="F23" s="977">
        <f t="shared" si="5"/>
        <v>680</v>
      </c>
      <c r="G23" s="978" t="s">
        <v>615</v>
      </c>
      <c r="H23" s="979">
        <v>50</v>
      </c>
      <c r="I23" s="853">
        <f t="shared" si="2"/>
        <v>34000</v>
      </c>
      <c r="J23" s="731">
        <f t="shared" si="9"/>
        <v>8790.4999999999964</v>
      </c>
      <c r="M23" s="851">
        <f t="shared" si="7"/>
        <v>508</v>
      </c>
      <c r="N23" s="806"/>
      <c r="O23" s="694"/>
      <c r="P23" s="843"/>
      <c r="Q23" s="697">
        <f t="shared" si="1"/>
        <v>0</v>
      </c>
      <c r="R23" s="695"/>
      <c r="S23" s="979"/>
      <c r="T23" s="853">
        <f t="shared" si="3"/>
        <v>0</v>
      </c>
      <c r="U23" s="731">
        <f t="shared" si="10"/>
        <v>15197.78</v>
      </c>
    </row>
    <row r="24" spans="1:21" x14ac:dyDescent="0.25">
      <c r="B24" s="851">
        <f t="shared" si="4"/>
        <v>284</v>
      </c>
      <c r="C24" s="806">
        <v>24</v>
      </c>
      <c r="D24" s="975">
        <v>751.9</v>
      </c>
      <c r="E24" s="976">
        <v>44901</v>
      </c>
      <c r="F24" s="977">
        <f t="shared" si="5"/>
        <v>751.9</v>
      </c>
      <c r="G24" s="978" t="s">
        <v>622</v>
      </c>
      <c r="H24" s="979">
        <v>50</v>
      </c>
      <c r="I24" s="853">
        <f t="shared" si="2"/>
        <v>37595</v>
      </c>
      <c r="J24" s="731">
        <f t="shared" si="9"/>
        <v>8038.5999999999967</v>
      </c>
      <c r="M24" s="851">
        <f t="shared" si="7"/>
        <v>508</v>
      </c>
      <c r="N24" s="806"/>
      <c r="O24" s="694"/>
      <c r="P24" s="843"/>
      <c r="Q24" s="697">
        <f t="shared" si="1"/>
        <v>0</v>
      </c>
      <c r="R24" s="695"/>
      <c r="S24" s="979"/>
      <c r="T24" s="853">
        <f t="shared" si="3"/>
        <v>0</v>
      </c>
      <c r="U24" s="731">
        <f t="shared" si="10"/>
        <v>15197.78</v>
      </c>
    </row>
    <row r="25" spans="1:21" x14ac:dyDescent="0.25">
      <c r="B25" s="851">
        <f t="shared" si="4"/>
        <v>260</v>
      </c>
      <c r="C25" s="806">
        <v>24</v>
      </c>
      <c r="D25" s="975">
        <v>624.5</v>
      </c>
      <c r="E25" s="976">
        <v>44904</v>
      </c>
      <c r="F25" s="977">
        <f t="shared" si="5"/>
        <v>624.5</v>
      </c>
      <c r="G25" s="978" t="s">
        <v>654</v>
      </c>
      <c r="H25" s="979">
        <v>50</v>
      </c>
      <c r="I25" s="853">
        <f t="shared" si="2"/>
        <v>31225</v>
      </c>
      <c r="J25" s="731">
        <f t="shared" si="9"/>
        <v>7414.0999999999967</v>
      </c>
      <c r="M25" s="851">
        <f t="shared" si="7"/>
        <v>508</v>
      </c>
      <c r="N25" s="806"/>
      <c r="O25" s="694"/>
      <c r="P25" s="843"/>
      <c r="Q25" s="697">
        <f t="shared" si="1"/>
        <v>0</v>
      </c>
      <c r="R25" s="695"/>
      <c r="S25" s="979"/>
      <c r="T25" s="853">
        <f t="shared" si="3"/>
        <v>0</v>
      </c>
      <c r="U25" s="731">
        <f t="shared" si="10"/>
        <v>15197.78</v>
      </c>
    </row>
    <row r="26" spans="1:21" x14ac:dyDescent="0.25">
      <c r="B26" s="851">
        <f t="shared" si="4"/>
        <v>160</v>
      </c>
      <c r="C26" s="806">
        <f>24+24+24+24+4</f>
        <v>100</v>
      </c>
      <c r="D26" s="975">
        <f>734.1+724.8+629.8+626.1+116.2</f>
        <v>2830.9999999999995</v>
      </c>
      <c r="E26" s="976">
        <v>44904</v>
      </c>
      <c r="F26" s="977">
        <f t="shared" si="5"/>
        <v>2830.9999999999995</v>
      </c>
      <c r="G26" s="978" t="s">
        <v>663</v>
      </c>
      <c r="H26" s="979">
        <v>52</v>
      </c>
      <c r="I26" s="853">
        <f t="shared" si="2"/>
        <v>147211.99999999997</v>
      </c>
      <c r="J26" s="731">
        <f t="shared" si="9"/>
        <v>4583.0999999999967</v>
      </c>
      <c r="M26" s="851">
        <f t="shared" si="7"/>
        <v>508</v>
      </c>
      <c r="N26" s="806"/>
      <c r="O26" s="694"/>
      <c r="P26" s="843"/>
      <c r="Q26" s="697">
        <f t="shared" si="1"/>
        <v>0</v>
      </c>
      <c r="R26" s="695"/>
      <c r="S26" s="979"/>
      <c r="T26" s="853">
        <f t="shared" si="3"/>
        <v>0</v>
      </c>
      <c r="U26" s="731">
        <f t="shared" si="10"/>
        <v>15197.78</v>
      </c>
    </row>
    <row r="27" spans="1:21" x14ac:dyDescent="0.25">
      <c r="B27" s="851">
        <f t="shared" si="4"/>
        <v>136</v>
      </c>
      <c r="C27" s="806">
        <v>24</v>
      </c>
      <c r="D27" s="975">
        <v>741.9</v>
      </c>
      <c r="E27" s="976">
        <v>44907</v>
      </c>
      <c r="F27" s="977">
        <f t="shared" si="5"/>
        <v>741.9</v>
      </c>
      <c r="G27" s="978" t="s">
        <v>693</v>
      </c>
      <c r="H27" s="979">
        <v>50</v>
      </c>
      <c r="I27" s="853">
        <f t="shared" si="2"/>
        <v>37095</v>
      </c>
      <c r="J27" s="731">
        <f t="shared" si="9"/>
        <v>3841.1999999999966</v>
      </c>
      <c r="M27" s="851">
        <f t="shared" si="7"/>
        <v>508</v>
      </c>
      <c r="N27" s="806"/>
      <c r="O27" s="694"/>
      <c r="P27" s="843"/>
      <c r="Q27" s="697">
        <f t="shared" si="1"/>
        <v>0</v>
      </c>
      <c r="R27" s="695"/>
      <c r="S27" s="979"/>
      <c r="T27" s="853">
        <f t="shared" si="3"/>
        <v>0</v>
      </c>
      <c r="U27" s="731">
        <f t="shared" si="10"/>
        <v>15197.78</v>
      </c>
    </row>
    <row r="28" spans="1:21" x14ac:dyDescent="0.25">
      <c r="B28" s="851">
        <f t="shared" si="4"/>
        <v>112</v>
      </c>
      <c r="C28" s="806">
        <v>24</v>
      </c>
      <c r="D28" s="977">
        <v>653.29999999999995</v>
      </c>
      <c r="E28" s="976">
        <v>44908</v>
      </c>
      <c r="F28" s="977">
        <f t="shared" si="5"/>
        <v>653.29999999999995</v>
      </c>
      <c r="G28" s="978" t="s">
        <v>692</v>
      </c>
      <c r="H28" s="979">
        <v>50</v>
      </c>
      <c r="I28" s="853">
        <f t="shared" si="2"/>
        <v>32664.999999999996</v>
      </c>
      <c r="J28" s="731">
        <f t="shared" si="9"/>
        <v>3187.8999999999969</v>
      </c>
      <c r="M28" s="851">
        <f t="shared" si="7"/>
        <v>508</v>
      </c>
      <c r="N28" s="806"/>
      <c r="O28" s="697"/>
      <c r="P28" s="843"/>
      <c r="Q28" s="697">
        <f t="shared" si="1"/>
        <v>0</v>
      </c>
      <c r="R28" s="695"/>
      <c r="S28" s="979"/>
      <c r="T28" s="853">
        <f t="shared" si="3"/>
        <v>0</v>
      </c>
      <c r="U28" s="731">
        <f t="shared" si="10"/>
        <v>15197.78</v>
      </c>
    </row>
    <row r="29" spans="1:21" x14ac:dyDescent="0.25">
      <c r="B29" s="851">
        <f t="shared" si="4"/>
        <v>88</v>
      </c>
      <c r="C29" s="806">
        <v>24</v>
      </c>
      <c r="D29" s="977">
        <v>678.5</v>
      </c>
      <c r="E29" s="976">
        <v>44910</v>
      </c>
      <c r="F29" s="977">
        <f t="shared" si="5"/>
        <v>678.5</v>
      </c>
      <c r="G29" s="978" t="s">
        <v>719</v>
      </c>
      <c r="H29" s="979">
        <v>50</v>
      </c>
      <c r="I29" s="853">
        <f t="shared" ref="I29:I36" si="11">H29*F29</f>
        <v>33925</v>
      </c>
      <c r="J29" s="731">
        <f t="shared" ref="J29:J36" si="12">J28-F29</f>
        <v>2509.3999999999969</v>
      </c>
      <c r="M29" s="851">
        <f t="shared" si="7"/>
        <v>508</v>
      </c>
      <c r="N29" s="806"/>
      <c r="O29" s="697"/>
      <c r="P29" s="843"/>
      <c r="Q29" s="697">
        <f t="shared" si="1"/>
        <v>0</v>
      </c>
      <c r="R29" s="695"/>
      <c r="S29" s="979"/>
      <c r="T29" s="853">
        <f t="shared" ref="T29:T36" si="13">S29*Q29</f>
        <v>0</v>
      </c>
      <c r="U29" s="731">
        <f t="shared" ref="U29:U36" si="14">U28-Q29</f>
        <v>15197.78</v>
      </c>
    </row>
    <row r="30" spans="1:21" x14ac:dyDescent="0.25">
      <c r="B30" s="851">
        <f t="shared" si="4"/>
        <v>64</v>
      </c>
      <c r="C30" s="806">
        <v>24</v>
      </c>
      <c r="D30" s="977">
        <v>678.8</v>
      </c>
      <c r="E30" s="976">
        <v>44913</v>
      </c>
      <c r="F30" s="977">
        <f t="shared" si="5"/>
        <v>678.8</v>
      </c>
      <c r="G30" s="978" t="s">
        <v>747</v>
      </c>
      <c r="H30" s="979">
        <v>50</v>
      </c>
      <c r="I30" s="853">
        <f t="shared" si="11"/>
        <v>33940</v>
      </c>
      <c r="J30" s="731">
        <f t="shared" si="12"/>
        <v>1830.599999999997</v>
      </c>
      <c r="M30" s="851">
        <f t="shared" si="7"/>
        <v>508</v>
      </c>
      <c r="N30" s="806"/>
      <c r="O30" s="697"/>
      <c r="P30" s="843"/>
      <c r="Q30" s="697">
        <f t="shared" si="1"/>
        <v>0</v>
      </c>
      <c r="R30" s="695"/>
      <c r="S30" s="979"/>
      <c r="T30" s="853">
        <f t="shared" si="13"/>
        <v>0</v>
      </c>
      <c r="U30" s="731">
        <f t="shared" si="14"/>
        <v>15197.78</v>
      </c>
    </row>
    <row r="31" spans="1:21" x14ac:dyDescent="0.25">
      <c r="B31" s="851">
        <f t="shared" si="4"/>
        <v>40</v>
      </c>
      <c r="C31" s="806">
        <v>24</v>
      </c>
      <c r="D31" s="977">
        <v>703.8</v>
      </c>
      <c r="E31" s="976">
        <v>44915</v>
      </c>
      <c r="F31" s="977">
        <f t="shared" si="5"/>
        <v>703.8</v>
      </c>
      <c r="G31" s="978" t="s">
        <v>763</v>
      </c>
      <c r="H31" s="979">
        <v>50</v>
      </c>
      <c r="I31" s="853">
        <f t="shared" si="11"/>
        <v>35190</v>
      </c>
      <c r="J31" s="731">
        <f t="shared" si="12"/>
        <v>1126.799999999997</v>
      </c>
      <c r="M31" s="851">
        <f t="shared" si="7"/>
        <v>508</v>
      </c>
      <c r="N31" s="806"/>
      <c r="O31" s="697"/>
      <c r="P31" s="843"/>
      <c r="Q31" s="697">
        <f t="shared" si="1"/>
        <v>0</v>
      </c>
      <c r="R31" s="695"/>
      <c r="S31" s="979"/>
      <c r="T31" s="853">
        <f t="shared" si="13"/>
        <v>0</v>
      </c>
      <c r="U31" s="731">
        <f t="shared" si="14"/>
        <v>15197.78</v>
      </c>
    </row>
    <row r="32" spans="1:21" x14ac:dyDescent="0.25">
      <c r="B32" s="851">
        <f t="shared" si="4"/>
        <v>10</v>
      </c>
      <c r="C32" s="806">
        <v>30</v>
      </c>
      <c r="D32" s="977">
        <v>881.6</v>
      </c>
      <c r="E32" s="976">
        <v>44922</v>
      </c>
      <c r="F32" s="977">
        <f t="shared" si="5"/>
        <v>881.6</v>
      </c>
      <c r="G32" s="978" t="s">
        <v>833</v>
      </c>
      <c r="H32" s="979">
        <v>52</v>
      </c>
      <c r="I32" s="853">
        <f t="shared" si="11"/>
        <v>45843.200000000004</v>
      </c>
      <c r="J32" s="731">
        <f t="shared" si="12"/>
        <v>245.19999999999698</v>
      </c>
      <c r="M32" s="851">
        <f t="shared" si="7"/>
        <v>508</v>
      </c>
      <c r="N32" s="806"/>
      <c r="O32" s="697"/>
      <c r="P32" s="843"/>
      <c r="Q32" s="697">
        <f t="shared" si="1"/>
        <v>0</v>
      </c>
      <c r="R32" s="695"/>
      <c r="S32" s="979"/>
      <c r="T32" s="853">
        <f t="shared" si="13"/>
        <v>0</v>
      </c>
      <c r="U32" s="731">
        <f t="shared" si="14"/>
        <v>15197.78</v>
      </c>
    </row>
    <row r="33" spans="2:21" x14ac:dyDescent="0.25">
      <c r="B33" s="851">
        <f t="shared" si="4"/>
        <v>10</v>
      </c>
      <c r="C33" s="806"/>
      <c r="D33" s="977"/>
      <c r="E33" s="976"/>
      <c r="F33" s="977">
        <f t="shared" si="5"/>
        <v>0</v>
      </c>
      <c r="G33" s="978"/>
      <c r="H33" s="979"/>
      <c r="I33" s="853">
        <f t="shared" si="11"/>
        <v>0</v>
      </c>
      <c r="J33" s="731">
        <f t="shared" si="12"/>
        <v>245.19999999999698</v>
      </c>
      <c r="M33" s="851">
        <f t="shared" si="7"/>
        <v>508</v>
      </c>
      <c r="N33" s="806"/>
      <c r="O33" s="697"/>
      <c r="P33" s="843"/>
      <c r="Q33" s="697">
        <f t="shared" si="1"/>
        <v>0</v>
      </c>
      <c r="R33" s="695"/>
      <c r="S33" s="979"/>
      <c r="T33" s="853">
        <f t="shared" si="13"/>
        <v>0</v>
      </c>
      <c r="U33" s="731">
        <f t="shared" si="14"/>
        <v>15197.78</v>
      </c>
    </row>
    <row r="34" spans="2:21" x14ac:dyDescent="0.25">
      <c r="B34" s="851">
        <f t="shared" si="4"/>
        <v>10</v>
      </c>
      <c r="C34" s="806"/>
      <c r="D34" s="977"/>
      <c r="E34" s="976"/>
      <c r="F34" s="1152">
        <f t="shared" si="5"/>
        <v>0</v>
      </c>
      <c r="G34" s="1153"/>
      <c r="H34" s="1154"/>
      <c r="I34" s="1186">
        <f t="shared" si="11"/>
        <v>0</v>
      </c>
      <c r="J34" s="1155">
        <f t="shared" si="12"/>
        <v>245.19999999999698</v>
      </c>
      <c r="M34" s="851">
        <f t="shared" si="7"/>
        <v>508</v>
      </c>
      <c r="N34" s="806"/>
      <c r="O34" s="697"/>
      <c r="P34" s="843"/>
      <c r="Q34" s="697">
        <f t="shared" si="1"/>
        <v>0</v>
      </c>
      <c r="R34" s="695"/>
      <c r="S34" s="979"/>
      <c r="T34" s="853">
        <f t="shared" si="13"/>
        <v>0</v>
      </c>
      <c r="U34" s="731">
        <f t="shared" si="14"/>
        <v>15197.78</v>
      </c>
    </row>
    <row r="35" spans="2:21" x14ac:dyDescent="0.25">
      <c r="B35" s="851">
        <f t="shared" si="4"/>
        <v>0</v>
      </c>
      <c r="C35" s="806">
        <v>10</v>
      </c>
      <c r="D35" s="977"/>
      <c r="E35" s="976"/>
      <c r="F35" s="1152">
        <v>245.2</v>
      </c>
      <c r="G35" s="1153"/>
      <c r="H35" s="1154"/>
      <c r="I35" s="1186">
        <f t="shared" si="11"/>
        <v>0</v>
      </c>
      <c r="J35" s="1155">
        <f t="shared" si="12"/>
        <v>-3.0127011996228248E-12</v>
      </c>
      <c r="M35" s="851">
        <f t="shared" si="7"/>
        <v>508</v>
      </c>
      <c r="N35" s="806"/>
      <c r="O35" s="697"/>
      <c r="P35" s="843"/>
      <c r="Q35" s="697">
        <f t="shared" si="1"/>
        <v>0</v>
      </c>
      <c r="R35" s="695"/>
      <c r="S35" s="979"/>
      <c r="T35" s="853">
        <f t="shared" si="13"/>
        <v>0</v>
      </c>
      <c r="U35" s="731">
        <f t="shared" si="14"/>
        <v>15197.78</v>
      </c>
    </row>
    <row r="36" spans="2:21" x14ac:dyDescent="0.25">
      <c r="B36" s="851">
        <f t="shared" si="4"/>
        <v>0</v>
      </c>
      <c r="C36" s="806"/>
      <c r="D36" s="977"/>
      <c r="E36" s="976"/>
      <c r="F36" s="1152">
        <f t="shared" si="5"/>
        <v>0</v>
      </c>
      <c r="G36" s="1153"/>
      <c r="H36" s="1154"/>
      <c r="I36" s="1186">
        <f t="shared" si="11"/>
        <v>0</v>
      </c>
      <c r="J36" s="1155">
        <f t="shared" si="12"/>
        <v>-3.0127011996228248E-12</v>
      </c>
      <c r="M36" s="851">
        <f t="shared" si="7"/>
        <v>508</v>
      </c>
      <c r="N36" s="806"/>
      <c r="O36" s="697"/>
      <c r="P36" s="843"/>
      <c r="Q36" s="697">
        <f t="shared" si="1"/>
        <v>0</v>
      </c>
      <c r="R36" s="695"/>
      <c r="S36" s="979"/>
      <c r="T36" s="853">
        <f t="shared" si="13"/>
        <v>0</v>
      </c>
      <c r="U36" s="731">
        <f t="shared" si="14"/>
        <v>15197.78</v>
      </c>
    </row>
    <row r="37" spans="2:21" ht="15.75" thickBot="1" x14ac:dyDescent="0.3">
      <c r="B37" s="851">
        <f t="shared" si="4"/>
        <v>0</v>
      </c>
      <c r="C37" s="854"/>
      <c r="D37" s="990">
        <f t="shared" ref="D37" si="15">C37*B37</f>
        <v>0</v>
      </c>
      <c r="E37" s="991"/>
      <c r="F37" s="990">
        <f t="shared" si="5"/>
        <v>0</v>
      </c>
      <c r="G37" s="992"/>
      <c r="H37" s="993"/>
      <c r="I37" s="855">
        <f t="shared" si="2"/>
        <v>0</v>
      </c>
      <c r="J37" s="731">
        <f t="shared" si="9"/>
        <v>-3.0127011996228248E-12</v>
      </c>
      <c r="M37" s="851">
        <f t="shared" si="7"/>
        <v>508</v>
      </c>
      <c r="N37" s="854"/>
      <c r="O37" s="1111">
        <f t="shared" ref="O37" si="16">N37*M37</f>
        <v>0</v>
      </c>
      <c r="P37" s="1112"/>
      <c r="Q37" s="1111">
        <f t="shared" si="1"/>
        <v>0</v>
      </c>
      <c r="R37" s="1113"/>
      <c r="S37" s="993"/>
      <c r="T37" s="855">
        <f t="shared" si="3"/>
        <v>0</v>
      </c>
      <c r="U37" s="731">
        <f t="shared" si="10"/>
        <v>15197.78</v>
      </c>
    </row>
    <row r="38" spans="2:21" ht="16.5" thickTop="1" x14ac:dyDescent="0.25">
      <c r="B38" s="729"/>
      <c r="C38" s="806">
        <f>SUM(C9:C37)</f>
        <v>668</v>
      </c>
      <c r="D38" s="856">
        <f>SUM(D9:D37)</f>
        <v>18759.299999999996</v>
      </c>
      <c r="E38" s="857"/>
      <c r="F38" s="697">
        <f>SUM(F9:F37)</f>
        <v>19004.499999999996</v>
      </c>
      <c r="G38" s="858"/>
      <c r="H38" s="855"/>
      <c r="I38" s="859">
        <f>SUM(I9:I37)</f>
        <v>945390.2</v>
      </c>
      <c r="J38" s="729"/>
      <c r="M38" s="729"/>
      <c r="N38" s="806">
        <f>SUM(N9:N37)</f>
        <v>122</v>
      </c>
      <c r="O38" s="856">
        <f>SUM(O9:O37)</f>
        <v>3615.42</v>
      </c>
      <c r="P38" s="857"/>
      <c r="Q38" s="697">
        <f>SUM(Q9:Q37)</f>
        <v>3615.42</v>
      </c>
      <c r="R38" s="858"/>
      <c r="S38" s="855"/>
      <c r="T38" s="859">
        <f>SUM(T9:T37)</f>
        <v>185621.4</v>
      </c>
      <c r="U38" s="729"/>
    </row>
    <row r="39" spans="2:21" ht="15.75" thickBot="1" x14ac:dyDescent="0.3">
      <c r="B39" s="729"/>
      <c r="C39" s="806"/>
      <c r="D39" s="860"/>
      <c r="E39" s="857"/>
      <c r="F39" s="860"/>
      <c r="G39" s="858"/>
      <c r="H39" s="855"/>
      <c r="I39" s="729"/>
      <c r="J39" s="729"/>
      <c r="M39" s="729"/>
      <c r="N39" s="806"/>
      <c r="O39" s="860"/>
      <c r="P39" s="857"/>
      <c r="Q39" s="860"/>
      <c r="R39" s="858"/>
      <c r="S39" s="855"/>
      <c r="T39" s="729"/>
      <c r="U39" s="729"/>
    </row>
    <row r="40" spans="2:21" x14ac:dyDescent="0.25">
      <c r="B40" s="729"/>
      <c r="C40" s="861" t="s">
        <v>4</v>
      </c>
      <c r="D40" s="862">
        <f>F4+F5+F6+F7-C38</f>
        <v>0</v>
      </c>
      <c r="E40" s="863"/>
      <c r="F40" s="860"/>
      <c r="G40" s="858"/>
      <c r="H40" s="855"/>
      <c r="I40" s="729"/>
      <c r="J40" s="729"/>
      <c r="M40" s="729"/>
      <c r="N40" s="861" t="s">
        <v>4</v>
      </c>
      <c r="O40" s="862">
        <f>Q4+Q5+Q6+Q7-N38</f>
        <v>508</v>
      </c>
      <c r="P40" s="863"/>
      <c r="Q40" s="860"/>
      <c r="R40" s="858"/>
      <c r="S40" s="855"/>
      <c r="T40" s="729"/>
      <c r="U40" s="729"/>
    </row>
    <row r="41" spans="2:21" x14ac:dyDescent="0.25">
      <c r="B41" s="729"/>
      <c r="C41" s="1448" t="s">
        <v>19</v>
      </c>
      <c r="D41" s="1449"/>
      <c r="E41" s="864">
        <f>E4+E5+E6+E7-F38</f>
        <v>0</v>
      </c>
      <c r="F41" s="860"/>
      <c r="G41" s="860"/>
      <c r="H41" s="855"/>
      <c r="I41" s="729"/>
      <c r="J41" s="729"/>
      <c r="M41" s="729"/>
      <c r="N41" s="1448" t="s">
        <v>19</v>
      </c>
      <c r="O41" s="1449"/>
      <c r="P41" s="864">
        <f>P4+P5+P6+P7-Q38</f>
        <v>15197.78</v>
      </c>
      <c r="Q41" s="860"/>
      <c r="R41" s="860"/>
      <c r="S41" s="855"/>
      <c r="T41" s="729"/>
      <c r="U41" s="729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452"/>
      <c r="B5" s="1454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53"/>
      <c r="B6" s="1455"/>
      <c r="C6" s="224"/>
      <c r="D6" s="118"/>
      <c r="E6" s="492"/>
      <c r="F6" s="239"/>
      <c r="I6" s="1456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7"/>
      <c r="J7" s="1451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432" t="s">
        <v>11</v>
      </c>
      <c r="D100" s="143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8"/>
      <c r="B1" s="1398"/>
      <c r="C1" s="1398"/>
      <c r="D1" s="1398"/>
      <c r="E1" s="1398"/>
      <c r="F1" s="1398"/>
      <c r="G1" s="13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428"/>
      <c r="B5" s="1458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429"/>
      <c r="B6" s="1459"/>
      <c r="C6" s="224"/>
      <c r="D6" s="118"/>
      <c r="E6" s="144"/>
      <c r="F6" s="240"/>
      <c r="I6" s="1456" t="s">
        <v>3</v>
      </c>
      <c r="J6" s="14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57"/>
      <c r="J7" s="1451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432" t="s">
        <v>11</v>
      </c>
      <c r="D33" s="143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60" t="s">
        <v>330</v>
      </c>
      <c r="B1" s="1460"/>
      <c r="C1" s="1460"/>
      <c r="D1" s="1460"/>
      <c r="E1" s="1460"/>
      <c r="F1" s="1460"/>
      <c r="G1" s="1460"/>
      <c r="H1" s="1460"/>
      <c r="I1" s="1460"/>
      <c r="J1" s="99">
        <v>1</v>
      </c>
      <c r="L1" s="1460" t="str">
        <f>A1</f>
        <v>INVENTARIO      DEL MES DE   NOVIEMBRE       2022</v>
      </c>
      <c r="M1" s="1460"/>
      <c r="N1" s="1460"/>
      <c r="O1" s="1460"/>
      <c r="P1" s="1460"/>
      <c r="Q1" s="1460"/>
      <c r="R1" s="1460"/>
      <c r="S1" s="1460"/>
      <c r="T1" s="1460"/>
      <c r="U1" s="99">
        <v>2</v>
      </c>
      <c r="W1" s="1460" t="str">
        <f>L1</f>
        <v>INVENTARIO      DEL MES DE   NOVIEMBRE       2022</v>
      </c>
      <c r="X1" s="1460"/>
      <c r="Y1" s="1460"/>
      <c r="Z1" s="1460"/>
      <c r="AA1" s="1460"/>
      <c r="AB1" s="1460"/>
      <c r="AC1" s="1460"/>
      <c r="AD1" s="1460"/>
      <c r="AE1" s="1460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41">
        <v>1299.74</v>
      </c>
      <c r="Q4" s="842">
        <v>48</v>
      </c>
      <c r="R4" s="73"/>
      <c r="W4" s="872"/>
      <c r="X4" s="729"/>
      <c r="Y4" s="868"/>
      <c r="Z4" s="869"/>
      <c r="AA4" s="870"/>
      <c r="AB4" s="871"/>
      <c r="AC4" s="73"/>
    </row>
    <row r="5" spans="1:32" ht="15" customHeight="1" x14ac:dyDescent="0.25">
      <c r="A5" s="1462" t="s">
        <v>52</v>
      </c>
      <c r="B5" s="1463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62" t="s">
        <v>52</v>
      </c>
      <c r="M5" s="1463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61" t="s">
        <v>221</v>
      </c>
      <c r="X5" s="1464" t="s">
        <v>87</v>
      </c>
      <c r="Y5" s="868">
        <v>62.51</v>
      </c>
      <c r="Z5" s="869">
        <v>44867</v>
      </c>
      <c r="AA5" s="870">
        <v>18564</v>
      </c>
      <c r="AB5" s="871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62"/>
      <c r="B6" s="1407"/>
      <c r="C6" s="235">
        <v>85</v>
      </c>
      <c r="D6" s="335">
        <v>44764</v>
      </c>
      <c r="E6" s="254">
        <v>4005.63</v>
      </c>
      <c r="F6" s="240">
        <v>160</v>
      </c>
      <c r="G6" s="73"/>
      <c r="L6" s="1462"/>
      <c r="M6" s="1407"/>
      <c r="N6" s="235"/>
      <c r="O6" s="335"/>
      <c r="P6" s="254"/>
      <c r="Q6" s="240"/>
      <c r="R6" s="73"/>
      <c r="W6" s="1461"/>
      <c r="X6" s="1465"/>
      <c r="Y6" s="868"/>
      <c r="Z6" s="869"/>
      <c r="AA6" s="870"/>
      <c r="AB6" s="871"/>
      <c r="AC6" s="73"/>
    </row>
    <row r="7" spans="1:32" ht="15.75" customHeight="1" thickBot="1" x14ac:dyDescent="0.35">
      <c r="A7" s="1462"/>
      <c r="B7" s="1407"/>
      <c r="C7" s="235"/>
      <c r="D7" s="335"/>
      <c r="E7" s="254">
        <v>1.05</v>
      </c>
      <c r="F7" s="1149"/>
      <c r="G7" s="1150"/>
      <c r="H7" s="671"/>
      <c r="I7" s="371"/>
      <c r="J7" s="371"/>
      <c r="L7" s="1462"/>
      <c r="M7" s="1407"/>
      <c r="N7" s="235"/>
      <c r="O7" s="335"/>
      <c r="P7" s="254"/>
      <c r="Q7" s="240"/>
      <c r="R7" s="73"/>
      <c r="T7" s="371"/>
      <c r="U7" s="371"/>
      <c r="W7" s="1461"/>
      <c r="X7" s="1466"/>
      <c r="Y7" s="868"/>
      <c r="Z7" s="869"/>
      <c r="AA7" s="870"/>
      <c r="AB7" s="871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51"/>
      <c r="G8" s="1150"/>
      <c r="H8" s="671"/>
      <c r="I8" s="1441" t="s">
        <v>47</v>
      </c>
      <c r="J8" s="1467" t="s">
        <v>4</v>
      </c>
      <c r="M8" s="412"/>
      <c r="N8" s="235"/>
      <c r="O8" s="335"/>
      <c r="P8" s="238"/>
      <c r="Q8" s="239"/>
      <c r="R8" s="73"/>
      <c r="T8" s="1441" t="s">
        <v>47</v>
      </c>
      <c r="U8" s="1467" t="s">
        <v>4</v>
      </c>
      <c r="W8" s="3"/>
      <c r="X8" s="412"/>
      <c r="Y8" s="235"/>
      <c r="Z8" s="335"/>
      <c r="AA8" s="238"/>
      <c r="AB8" s="239"/>
      <c r="AC8" s="73"/>
      <c r="AE8" s="1441" t="s">
        <v>47</v>
      </c>
      <c r="AF8" s="146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2"/>
      <c r="J9" s="146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442"/>
      <c r="U9" s="146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442"/>
      <c r="AF9" s="1468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22">
        <f>P4+P5+P6-Q10+P7+P8</f>
        <v>1068.6400000000001</v>
      </c>
      <c r="U10" s="823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22">
        <f>AA4+AA5+AA6-AB10+AA7+AA8</f>
        <v>18491.900000000001</v>
      </c>
      <c r="AF10" s="823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79">
        <v>49.65</v>
      </c>
      <c r="E41" s="677">
        <v>44802</v>
      </c>
      <c r="F41" s="676">
        <f t="shared" si="6"/>
        <v>49.65</v>
      </c>
      <c r="G41" s="678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79">
        <v>55.2</v>
      </c>
      <c r="E42" s="677">
        <v>44803</v>
      </c>
      <c r="F42" s="676">
        <f t="shared" si="6"/>
        <v>55.2</v>
      </c>
      <c r="G42" s="678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79">
        <v>80.010000000000005</v>
      </c>
      <c r="E43" s="677">
        <v>44805</v>
      </c>
      <c r="F43" s="676">
        <f t="shared" si="6"/>
        <v>80.010000000000005</v>
      </c>
      <c r="G43" s="678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79">
        <v>49.1</v>
      </c>
      <c r="E44" s="677">
        <v>44806</v>
      </c>
      <c r="F44" s="676">
        <f t="shared" si="6"/>
        <v>49.1</v>
      </c>
      <c r="G44" s="678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79">
        <v>48.15</v>
      </c>
      <c r="E45" s="677">
        <v>44810</v>
      </c>
      <c r="F45" s="676">
        <f t="shared" si="6"/>
        <v>48.15</v>
      </c>
      <c r="G45" s="678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79">
        <v>46.83</v>
      </c>
      <c r="E46" s="677">
        <v>44810</v>
      </c>
      <c r="F46" s="676">
        <f t="shared" si="6"/>
        <v>46.83</v>
      </c>
      <c r="G46" s="678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79">
        <v>48.3</v>
      </c>
      <c r="E47" s="677">
        <v>44810</v>
      </c>
      <c r="F47" s="676">
        <f t="shared" si="6"/>
        <v>48.3</v>
      </c>
      <c r="G47" s="678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79">
        <v>111.02</v>
      </c>
      <c r="E48" s="677">
        <v>44810</v>
      </c>
      <c r="F48" s="676">
        <f t="shared" si="6"/>
        <v>111.02</v>
      </c>
      <c r="G48" s="678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79">
        <v>53.14</v>
      </c>
      <c r="E49" s="677">
        <v>44813</v>
      </c>
      <c r="F49" s="676">
        <f t="shared" si="6"/>
        <v>53.14</v>
      </c>
      <c r="G49" s="678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79">
        <v>51.27</v>
      </c>
      <c r="E50" s="677">
        <v>44817</v>
      </c>
      <c r="F50" s="676">
        <f t="shared" si="6"/>
        <v>51.27</v>
      </c>
      <c r="G50" s="678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79">
        <v>43.22</v>
      </c>
      <c r="E51" s="677">
        <v>44819</v>
      </c>
      <c r="F51" s="676">
        <f t="shared" si="6"/>
        <v>43.22</v>
      </c>
      <c r="G51" s="678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79">
        <v>60.07</v>
      </c>
      <c r="E52" s="677">
        <v>44819</v>
      </c>
      <c r="F52" s="676">
        <f t="shared" si="6"/>
        <v>60.07</v>
      </c>
      <c r="G52" s="678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79">
        <v>26.45</v>
      </c>
      <c r="E53" s="677">
        <v>44819</v>
      </c>
      <c r="F53" s="676">
        <f t="shared" si="6"/>
        <v>26.45</v>
      </c>
      <c r="G53" s="678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79">
        <v>119.46</v>
      </c>
      <c r="E54" s="677">
        <v>44823</v>
      </c>
      <c r="F54" s="676">
        <f t="shared" si="6"/>
        <v>119.46</v>
      </c>
      <c r="G54" s="678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79">
        <v>103.05</v>
      </c>
      <c r="E55" s="677">
        <v>44824</v>
      </c>
      <c r="F55" s="676">
        <f t="shared" si="6"/>
        <v>103.05</v>
      </c>
      <c r="G55" s="678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79">
        <v>31.03</v>
      </c>
      <c r="E56" s="677">
        <v>44824</v>
      </c>
      <c r="F56" s="676">
        <f t="shared" si="6"/>
        <v>31.03</v>
      </c>
      <c r="G56" s="678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79">
        <v>49.28</v>
      </c>
      <c r="E57" s="677">
        <v>44825</v>
      </c>
      <c r="F57" s="676">
        <f t="shared" si="6"/>
        <v>49.28</v>
      </c>
      <c r="G57" s="678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79">
        <v>108.75</v>
      </c>
      <c r="E58" s="677">
        <v>44825</v>
      </c>
      <c r="F58" s="676">
        <f t="shared" si="6"/>
        <v>108.75</v>
      </c>
      <c r="G58" s="678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79">
        <v>99.85</v>
      </c>
      <c r="E59" s="677">
        <v>44825</v>
      </c>
      <c r="F59" s="676">
        <f t="shared" si="6"/>
        <v>99.85</v>
      </c>
      <c r="G59" s="678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79">
        <v>81.430000000000007</v>
      </c>
      <c r="E60" s="677">
        <v>44826</v>
      </c>
      <c r="F60" s="676">
        <f t="shared" si="6"/>
        <v>81.430000000000007</v>
      </c>
      <c r="G60" s="678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79">
        <v>118.27</v>
      </c>
      <c r="E61" s="677">
        <v>44831</v>
      </c>
      <c r="F61" s="676">
        <f t="shared" si="6"/>
        <v>118.27</v>
      </c>
      <c r="G61" s="678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79">
        <v>53.64</v>
      </c>
      <c r="E62" s="677">
        <v>44835</v>
      </c>
      <c r="F62" s="676">
        <f t="shared" si="6"/>
        <v>53.64</v>
      </c>
      <c r="G62" s="678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4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4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4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4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4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4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4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4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4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4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4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4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4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22">
        <f t="shared" si="11"/>
        <v>1819.0800000000013</v>
      </c>
      <c r="J75" s="823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27">
        <v>160.03</v>
      </c>
      <c r="E76" s="836">
        <v>44866</v>
      </c>
      <c r="F76" s="824">
        <f t="shared" si="6"/>
        <v>160.03</v>
      </c>
      <c r="G76" s="826" t="s">
        <v>235</v>
      </c>
      <c r="H76" s="827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27">
        <v>106.31</v>
      </c>
      <c r="E77" s="836">
        <v>44867</v>
      </c>
      <c r="F77" s="824">
        <f t="shared" si="6"/>
        <v>106.31</v>
      </c>
      <c r="G77" s="826" t="s">
        <v>236</v>
      </c>
      <c r="H77" s="827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27">
        <v>204.06</v>
      </c>
      <c r="E78" s="836">
        <v>44869</v>
      </c>
      <c r="F78" s="824">
        <f t="shared" si="6"/>
        <v>204.06</v>
      </c>
      <c r="G78" s="826" t="s">
        <v>241</v>
      </c>
      <c r="H78" s="827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27">
        <v>127.98</v>
      </c>
      <c r="E79" s="836">
        <v>44874</v>
      </c>
      <c r="F79" s="824">
        <f t="shared" si="6"/>
        <v>127.98</v>
      </c>
      <c r="G79" s="826" t="s">
        <v>254</v>
      </c>
      <c r="H79" s="827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27">
        <v>26.52</v>
      </c>
      <c r="E80" s="836">
        <v>44875</v>
      </c>
      <c r="F80" s="824">
        <f t="shared" si="6"/>
        <v>26.52</v>
      </c>
      <c r="G80" s="826" t="s">
        <v>258</v>
      </c>
      <c r="H80" s="827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27">
        <v>19.899999999999999</v>
      </c>
      <c r="E81" s="836">
        <v>44875</v>
      </c>
      <c r="F81" s="824">
        <f t="shared" si="6"/>
        <v>19.899999999999999</v>
      </c>
      <c r="G81" s="826" t="s">
        <v>259</v>
      </c>
      <c r="H81" s="827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27">
        <v>50.72</v>
      </c>
      <c r="E82" s="836">
        <v>44877</v>
      </c>
      <c r="F82" s="824">
        <f t="shared" si="6"/>
        <v>50.72</v>
      </c>
      <c r="G82" s="826" t="s">
        <v>266</v>
      </c>
      <c r="H82" s="827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27">
        <v>108.24</v>
      </c>
      <c r="E83" s="836">
        <v>44877</v>
      </c>
      <c r="F83" s="824">
        <f t="shared" si="6"/>
        <v>108.24</v>
      </c>
      <c r="G83" s="826" t="s">
        <v>269</v>
      </c>
      <c r="H83" s="827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27">
        <v>105.45</v>
      </c>
      <c r="E84" s="836">
        <v>44880</v>
      </c>
      <c r="F84" s="824">
        <f t="shared" si="6"/>
        <v>105.45</v>
      </c>
      <c r="G84" s="826" t="s">
        <v>277</v>
      </c>
      <c r="H84" s="827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27">
        <v>79.87</v>
      </c>
      <c r="E85" s="836">
        <v>44881</v>
      </c>
      <c r="F85" s="824">
        <f t="shared" si="6"/>
        <v>79.87</v>
      </c>
      <c r="G85" s="826" t="s">
        <v>279</v>
      </c>
      <c r="H85" s="827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27">
        <v>54.7</v>
      </c>
      <c r="E86" s="836">
        <v>44883</v>
      </c>
      <c r="F86" s="824">
        <f t="shared" si="6"/>
        <v>54.7</v>
      </c>
      <c r="G86" s="826" t="s">
        <v>285</v>
      </c>
      <c r="H86" s="827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27">
        <v>213.28</v>
      </c>
      <c r="E87" s="836">
        <v>44883</v>
      </c>
      <c r="F87" s="824">
        <f t="shared" si="6"/>
        <v>213.28</v>
      </c>
      <c r="G87" s="826" t="s">
        <v>286</v>
      </c>
      <c r="H87" s="827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27">
        <v>26.14</v>
      </c>
      <c r="E88" s="836">
        <v>44883</v>
      </c>
      <c r="F88" s="824">
        <f t="shared" si="6"/>
        <v>26.14</v>
      </c>
      <c r="G88" s="826" t="s">
        <v>289</v>
      </c>
      <c r="H88" s="827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27">
        <v>137.38999999999999</v>
      </c>
      <c r="E89" s="836">
        <v>44889</v>
      </c>
      <c r="F89" s="824">
        <f t="shared" si="6"/>
        <v>137.38999999999999</v>
      </c>
      <c r="G89" s="826" t="s">
        <v>302</v>
      </c>
      <c r="H89" s="827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27">
        <v>72.59</v>
      </c>
      <c r="E90" s="836">
        <v>44890</v>
      </c>
      <c r="F90" s="824">
        <f t="shared" si="6"/>
        <v>72.59</v>
      </c>
      <c r="G90" s="826" t="s">
        <v>305</v>
      </c>
      <c r="H90" s="827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27">
        <v>55.23</v>
      </c>
      <c r="E91" s="836">
        <v>44890</v>
      </c>
      <c r="F91" s="824">
        <f t="shared" si="6"/>
        <v>55.23</v>
      </c>
      <c r="G91" s="826" t="s">
        <v>307</v>
      </c>
      <c r="H91" s="827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27">
        <v>154</v>
      </c>
      <c r="E92" s="836">
        <v>44891</v>
      </c>
      <c r="F92" s="824">
        <f t="shared" si="6"/>
        <v>154</v>
      </c>
      <c r="G92" s="826" t="s">
        <v>315</v>
      </c>
      <c r="H92" s="827">
        <v>84</v>
      </c>
      <c r="I92" s="822">
        <f t="shared" ref="I92:I101" si="19">I91-F92</f>
        <v>116.67000000000121</v>
      </c>
      <c r="J92" s="823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79"/>
      <c r="E93" s="677"/>
      <c r="F93" s="676">
        <f t="shared" si="6"/>
        <v>0</v>
      </c>
      <c r="G93" s="678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79"/>
      <c r="E94" s="677"/>
      <c r="F94" s="676">
        <f t="shared" si="6"/>
        <v>0</v>
      </c>
      <c r="G94" s="678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79"/>
      <c r="E95" s="677"/>
      <c r="F95" s="676">
        <v>116.67</v>
      </c>
      <c r="G95" s="1146"/>
      <c r="H95" s="1147"/>
      <c r="I95" s="666">
        <f t="shared" si="19"/>
        <v>1.2079226507921703E-12</v>
      </c>
      <c r="J95" s="1148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79"/>
      <c r="E96" s="677"/>
      <c r="F96" s="676">
        <f t="shared" si="6"/>
        <v>0</v>
      </c>
      <c r="G96" s="1146"/>
      <c r="H96" s="1147"/>
      <c r="I96" s="666">
        <f t="shared" si="19"/>
        <v>1.2079226507921703E-12</v>
      </c>
      <c r="J96" s="1148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79"/>
      <c r="E97" s="677"/>
      <c r="F97" s="676">
        <f t="shared" si="6"/>
        <v>0</v>
      </c>
      <c r="G97" s="1146"/>
      <c r="H97" s="1147"/>
      <c r="I97" s="666">
        <f t="shared" si="19"/>
        <v>1.2079226507921703E-12</v>
      </c>
      <c r="J97" s="1148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79"/>
      <c r="E98" s="677"/>
      <c r="F98" s="676">
        <f t="shared" si="6"/>
        <v>0</v>
      </c>
      <c r="G98" s="1146"/>
      <c r="H98" s="1147"/>
      <c r="I98" s="666">
        <f t="shared" si="19"/>
        <v>1.2079226507921703E-12</v>
      </c>
      <c r="J98" s="1148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79"/>
      <c r="E99" s="677"/>
      <c r="F99" s="676">
        <f t="shared" si="6"/>
        <v>0</v>
      </c>
      <c r="G99" s="1146"/>
      <c r="H99" s="1147"/>
      <c r="I99" s="666">
        <f t="shared" si="19"/>
        <v>1.2079226507921703E-12</v>
      </c>
      <c r="J99" s="1148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79"/>
      <c r="E100" s="677"/>
      <c r="F100" s="676">
        <f t="shared" si="6"/>
        <v>0</v>
      </c>
      <c r="G100" s="1146"/>
      <c r="H100" s="1147"/>
      <c r="I100" s="666">
        <f t="shared" si="19"/>
        <v>1.2079226507921703E-12</v>
      </c>
      <c r="J100" s="1148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38">
        <v>0</v>
      </c>
      <c r="E101" s="939"/>
      <c r="F101" s="933">
        <f t="shared" si="6"/>
        <v>0</v>
      </c>
      <c r="G101" s="934"/>
      <c r="H101" s="940"/>
      <c r="I101" s="941">
        <f t="shared" si="19"/>
        <v>1.2079226507921703E-12</v>
      </c>
      <c r="J101" s="942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432" t="s">
        <v>11</v>
      </c>
      <c r="D105" s="1433"/>
      <c r="E105" s="145">
        <f>E5+E4+E6+-F102+E7</f>
        <v>7.276401703393276E-13</v>
      </c>
      <c r="F105" s="5"/>
      <c r="L105" s="47"/>
      <c r="N105" s="1432" t="s">
        <v>11</v>
      </c>
      <c r="O105" s="1433"/>
      <c r="P105" s="145">
        <f>P5+P4+P6+-Q102+P7</f>
        <v>2.2737367544323206E-13</v>
      </c>
      <c r="Q105" s="5"/>
      <c r="W105" s="47"/>
      <c r="Y105" s="1432" t="s">
        <v>11</v>
      </c>
      <c r="Z105" s="1433"/>
      <c r="AA105" s="145">
        <f>AA5+AA4+AA6+-AB102+AA7</f>
        <v>3192.7000000000007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60" t="s">
        <v>331</v>
      </c>
      <c r="B1" s="1460"/>
      <c r="C1" s="1460"/>
      <c r="D1" s="1460"/>
      <c r="E1" s="1460"/>
      <c r="F1" s="1460"/>
      <c r="G1" s="1460"/>
      <c r="H1" s="1460"/>
      <c r="I1" s="1460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69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70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70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441" t="s">
        <v>47</v>
      </c>
      <c r="J8" s="146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442"/>
      <c r="J9" s="146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22">
        <f>E4+E5+E6-F10+E7+E8</f>
        <v>1950</v>
      </c>
      <c r="J10" s="823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22">
        <f t="shared" si="2"/>
        <v>1550</v>
      </c>
      <c r="J23" s="823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4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4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4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4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4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4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4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4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4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4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4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4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4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4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4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4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4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4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4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4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4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4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4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4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4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994">
        <v>0</v>
      </c>
      <c r="E49" s="995"/>
      <c r="F49" s="534">
        <f t="shared" si="0"/>
        <v>0</v>
      </c>
      <c r="G49" s="984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432" t="s">
        <v>11</v>
      </c>
      <c r="D53" s="1433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71" t="s">
        <v>326</v>
      </c>
      <c r="B1" s="1471"/>
      <c r="C1" s="1471"/>
      <c r="D1" s="1471"/>
      <c r="E1" s="1471"/>
      <c r="F1" s="1471"/>
      <c r="G1" s="1471"/>
      <c r="H1" s="268">
        <v>1</v>
      </c>
      <c r="I1" s="394"/>
      <c r="L1" s="1383" t="s">
        <v>339</v>
      </c>
      <c r="M1" s="1383"/>
      <c r="N1" s="1383"/>
      <c r="O1" s="1383"/>
      <c r="P1" s="1383"/>
      <c r="Q1" s="1383"/>
      <c r="R1" s="1383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49"/>
      <c r="S4" s="148"/>
      <c r="T4" s="399"/>
    </row>
    <row r="5" spans="1:21" ht="15" customHeight="1" x14ac:dyDescent="0.25">
      <c r="A5" s="1406" t="s">
        <v>225</v>
      </c>
      <c r="B5" s="1410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406" t="s">
        <v>225</v>
      </c>
      <c r="M5" s="1410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406"/>
      <c r="B6" s="1472"/>
      <c r="C6" s="393"/>
      <c r="D6" s="134"/>
      <c r="E6" s="75"/>
      <c r="F6" s="73"/>
      <c r="G6" s="73"/>
      <c r="H6" s="75"/>
      <c r="I6" s="243"/>
      <c r="L6" s="1406"/>
      <c r="M6" s="1472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12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12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43">
        <v>44900</v>
      </c>
      <c r="F10" s="694">
        <f t="shared" si="0"/>
        <v>57.31</v>
      </c>
      <c r="G10" s="695" t="s">
        <v>612</v>
      </c>
      <c r="H10" s="696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43">
        <v>44912</v>
      </c>
      <c r="Q10" s="694">
        <f t="shared" si="1"/>
        <v>25.89</v>
      </c>
      <c r="R10" s="695" t="s">
        <v>737</v>
      </c>
      <c r="S10" s="696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44">
        <v>44900</v>
      </c>
      <c r="F11" s="694">
        <f t="shared" si="0"/>
        <v>29.47</v>
      </c>
      <c r="G11" s="695" t="s">
        <v>612</v>
      </c>
      <c r="H11" s="696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44">
        <v>44913</v>
      </c>
      <c r="Q11" s="694">
        <f t="shared" si="1"/>
        <v>666.36</v>
      </c>
      <c r="R11" s="695" t="s">
        <v>749</v>
      </c>
      <c r="S11" s="696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44">
        <v>44907</v>
      </c>
      <c r="F12" s="694">
        <f t="shared" si="0"/>
        <v>595.5</v>
      </c>
      <c r="G12" s="695" t="s">
        <v>684</v>
      </c>
      <c r="H12" s="696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44"/>
      <c r="Q12" s="694">
        <f t="shared" si="1"/>
        <v>0</v>
      </c>
      <c r="R12" s="1158"/>
      <c r="S12" s="1159"/>
      <c r="T12" s="1166">
        <f t="shared" si="7"/>
        <v>0</v>
      </c>
      <c r="U12" s="1174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44">
        <v>44907</v>
      </c>
      <c r="F13" s="694">
        <f t="shared" si="0"/>
        <v>169.98</v>
      </c>
      <c r="G13" s="695" t="s">
        <v>685</v>
      </c>
      <c r="H13" s="696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44"/>
      <c r="Q13" s="694">
        <f t="shared" si="1"/>
        <v>0</v>
      </c>
      <c r="R13" s="1158"/>
      <c r="S13" s="1159"/>
      <c r="T13" s="1166">
        <f t="shared" si="7"/>
        <v>0</v>
      </c>
      <c r="U13" s="1174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44"/>
      <c r="F14" s="694">
        <f t="shared" si="0"/>
        <v>0</v>
      </c>
      <c r="G14" s="1158"/>
      <c r="H14" s="1159"/>
      <c r="I14" s="1166">
        <f t="shared" si="5"/>
        <v>0</v>
      </c>
      <c r="J14" s="1174">
        <f t="shared" si="2"/>
        <v>0</v>
      </c>
      <c r="L14" s="75"/>
      <c r="M14" s="182">
        <f t="shared" si="6"/>
        <v>0</v>
      </c>
      <c r="N14" s="15"/>
      <c r="O14" s="69"/>
      <c r="P14" s="844"/>
      <c r="Q14" s="694">
        <f t="shared" si="1"/>
        <v>0</v>
      </c>
      <c r="R14" s="1158"/>
      <c r="S14" s="1159"/>
      <c r="T14" s="1166">
        <f t="shared" si="7"/>
        <v>0</v>
      </c>
      <c r="U14" s="1174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31"/>
      <c r="F15" s="694">
        <f t="shared" si="0"/>
        <v>0</v>
      </c>
      <c r="G15" s="1158"/>
      <c r="H15" s="1159"/>
      <c r="I15" s="1166">
        <f t="shared" si="5"/>
        <v>0</v>
      </c>
      <c r="J15" s="1174">
        <f t="shared" si="2"/>
        <v>0</v>
      </c>
      <c r="L15" s="75"/>
      <c r="M15" s="182">
        <f t="shared" si="6"/>
        <v>0</v>
      </c>
      <c r="N15" s="15"/>
      <c r="O15" s="92"/>
      <c r="P15" s="831"/>
      <c r="Q15" s="694">
        <f t="shared" si="1"/>
        <v>0</v>
      </c>
      <c r="R15" s="1158"/>
      <c r="S15" s="1159"/>
      <c r="T15" s="1166">
        <f t="shared" si="7"/>
        <v>0</v>
      </c>
      <c r="U15" s="1174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58"/>
      <c r="H16" s="1159"/>
      <c r="I16" s="1166">
        <f t="shared" si="5"/>
        <v>0</v>
      </c>
      <c r="J16" s="1174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58"/>
      <c r="S16" s="1159"/>
      <c r="T16" s="1166">
        <f t="shared" si="7"/>
        <v>0</v>
      </c>
      <c r="U16" s="1174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58"/>
      <c r="H17" s="1159"/>
      <c r="I17" s="1166">
        <f t="shared" si="5"/>
        <v>0</v>
      </c>
      <c r="J17" s="1174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89" t="s">
        <v>21</v>
      </c>
      <c r="E75" s="1390"/>
      <c r="F75" s="141">
        <f>G5-F73</f>
        <v>0</v>
      </c>
      <c r="M75" s="184"/>
      <c r="O75" s="1389" t="s">
        <v>21</v>
      </c>
      <c r="P75" s="1390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44" t="s">
        <v>4</v>
      </c>
      <c r="P76" s="104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99" t="s">
        <v>508</v>
      </c>
      <c r="B5" s="1395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99"/>
      <c r="B6" s="1395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57">
        <f t="shared" si="3"/>
        <v>0</v>
      </c>
      <c r="G14" s="1158"/>
      <c r="H14" s="1159"/>
      <c r="I14" s="11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57">
        <f t="shared" si="3"/>
        <v>0</v>
      </c>
      <c r="G15" s="1158"/>
      <c r="H15" s="1159"/>
      <c r="I15" s="11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57">
        <f t="shared" si="3"/>
        <v>0</v>
      </c>
      <c r="G16" s="1158"/>
      <c r="H16" s="1159"/>
      <c r="I16" s="11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57">
        <f t="shared" si="3"/>
        <v>0</v>
      </c>
      <c r="G17" s="1158"/>
      <c r="H17" s="1159"/>
      <c r="I17" s="115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99"/>
      <c r="B5" s="1473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99"/>
      <c r="B6" s="1473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96" t="s">
        <v>11</v>
      </c>
      <c r="D60" s="139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3" t="s">
        <v>498</v>
      </c>
      <c r="B1" s="1383"/>
      <c r="C1" s="1383"/>
      <c r="D1" s="1383"/>
      <c r="E1" s="1383"/>
      <c r="F1" s="1383"/>
      <c r="G1" s="1383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99" t="s">
        <v>504</v>
      </c>
      <c r="B5" s="1410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99"/>
      <c r="B6" s="1410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410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89" t="s">
        <v>21</v>
      </c>
      <c r="E41" s="1390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94" t="s">
        <v>332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 xml:space="preserve"> INVENTARIO   DEL MES DE     NOVIEMBRE      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74" t="s">
        <v>52</v>
      </c>
      <c r="B4" s="484"/>
      <c r="C4" s="128"/>
      <c r="D4" s="135"/>
      <c r="E4" s="86">
        <v>142.04</v>
      </c>
      <c r="F4" s="73">
        <v>4</v>
      </c>
      <c r="G4" s="796"/>
      <c r="K4" s="1474" t="s">
        <v>52</v>
      </c>
      <c r="L4" s="484"/>
      <c r="M4" s="128"/>
      <c r="N4" s="135"/>
      <c r="O4" s="86"/>
      <c r="P4" s="73"/>
      <c r="Q4" s="918"/>
      <c r="U4" s="1474" t="s">
        <v>52</v>
      </c>
      <c r="V4" s="484"/>
      <c r="W4" s="128"/>
      <c r="X4" s="135"/>
      <c r="Y4" s="86"/>
      <c r="Z4" s="73"/>
      <c r="AA4" s="1106"/>
    </row>
    <row r="5" spans="1:30" ht="15" customHeight="1" x14ac:dyDescent="0.25">
      <c r="A5" s="1475"/>
      <c r="B5" s="1477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75"/>
      <c r="L5" s="1477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75"/>
      <c r="V5" s="1477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76"/>
      <c r="B6" s="1478"/>
      <c r="C6" s="547"/>
      <c r="D6" s="135"/>
      <c r="E6" s="86"/>
      <c r="F6" s="73"/>
      <c r="G6" s="73"/>
      <c r="K6" s="1476"/>
      <c r="L6" s="1478"/>
      <c r="M6" s="547"/>
      <c r="N6" s="135"/>
      <c r="O6" s="86"/>
      <c r="P6" s="73"/>
      <c r="Q6" s="73"/>
      <c r="U6" s="1476"/>
      <c r="V6" s="1478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04" t="s">
        <v>193</v>
      </c>
      <c r="B10" s="234">
        <f>F4+F5+F6+F7+F8-C10</f>
        <v>100</v>
      </c>
      <c r="C10" s="805">
        <v>4</v>
      </c>
      <c r="D10" s="337">
        <v>142.13999999999999</v>
      </c>
      <c r="E10" s="685">
        <v>44844</v>
      </c>
      <c r="F10" s="337">
        <f t="shared" ref="F10:F57" si="0">D10</f>
        <v>142.13999999999999</v>
      </c>
      <c r="G10" s="673" t="s">
        <v>189</v>
      </c>
      <c r="H10" s="684">
        <v>42</v>
      </c>
      <c r="I10" s="132">
        <f>E6+E5+E4-F10+E7+E8</f>
        <v>3038.05</v>
      </c>
      <c r="K10" s="804" t="s">
        <v>193</v>
      </c>
      <c r="L10" s="830">
        <f>P4+P5+P6+P7+P8-M10</f>
        <v>94</v>
      </c>
      <c r="M10" s="919"/>
      <c r="N10" s="734"/>
      <c r="O10" s="920"/>
      <c r="P10" s="734">
        <f t="shared" ref="P10:P57" si="1">N10</f>
        <v>0</v>
      </c>
      <c r="Q10" s="921"/>
      <c r="R10" s="922"/>
      <c r="S10" s="814">
        <f>O6+O5+O4-P10+O7+O8</f>
        <v>2810.63</v>
      </c>
      <c r="U10" s="804" t="s">
        <v>193</v>
      </c>
      <c r="V10" s="1133">
        <f>Z4+Z5+Z6+Z7+Z8-W10</f>
        <v>205</v>
      </c>
      <c r="W10" s="919"/>
      <c r="X10" s="734"/>
      <c r="Y10" s="920"/>
      <c r="Z10" s="734">
        <f t="shared" ref="Z10:Z57" si="2">X10</f>
        <v>0</v>
      </c>
      <c r="AA10" s="921"/>
      <c r="AB10" s="922"/>
      <c r="AC10" s="692">
        <f>Y6+Y5+Y4-Z10+Y7+Y8</f>
        <v>5922.77</v>
      </c>
      <c r="AD10" s="729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5">
        <v>44847</v>
      </c>
      <c r="F11" s="337">
        <f t="shared" si="0"/>
        <v>29.16</v>
      </c>
      <c r="G11" s="673" t="s">
        <v>192</v>
      </c>
      <c r="H11" s="684">
        <v>42</v>
      </c>
      <c r="I11" s="132">
        <f>I10-F11</f>
        <v>3008.8900000000003</v>
      </c>
      <c r="K11" s="75"/>
      <c r="L11" s="923">
        <f>L10-M11</f>
        <v>94</v>
      </c>
      <c r="M11" s="919"/>
      <c r="N11" s="734"/>
      <c r="O11" s="920"/>
      <c r="P11" s="734">
        <f t="shared" si="1"/>
        <v>0</v>
      </c>
      <c r="Q11" s="921"/>
      <c r="R11" s="922"/>
      <c r="S11" s="692">
        <f>S10-P11</f>
        <v>2810.63</v>
      </c>
      <c r="U11" s="75"/>
      <c r="V11" s="923">
        <f>V10-W11</f>
        <v>205</v>
      </c>
      <c r="W11" s="919"/>
      <c r="X11" s="734"/>
      <c r="Y11" s="920"/>
      <c r="Z11" s="734">
        <f t="shared" si="2"/>
        <v>0</v>
      </c>
      <c r="AA11" s="921"/>
      <c r="AB11" s="922"/>
      <c r="AC11" s="692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5">
        <v>44847</v>
      </c>
      <c r="F12" s="337">
        <f t="shared" si="0"/>
        <v>273.66000000000003</v>
      </c>
      <c r="G12" s="673" t="s">
        <v>195</v>
      </c>
      <c r="H12" s="684">
        <v>30</v>
      </c>
      <c r="I12" s="132">
        <f t="shared" ref="I12:I13" si="4">I11-F12</f>
        <v>2735.2300000000005</v>
      </c>
      <c r="K12" s="75"/>
      <c r="L12" s="923">
        <f t="shared" ref="L12:L58" si="5">L11-M12</f>
        <v>94</v>
      </c>
      <c r="M12" s="919"/>
      <c r="N12" s="734"/>
      <c r="O12" s="920"/>
      <c r="P12" s="734">
        <f t="shared" si="1"/>
        <v>0</v>
      </c>
      <c r="Q12" s="921"/>
      <c r="R12" s="922"/>
      <c r="S12" s="692">
        <f t="shared" ref="S12:S13" si="6">S11-P12</f>
        <v>2810.63</v>
      </c>
      <c r="U12" s="75"/>
      <c r="V12" s="923">
        <f t="shared" ref="V12:V58" si="7">V11-W12</f>
        <v>205</v>
      </c>
      <c r="W12" s="919"/>
      <c r="X12" s="734"/>
      <c r="Y12" s="920"/>
      <c r="Z12" s="734">
        <f t="shared" si="2"/>
        <v>0</v>
      </c>
      <c r="AA12" s="921"/>
      <c r="AB12" s="922"/>
      <c r="AC12" s="692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5">
        <v>44849</v>
      </c>
      <c r="F13" s="337">
        <f t="shared" si="0"/>
        <v>155.86000000000001</v>
      </c>
      <c r="G13" s="673" t="s">
        <v>197</v>
      </c>
      <c r="H13" s="684">
        <v>30</v>
      </c>
      <c r="I13" s="132">
        <f t="shared" si="4"/>
        <v>2579.3700000000003</v>
      </c>
      <c r="K13" s="55"/>
      <c r="L13" s="923">
        <f t="shared" si="5"/>
        <v>94</v>
      </c>
      <c r="M13" s="919"/>
      <c r="N13" s="734"/>
      <c r="O13" s="920"/>
      <c r="P13" s="734">
        <f t="shared" si="1"/>
        <v>0</v>
      </c>
      <c r="Q13" s="921"/>
      <c r="R13" s="922"/>
      <c r="S13" s="692">
        <f t="shared" si="6"/>
        <v>2810.63</v>
      </c>
      <c r="U13" s="55"/>
      <c r="V13" s="923">
        <f t="shared" si="7"/>
        <v>205</v>
      </c>
      <c r="W13" s="919"/>
      <c r="X13" s="734"/>
      <c r="Y13" s="920"/>
      <c r="Z13" s="734">
        <f t="shared" si="2"/>
        <v>0</v>
      </c>
      <c r="AA13" s="921"/>
      <c r="AB13" s="922"/>
      <c r="AC13" s="692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5">
        <v>44853</v>
      </c>
      <c r="F14" s="337">
        <f t="shared" si="0"/>
        <v>29.67</v>
      </c>
      <c r="G14" s="673" t="s">
        <v>198</v>
      </c>
      <c r="H14" s="684">
        <v>30</v>
      </c>
      <c r="I14" s="132">
        <f>I13-F14</f>
        <v>2549.7000000000003</v>
      </c>
      <c r="K14" s="75"/>
      <c r="L14" s="923">
        <f t="shared" si="5"/>
        <v>94</v>
      </c>
      <c r="M14" s="919"/>
      <c r="N14" s="734"/>
      <c r="O14" s="920"/>
      <c r="P14" s="734">
        <f t="shared" si="1"/>
        <v>0</v>
      </c>
      <c r="Q14" s="921"/>
      <c r="R14" s="922"/>
      <c r="S14" s="692">
        <f>S13-P14</f>
        <v>2810.63</v>
      </c>
      <c r="U14" s="75"/>
      <c r="V14" s="923">
        <f t="shared" si="7"/>
        <v>205</v>
      </c>
      <c r="W14" s="919"/>
      <c r="X14" s="734"/>
      <c r="Y14" s="920"/>
      <c r="Z14" s="734">
        <f t="shared" si="2"/>
        <v>0</v>
      </c>
      <c r="AA14" s="921"/>
      <c r="AB14" s="922"/>
      <c r="AC14" s="692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5">
        <v>44854</v>
      </c>
      <c r="F15" s="337">
        <f t="shared" si="0"/>
        <v>28.68</v>
      </c>
      <c r="G15" s="673" t="s">
        <v>200</v>
      </c>
      <c r="H15" s="684">
        <v>30</v>
      </c>
      <c r="I15" s="132">
        <f t="shared" ref="I15:I58" si="9">I14-F15</f>
        <v>2521.0200000000004</v>
      </c>
      <c r="K15" s="75"/>
      <c r="L15" s="923">
        <f t="shared" si="5"/>
        <v>94</v>
      </c>
      <c r="M15" s="919"/>
      <c r="N15" s="734"/>
      <c r="O15" s="920"/>
      <c r="P15" s="734">
        <f t="shared" si="1"/>
        <v>0</v>
      </c>
      <c r="Q15" s="921"/>
      <c r="R15" s="922"/>
      <c r="S15" s="692">
        <f t="shared" ref="S15:S58" si="10">S14-P15</f>
        <v>2810.63</v>
      </c>
      <c r="U15" s="75"/>
      <c r="V15" s="923">
        <f t="shared" si="7"/>
        <v>205</v>
      </c>
      <c r="W15" s="919"/>
      <c r="X15" s="734"/>
      <c r="Y15" s="920"/>
      <c r="Z15" s="734">
        <f t="shared" si="2"/>
        <v>0</v>
      </c>
      <c r="AA15" s="921"/>
      <c r="AB15" s="922"/>
      <c r="AC15" s="692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5">
        <v>44854</v>
      </c>
      <c r="F16" s="337">
        <f t="shared" si="0"/>
        <v>90.38</v>
      </c>
      <c r="G16" s="673" t="s">
        <v>202</v>
      </c>
      <c r="H16" s="684">
        <v>30</v>
      </c>
      <c r="I16" s="132">
        <f t="shared" si="9"/>
        <v>2430.6400000000003</v>
      </c>
      <c r="L16" s="923">
        <f t="shared" si="5"/>
        <v>94</v>
      </c>
      <c r="M16" s="919"/>
      <c r="N16" s="734"/>
      <c r="O16" s="920"/>
      <c r="P16" s="734">
        <f t="shared" si="1"/>
        <v>0</v>
      </c>
      <c r="Q16" s="921"/>
      <c r="R16" s="922"/>
      <c r="S16" s="692">
        <f t="shared" si="10"/>
        <v>2810.63</v>
      </c>
      <c r="V16" s="923">
        <f t="shared" si="7"/>
        <v>205</v>
      </c>
      <c r="W16" s="919"/>
      <c r="X16" s="734"/>
      <c r="Y16" s="920"/>
      <c r="Z16" s="734">
        <f t="shared" si="2"/>
        <v>0</v>
      </c>
      <c r="AA16" s="921"/>
      <c r="AB16" s="922"/>
      <c r="AC16" s="692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5">
        <v>44855</v>
      </c>
      <c r="F17" s="337">
        <f t="shared" si="0"/>
        <v>30.55</v>
      </c>
      <c r="G17" s="673" t="s">
        <v>203</v>
      </c>
      <c r="H17" s="684">
        <v>30</v>
      </c>
      <c r="I17" s="132">
        <f t="shared" si="9"/>
        <v>2400.09</v>
      </c>
      <c r="L17" s="923">
        <f t="shared" si="5"/>
        <v>94</v>
      </c>
      <c r="M17" s="919"/>
      <c r="N17" s="734"/>
      <c r="O17" s="920"/>
      <c r="P17" s="734">
        <f t="shared" si="1"/>
        <v>0</v>
      </c>
      <c r="Q17" s="921"/>
      <c r="R17" s="922"/>
      <c r="S17" s="692">
        <f t="shared" si="10"/>
        <v>2810.63</v>
      </c>
      <c r="V17" s="923">
        <f t="shared" si="7"/>
        <v>205</v>
      </c>
      <c r="W17" s="919"/>
      <c r="X17" s="734"/>
      <c r="Y17" s="920"/>
      <c r="Z17" s="734">
        <f t="shared" si="2"/>
        <v>0</v>
      </c>
      <c r="AA17" s="921"/>
      <c r="AB17" s="922"/>
      <c r="AC17" s="692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5">
        <v>44856</v>
      </c>
      <c r="F18" s="337">
        <f t="shared" si="0"/>
        <v>30.65</v>
      </c>
      <c r="G18" s="673" t="s">
        <v>205</v>
      </c>
      <c r="H18" s="684">
        <v>30</v>
      </c>
      <c r="I18" s="132">
        <f t="shared" si="9"/>
        <v>2369.44</v>
      </c>
      <c r="L18" s="923">
        <f t="shared" si="5"/>
        <v>94</v>
      </c>
      <c r="M18" s="919"/>
      <c r="N18" s="734"/>
      <c r="O18" s="920"/>
      <c r="P18" s="734">
        <f t="shared" si="1"/>
        <v>0</v>
      </c>
      <c r="Q18" s="921"/>
      <c r="R18" s="922"/>
      <c r="S18" s="692">
        <f t="shared" si="10"/>
        <v>2810.63</v>
      </c>
      <c r="V18" s="923">
        <f t="shared" si="7"/>
        <v>205</v>
      </c>
      <c r="W18" s="919"/>
      <c r="X18" s="734"/>
      <c r="Y18" s="920"/>
      <c r="Z18" s="734">
        <f t="shared" si="2"/>
        <v>0</v>
      </c>
      <c r="AA18" s="921"/>
      <c r="AB18" s="922"/>
      <c r="AC18" s="692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5">
        <v>44856</v>
      </c>
      <c r="F19" s="337">
        <f t="shared" si="0"/>
        <v>178.63</v>
      </c>
      <c r="G19" s="673" t="s">
        <v>207</v>
      </c>
      <c r="H19" s="684">
        <v>30</v>
      </c>
      <c r="I19" s="132">
        <f t="shared" si="9"/>
        <v>2190.81</v>
      </c>
      <c r="L19" s="923">
        <f t="shared" si="5"/>
        <v>94</v>
      </c>
      <c r="M19" s="919"/>
      <c r="N19" s="734"/>
      <c r="O19" s="920"/>
      <c r="P19" s="734">
        <f t="shared" si="1"/>
        <v>0</v>
      </c>
      <c r="Q19" s="921"/>
      <c r="R19" s="922"/>
      <c r="S19" s="692">
        <f t="shared" si="10"/>
        <v>2810.63</v>
      </c>
      <c r="V19" s="923">
        <f t="shared" si="7"/>
        <v>205</v>
      </c>
      <c r="W19" s="919"/>
      <c r="X19" s="734"/>
      <c r="Y19" s="920"/>
      <c r="Z19" s="734">
        <f t="shared" si="2"/>
        <v>0</v>
      </c>
      <c r="AA19" s="921"/>
      <c r="AB19" s="922"/>
      <c r="AC19" s="692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5">
        <v>44858</v>
      </c>
      <c r="F20" s="337">
        <f t="shared" si="0"/>
        <v>61</v>
      </c>
      <c r="G20" s="673" t="s">
        <v>208</v>
      </c>
      <c r="H20" s="684">
        <v>30</v>
      </c>
      <c r="I20" s="132">
        <f t="shared" si="9"/>
        <v>2129.81</v>
      </c>
      <c r="L20" s="923">
        <f t="shared" si="5"/>
        <v>94</v>
      </c>
      <c r="M20" s="919"/>
      <c r="N20" s="734"/>
      <c r="O20" s="920"/>
      <c r="P20" s="734">
        <f t="shared" si="1"/>
        <v>0</v>
      </c>
      <c r="Q20" s="921"/>
      <c r="R20" s="922"/>
      <c r="S20" s="692">
        <f t="shared" si="10"/>
        <v>2810.63</v>
      </c>
      <c r="V20" s="923">
        <f t="shared" si="7"/>
        <v>205</v>
      </c>
      <c r="W20" s="919"/>
      <c r="X20" s="734"/>
      <c r="Y20" s="920"/>
      <c r="Z20" s="734">
        <f t="shared" si="2"/>
        <v>0</v>
      </c>
      <c r="AA20" s="921"/>
      <c r="AB20" s="922"/>
      <c r="AC20" s="692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4">
        <v>30</v>
      </c>
      <c r="I21" s="132">
        <f t="shared" si="9"/>
        <v>1915.57</v>
      </c>
      <c r="L21" s="923">
        <f t="shared" si="5"/>
        <v>94</v>
      </c>
      <c r="M21" s="919"/>
      <c r="N21" s="734"/>
      <c r="O21" s="924"/>
      <c r="P21" s="734">
        <f t="shared" si="1"/>
        <v>0</v>
      </c>
      <c r="Q21" s="921"/>
      <c r="R21" s="922"/>
      <c r="S21" s="692">
        <f t="shared" si="10"/>
        <v>2810.63</v>
      </c>
      <c r="V21" s="923">
        <f t="shared" si="7"/>
        <v>205</v>
      </c>
      <c r="W21" s="919"/>
      <c r="X21" s="734"/>
      <c r="Y21" s="924"/>
      <c r="Z21" s="734">
        <f t="shared" si="2"/>
        <v>0</v>
      </c>
      <c r="AA21" s="921"/>
      <c r="AB21" s="922"/>
      <c r="AC21" s="692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4">
        <v>30</v>
      </c>
      <c r="I22" s="132">
        <f t="shared" si="9"/>
        <v>1885.46</v>
      </c>
      <c r="L22" s="923">
        <f t="shared" si="5"/>
        <v>94</v>
      </c>
      <c r="M22" s="919"/>
      <c r="N22" s="734"/>
      <c r="O22" s="924"/>
      <c r="P22" s="734">
        <f t="shared" si="1"/>
        <v>0</v>
      </c>
      <c r="Q22" s="921"/>
      <c r="R22" s="922"/>
      <c r="S22" s="692">
        <f t="shared" si="10"/>
        <v>2810.63</v>
      </c>
      <c r="V22" s="923">
        <f t="shared" si="7"/>
        <v>205</v>
      </c>
      <c r="W22" s="919"/>
      <c r="X22" s="734"/>
      <c r="Y22" s="924"/>
      <c r="Z22" s="734">
        <f t="shared" si="2"/>
        <v>0</v>
      </c>
      <c r="AA22" s="921"/>
      <c r="AB22" s="922"/>
      <c r="AC22" s="692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4">
        <v>30</v>
      </c>
      <c r="I23" s="132">
        <f t="shared" si="9"/>
        <v>1674.75</v>
      </c>
      <c r="L23" s="923">
        <f t="shared" si="5"/>
        <v>94</v>
      </c>
      <c r="M23" s="919"/>
      <c r="N23" s="734"/>
      <c r="O23" s="924"/>
      <c r="P23" s="734">
        <f t="shared" si="1"/>
        <v>0</v>
      </c>
      <c r="Q23" s="921"/>
      <c r="R23" s="922"/>
      <c r="S23" s="692">
        <f t="shared" si="10"/>
        <v>2810.63</v>
      </c>
      <c r="V23" s="923">
        <f t="shared" si="7"/>
        <v>205</v>
      </c>
      <c r="W23" s="919"/>
      <c r="X23" s="734"/>
      <c r="Y23" s="924"/>
      <c r="Z23" s="734">
        <f t="shared" si="2"/>
        <v>0</v>
      </c>
      <c r="AA23" s="921"/>
      <c r="AB23" s="922"/>
      <c r="AC23" s="692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4">
        <v>30</v>
      </c>
      <c r="I24" s="132">
        <f t="shared" si="9"/>
        <v>1642.76</v>
      </c>
      <c r="L24" s="923">
        <f t="shared" si="5"/>
        <v>94</v>
      </c>
      <c r="M24" s="919"/>
      <c r="N24" s="734"/>
      <c r="O24" s="924"/>
      <c r="P24" s="734">
        <f t="shared" si="1"/>
        <v>0</v>
      </c>
      <c r="Q24" s="921"/>
      <c r="R24" s="922"/>
      <c r="S24" s="692">
        <f t="shared" si="10"/>
        <v>2810.63</v>
      </c>
      <c r="V24" s="923">
        <f t="shared" si="7"/>
        <v>205</v>
      </c>
      <c r="W24" s="919"/>
      <c r="X24" s="734"/>
      <c r="Y24" s="924"/>
      <c r="Z24" s="734">
        <f t="shared" si="2"/>
        <v>0</v>
      </c>
      <c r="AA24" s="921"/>
      <c r="AB24" s="922"/>
      <c r="AC24" s="692">
        <f t="shared" si="11"/>
        <v>5922.77</v>
      </c>
    </row>
    <row r="25" spans="1:29" ht="15.75" x14ac:dyDescent="0.25">
      <c r="A25" s="946" t="s">
        <v>317</v>
      </c>
      <c r="B25" s="820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4">
        <v>30</v>
      </c>
      <c r="I25" s="814">
        <f t="shared" si="9"/>
        <v>1426</v>
      </c>
      <c r="L25" s="923">
        <f t="shared" si="5"/>
        <v>94</v>
      </c>
      <c r="M25" s="919"/>
      <c r="N25" s="734"/>
      <c r="O25" s="924"/>
      <c r="P25" s="734">
        <f t="shared" si="1"/>
        <v>0</v>
      </c>
      <c r="Q25" s="921"/>
      <c r="R25" s="922"/>
      <c r="S25" s="692">
        <f t="shared" si="10"/>
        <v>2810.63</v>
      </c>
      <c r="V25" s="923">
        <f t="shared" si="7"/>
        <v>205</v>
      </c>
      <c r="W25" s="919"/>
      <c r="X25" s="734"/>
      <c r="Y25" s="924"/>
      <c r="Z25" s="734">
        <f t="shared" si="2"/>
        <v>0</v>
      </c>
      <c r="AA25" s="921"/>
      <c r="AB25" s="922"/>
      <c r="AC25" s="692">
        <f t="shared" si="11"/>
        <v>5922.77</v>
      </c>
    </row>
    <row r="26" spans="1:29" x14ac:dyDescent="0.25">
      <c r="B26" s="820">
        <f t="shared" si="3"/>
        <v>38</v>
      </c>
      <c r="C26" s="336">
        <v>8</v>
      </c>
      <c r="D26" s="928">
        <v>210.23</v>
      </c>
      <c r="E26" s="929">
        <v>44865</v>
      </c>
      <c r="F26" s="928">
        <f t="shared" si="0"/>
        <v>210.23</v>
      </c>
      <c r="G26" s="930" t="s">
        <v>233</v>
      </c>
      <c r="H26" s="931">
        <v>30</v>
      </c>
      <c r="I26" s="814">
        <f t="shared" si="9"/>
        <v>1215.77</v>
      </c>
      <c r="L26" s="923">
        <f t="shared" si="5"/>
        <v>94</v>
      </c>
      <c r="M26" s="919"/>
      <c r="N26" s="734"/>
      <c r="O26" s="924"/>
      <c r="P26" s="734">
        <f t="shared" si="1"/>
        <v>0</v>
      </c>
      <c r="Q26" s="921"/>
      <c r="R26" s="922"/>
      <c r="S26" s="692">
        <f t="shared" si="10"/>
        <v>2810.63</v>
      </c>
      <c r="V26" s="923">
        <f t="shared" si="7"/>
        <v>205</v>
      </c>
      <c r="W26" s="919"/>
      <c r="X26" s="734"/>
      <c r="Y26" s="924"/>
      <c r="Z26" s="734">
        <f t="shared" si="2"/>
        <v>0</v>
      </c>
      <c r="AA26" s="921"/>
      <c r="AB26" s="922"/>
      <c r="AC26" s="692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996">
        <v>150.65</v>
      </c>
      <c r="E27" s="997">
        <v>44916</v>
      </c>
      <c r="F27" s="996">
        <f t="shared" si="0"/>
        <v>150.65</v>
      </c>
      <c r="G27" s="998" t="s">
        <v>768</v>
      </c>
      <c r="H27" s="999">
        <v>30</v>
      </c>
      <c r="I27" s="132">
        <f t="shared" si="9"/>
        <v>1065.1199999999999</v>
      </c>
      <c r="L27" s="923">
        <f t="shared" si="5"/>
        <v>94</v>
      </c>
      <c r="M27" s="919"/>
      <c r="N27" s="734"/>
      <c r="O27" s="924"/>
      <c r="P27" s="734">
        <f t="shared" si="1"/>
        <v>0</v>
      </c>
      <c r="Q27" s="921"/>
      <c r="R27" s="922"/>
      <c r="S27" s="692">
        <f t="shared" si="10"/>
        <v>2810.63</v>
      </c>
      <c r="V27" s="923">
        <f t="shared" si="7"/>
        <v>205</v>
      </c>
      <c r="W27" s="919"/>
      <c r="X27" s="734"/>
      <c r="Y27" s="924"/>
      <c r="Z27" s="734">
        <f t="shared" si="2"/>
        <v>0</v>
      </c>
      <c r="AA27" s="921"/>
      <c r="AB27" s="922"/>
      <c r="AC27" s="692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996">
        <v>213.56</v>
      </c>
      <c r="E28" s="997">
        <v>44921</v>
      </c>
      <c r="F28" s="996">
        <f t="shared" si="0"/>
        <v>213.56</v>
      </c>
      <c r="G28" s="998" t="s">
        <v>828</v>
      </c>
      <c r="H28" s="999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4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4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996">
        <v>156.16</v>
      </c>
      <c r="E29" s="997">
        <v>44924</v>
      </c>
      <c r="F29" s="996">
        <f t="shared" si="0"/>
        <v>156.16</v>
      </c>
      <c r="G29" s="998" t="s">
        <v>849</v>
      </c>
      <c r="H29" s="999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4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4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996"/>
      <c r="E30" s="997"/>
      <c r="F30" s="996">
        <f t="shared" si="0"/>
        <v>0</v>
      </c>
      <c r="G30" s="998"/>
      <c r="H30" s="999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4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4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996"/>
      <c r="E31" s="1000"/>
      <c r="F31" s="996">
        <f t="shared" si="0"/>
        <v>0</v>
      </c>
      <c r="G31" s="998"/>
      <c r="H31" s="999"/>
      <c r="I31" s="132">
        <f t="shared" si="9"/>
        <v>695.4</v>
      </c>
      <c r="L31" s="347">
        <f t="shared" si="5"/>
        <v>94</v>
      </c>
      <c r="M31" s="336"/>
      <c r="N31" s="337"/>
      <c r="O31" s="685"/>
      <c r="P31" s="337">
        <f t="shared" si="1"/>
        <v>0</v>
      </c>
      <c r="Q31" s="673"/>
      <c r="R31" s="684"/>
      <c r="S31" s="132">
        <f t="shared" si="10"/>
        <v>2810.63</v>
      </c>
      <c r="V31" s="347">
        <f t="shared" si="7"/>
        <v>205</v>
      </c>
      <c r="W31" s="336"/>
      <c r="X31" s="337"/>
      <c r="Y31" s="685"/>
      <c r="Z31" s="337">
        <f t="shared" si="2"/>
        <v>0</v>
      </c>
      <c r="AA31" s="673"/>
      <c r="AB31" s="684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996"/>
      <c r="E32" s="1000"/>
      <c r="F32" s="996">
        <f t="shared" si="0"/>
        <v>0</v>
      </c>
      <c r="G32" s="998"/>
      <c r="H32" s="999"/>
      <c r="I32" s="132">
        <f t="shared" si="9"/>
        <v>695.4</v>
      </c>
      <c r="L32" s="347">
        <f t="shared" si="5"/>
        <v>94</v>
      </c>
      <c r="M32" s="336"/>
      <c r="N32" s="337"/>
      <c r="O32" s="685"/>
      <c r="P32" s="337">
        <f t="shared" si="1"/>
        <v>0</v>
      </c>
      <c r="Q32" s="673"/>
      <c r="R32" s="684"/>
      <c r="S32" s="132">
        <f t="shared" si="10"/>
        <v>2810.63</v>
      </c>
      <c r="V32" s="347">
        <f t="shared" si="7"/>
        <v>205</v>
      </c>
      <c r="W32" s="336"/>
      <c r="X32" s="337"/>
      <c r="Y32" s="685"/>
      <c r="Z32" s="337">
        <f t="shared" si="2"/>
        <v>0</v>
      </c>
      <c r="AA32" s="673"/>
      <c r="AB32" s="684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996"/>
      <c r="E33" s="1000"/>
      <c r="F33" s="996">
        <f t="shared" si="0"/>
        <v>0</v>
      </c>
      <c r="G33" s="998"/>
      <c r="H33" s="999"/>
      <c r="I33" s="132">
        <f t="shared" si="9"/>
        <v>695.4</v>
      </c>
      <c r="L33" s="347">
        <f t="shared" si="5"/>
        <v>94</v>
      </c>
      <c r="M33" s="336"/>
      <c r="N33" s="337"/>
      <c r="O33" s="685"/>
      <c r="P33" s="337">
        <f t="shared" si="1"/>
        <v>0</v>
      </c>
      <c r="Q33" s="673"/>
      <c r="R33" s="684"/>
      <c r="S33" s="132">
        <f t="shared" si="10"/>
        <v>2810.63</v>
      </c>
      <c r="V33" s="347">
        <f t="shared" si="7"/>
        <v>205</v>
      </c>
      <c r="W33" s="336"/>
      <c r="X33" s="337"/>
      <c r="Y33" s="685"/>
      <c r="Z33" s="337">
        <f t="shared" si="2"/>
        <v>0</v>
      </c>
      <c r="AA33" s="673"/>
      <c r="AB33" s="684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996"/>
      <c r="E34" s="1000"/>
      <c r="F34" s="996">
        <f t="shared" si="0"/>
        <v>0</v>
      </c>
      <c r="G34" s="998"/>
      <c r="H34" s="999"/>
      <c r="I34" s="132">
        <f t="shared" si="9"/>
        <v>695.4</v>
      </c>
      <c r="L34" s="347">
        <f t="shared" si="5"/>
        <v>94</v>
      </c>
      <c r="M34" s="336"/>
      <c r="N34" s="337"/>
      <c r="O34" s="685"/>
      <c r="P34" s="337">
        <f t="shared" si="1"/>
        <v>0</v>
      </c>
      <c r="Q34" s="673"/>
      <c r="R34" s="684"/>
      <c r="S34" s="132">
        <f t="shared" si="10"/>
        <v>2810.63</v>
      </c>
      <c r="V34" s="347">
        <f t="shared" si="7"/>
        <v>205</v>
      </c>
      <c r="W34" s="336"/>
      <c r="X34" s="337"/>
      <c r="Y34" s="685"/>
      <c r="Z34" s="337">
        <f t="shared" si="2"/>
        <v>0</v>
      </c>
      <c r="AA34" s="673"/>
      <c r="AB34" s="684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996"/>
      <c r="E35" s="1000"/>
      <c r="F35" s="996">
        <f t="shared" si="0"/>
        <v>0</v>
      </c>
      <c r="G35" s="998"/>
      <c r="H35" s="999"/>
      <c r="I35" s="132">
        <f t="shared" si="9"/>
        <v>695.4</v>
      </c>
      <c r="L35" s="347">
        <f t="shared" si="5"/>
        <v>94</v>
      </c>
      <c r="M35" s="336"/>
      <c r="N35" s="337"/>
      <c r="O35" s="685"/>
      <c r="P35" s="337">
        <f t="shared" si="1"/>
        <v>0</v>
      </c>
      <c r="Q35" s="673"/>
      <c r="R35" s="684"/>
      <c r="S35" s="132">
        <f t="shared" si="10"/>
        <v>2810.63</v>
      </c>
      <c r="V35" s="347">
        <f t="shared" si="7"/>
        <v>205</v>
      </c>
      <c r="W35" s="336"/>
      <c r="X35" s="337"/>
      <c r="Y35" s="685"/>
      <c r="Z35" s="337">
        <f t="shared" si="2"/>
        <v>0</v>
      </c>
      <c r="AA35" s="673"/>
      <c r="AB35" s="684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996"/>
      <c r="E36" s="1000"/>
      <c r="F36" s="996">
        <f t="shared" si="0"/>
        <v>0</v>
      </c>
      <c r="G36" s="998"/>
      <c r="H36" s="999"/>
      <c r="I36" s="132">
        <f t="shared" si="9"/>
        <v>695.4</v>
      </c>
      <c r="L36" s="347">
        <f t="shared" si="5"/>
        <v>94</v>
      </c>
      <c r="M36" s="336"/>
      <c r="N36" s="337"/>
      <c r="O36" s="685"/>
      <c r="P36" s="337">
        <f t="shared" si="1"/>
        <v>0</v>
      </c>
      <c r="Q36" s="673"/>
      <c r="R36" s="684"/>
      <c r="S36" s="132">
        <f t="shared" si="10"/>
        <v>2810.63</v>
      </c>
      <c r="V36" s="347">
        <f t="shared" si="7"/>
        <v>205</v>
      </c>
      <c r="W36" s="336"/>
      <c r="X36" s="337"/>
      <c r="Y36" s="685"/>
      <c r="Z36" s="337">
        <f t="shared" si="2"/>
        <v>0</v>
      </c>
      <c r="AA36" s="673"/>
      <c r="AB36" s="684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996"/>
      <c r="E37" s="1000"/>
      <c r="F37" s="996">
        <f t="shared" si="0"/>
        <v>0</v>
      </c>
      <c r="G37" s="998"/>
      <c r="H37" s="999"/>
      <c r="I37" s="132">
        <f t="shared" si="9"/>
        <v>695.4</v>
      </c>
      <c r="L37" s="347">
        <f t="shared" si="5"/>
        <v>94</v>
      </c>
      <c r="M37" s="336"/>
      <c r="N37" s="337"/>
      <c r="O37" s="685"/>
      <c r="P37" s="337">
        <f t="shared" si="1"/>
        <v>0</v>
      </c>
      <c r="Q37" s="673"/>
      <c r="R37" s="684"/>
      <c r="S37" s="132">
        <f t="shared" si="10"/>
        <v>2810.63</v>
      </c>
      <c r="V37" s="347">
        <f t="shared" si="7"/>
        <v>205</v>
      </c>
      <c r="W37" s="336"/>
      <c r="X37" s="337"/>
      <c r="Y37" s="685"/>
      <c r="Z37" s="337">
        <f t="shared" si="2"/>
        <v>0</v>
      </c>
      <c r="AA37" s="673"/>
      <c r="AB37" s="684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996"/>
      <c r="E38" s="1000"/>
      <c r="F38" s="996">
        <f t="shared" si="0"/>
        <v>0</v>
      </c>
      <c r="G38" s="998"/>
      <c r="H38" s="999"/>
      <c r="I38" s="132">
        <f t="shared" si="9"/>
        <v>695.4</v>
      </c>
      <c r="L38" s="347">
        <f t="shared" si="5"/>
        <v>94</v>
      </c>
      <c r="M38" s="336"/>
      <c r="N38" s="337"/>
      <c r="O38" s="685"/>
      <c r="P38" s="337">
        <f t="shared" si="1"/>
        <v>0</v>
      </c>
      <c r="Q38" s="673"/>
      <c r="R38" s="684"/>
      <c r="S38" s="132">
        <f t="shared" si="10"/>
        <v>2810.63</v>
      </c>
      <c r="V38" s="347">
        <f t="shared" si="7"/>
        <v>205</v>
      </c>
      <c r="W38" s="336"/>
      <c r="X38" s="337"/>
      <c r="Y38" s="685"/>
      <c r="Z38" s="337">
        <f t="shared" si="2"/>
        <v>0</v>
      </c>
      <c r="AA38" s="673"/>
      <c r="AB38" s="684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996"/>
      <c r="E39" s="1000"/>
      <c r="F39" s="996">
        <f t="shared" si="0"/>
        <v>0</v>
      </c>
      <c r="G39" s="998"/>
      <c r="H39" s="999"/>
      <c r="I39" s="132">
        <f t="shared" si="9"/>
        <v>695.4</v>
      </c>
      <c r="L39" s="347">
        <f t="shared" si="5"/>
        <v>94</v>
      </c>
      <c r="M39" s="336"/>
      <c r="N39" s="337"/>
      <c r="O39" s="685"/>
      <c r="P39" s="337">
        <f t="shared" si="1"/>
        <v>0</v>
      </c>
      <c r="Q39" s="673"/>
      <c r="R39" s="684"/>
      <c r="S39" s="132">
        <f t="shared" si="10"/>
        <v>2810.63</v>
      </c>
      <c r="V39" s="347">
        <f t="shared" si="7"/>
        <v>205</v>
      </c>
      <c r="W39" s="336"/>
      <c r="X39" s="337"/>
      <c r="Y39" s="685"/>
      <c r="Z39" s="337">
        <f t="shared" si="2"/>
        <v>0</v>
      </c>
      <c r="AA39" s="673"/>
      <c r="AB39" s="684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28"/>
      <c r="E40" s="932"/>
      <c r="F40" s="928">
        <f t="shared" si="0"/>
        <v>0</v>
      </c>
      <c r="G40" s="930"/>
      <c r="H40" s="931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5"/>
      <c r="P40" s="337">
        <f t="shared" si="1"/>
        <v>0</v>
      </c>
      <c r="Q40" s="673"/>
      <c r="R40" s="684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5"/>
      <c r="Z40" s="337">
        <f t="shared" si="2"/>
        <v>0</v>
      </c>
      <c r="AA40" s="673"/>
      <c r="AB40" s="684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28"/>
      <c r="E41" s="932"/>
      <c r="F41" s="928">
        <f t="shared" si="0"/>
        <v>0</v>
      </c>
      <c r="G41" s="930"/>
      <c r="H41" s="931"/>
      <c r="I41" s="132">
        <f t="shared" si="9"/>
        <v>695.4</v>
      </c>
      <c r="L41" s="347">
        <f t="shared" si="5"/>
        <v>94</v>
      </c>
      <c r="M41" s="336"/>
      <c r="N41" s="337"/>
      <c r="O41" s="685"/>
      <c r="P41" s="337">
        <f t="shared" si="1"/>
        <v>0</v>
      </c>
      <c r="Q41" s="673"/>
      <c r="R41" s="684"/>
      <c r="S41" s="132">
        <f t="shared" si="10"/>
        <v>2810.63</v>
      </c>
      <c r="V41" s="347">
        <f t="shared" si="7"/>
        <v>205</v>
      </c>
      <c r="W41" s="336"/>
      <c r="X41" s="337"/>
      <c r="Y41" s="685"/>
      <c r="Z41" s="337">
        <f t="shared" si="2"/>
        <v>0</v>
      </c>
      <c r="AA41" s="673"/>
      <c r="AB41" s="684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28"/>
      <c r="E42" s="932"/>
      <c r="F42" s="928">
        <f t="shared" si="0"/>
        <v>0</v>
      </c>
      <c r="G42" s="930"/>
      <c r="H42" s="931"/>
      <c r="I42" s="132">
        <f t="shared" si="9"/>
        <v>695.4</v>
      </c>
      <c r="L42" s="347">
        <f t="shared" si="5"/>
        <v>94</v>
      </c>
      <c r="M42" s="336"/>
      <c r="N42" s="337"/>
      <c r="O42" s="685"/>
      <c r="P42" s="337">
        <f t="shared" si="1"/>
        <v>0</v>
      </c>
      <c r="Q42" s="673"/>
      <c r="R42" s="684"/>
      <c r="S42" s="132">
        <f t="shared" si="10"/>
        <v>2810.63</v>
      </c>
      <c r="V42" s="347">
        <f t="shared" si="7"/>
        <v>205</v>
      </c>
      <c r="W42" s="336"/>
      <c r="X42" s="337"/>
      <c r="Y42" s="685"/>
      <c r="Z42" s="337">
        <f t="shared" si="2"/>
        <v>0</v>
      </c>
      <c r="AA42" s="673"/>
      <c r="AB42" s="684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28"/>
      <c r="E43" s="932"/>
      <c r="F43" s="928">
        <f t="shared" si="0"/>
        <v>0</v>
      </c>
      <c r="G43" s="930"/>
      <c r="H43" s="931"/>
      <c r="I43" s="132">
        <f t="shared" si="9"/>
        <v>695.4</v>
      </c>
      <c r="L43" s="347">
        <f t="shared" si="5"/>
        <v>94</v>
      </c>
      <c r="M43" s="336"/>
      <c r="N43" s="337"/>
      <c r="O43" s="685"/>
      <c r="P43" s="337">
        <f t="shared" si="1"/>
        <v>0</v>
      </c>
      <c r="Q43" s="673"/>
      <c r="R43" s="684"/>
      <c r="S43" s="132">
        <f t="shared" si="10"/>
        <v>2810.63</v>
      </c>
      <c r="V43" s="347">
        <f t="shared" si="7"/>
        <v>205</v>
      </c>
      <c r="W43" s="336"/>
      <c r="X43" s="337"/>
      <c r="Y43" s="685"/>
      <c r="Z43" s="337">
        <f t="shared" si="2"/>
        <v>0</v>
      </c>
      <c r="AA43" s="673"/>
      <c r="AB43" s="684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28"/>
      <c r="E44" s="932"/>
      <c r="F44" s="928">
        <f t="shared" si="0"/>
        <v>0</v>
      </c>
      <c r="G44" s="930"/>
      <c r="H44" s="931"/>
      <c r="I44" s="132">
        <f t="shared" si="9"/>
        <v>695.4</v>
      </c>
      <c r="L44" s="347">
        <f t="shared" si="5"/>
        <v>94</v>
      </c>
      <c r="M44" s="336"/>
      <c r="N44" s="337"/>
      <c r="O44" s="685"/>
      <c r="P44" s="337">
        <f t="shared" si="1"/>
        <v>0</v>
      </c>
      <c r="Q44" s="673"/>
      <c r="R44" s="684"/>
      <c r="S44" s="132">
        <f t="shared" si="10"/>
        <v>2810.63</v>
      </c>
      <c r="V44" s="347">
        <f t="shared" si="7"/>
        <v>205</v>
      </c>
      <c r="W44" s="336"/>
      <c r="X44" s="337"/>
      <c r="Y44" s="685"/>
      <c r="Z44" s="337">
        <f t="shared" si="2"/>
        <v>0</v>
      </c>
      <c r="AA44" s="673"/>
      <c r="AB44" s="684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28"/>
      <c r="E45" s="932"/>
      <c r="F45" s="928">
        <f t="shared" si="0"/>
        <v>0</v>
      </c>
      <c r="G45" s="930"/>
      <c r="H45" s="931"/>
      <c r="I45" s="132">
        <f t="shared" si="9"/>
        <v>695.4</v>
      </c>
      <c r="L45" s="347">
        <f t="shared" si="5"/>
        <v>94</v>
      </c>
      <c r="M45" s="336"/>
      <c r="N45" s="337"/>
      <c r="O45" s="685"/>
      <c r="P45" s="337">
        <f t="shared" si="1"/>
        <v>0</v>
      </c>
      <c r="Q45" s="673"/>
      <c r="R45" s="684"/>
      <c r="S45" s="132">
        <f t="shared" si="10"/>
        <v>2810.63</v>
      </c>
      <c r="V45" s="347">
        <f t="shared" si="7"/>
        <v>205</v>
      </c>
      <c r="W45" s="336"/>
      <c r="X45" s="337"/>
      <c r="Y45" s="685"/>
      <c r="Z45" s="337">
        <f t="shared" si="2"/>
        <v>0</v>
      </c>
      <c r="AA45" s="673"/>
      <c r="AB45" s="684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28"/>
      <c r="E46" s="932"/>
      <c r="F46" s="928">
        <f t="shared" si="0"/>
        <v>0</v>
      </c>
      <c r="G46" s="930"/>
      <c r="H46" s="931"/>
      <c r="I46" s="132">
        <f t="shared" si="9"/>
        <v>695.4</v>
      </c>
      <c r="L46" s="347">
        <f t="shared" si="5"/>
        <v>94</v>
      </c>
      <c r="M46" s="336"/>
      <c r="N46" s="337"/>
      <c r="O46" s="685"/>
      <c r="P46" s="337">
        <f t="shared" si="1"/>
        <v>0</v>
      </c>
      <c r="Q46" s="673"/>
      <c r="R46" s="684"/>
      <c r="S46" s="132">
        <f t="shared" si="10"/>
        <v>2810.63</v>
      </c>
      <c r="V46" s="347">
        <f t="shared" si="7"/>
        <v>205</v>
      </c>
      <c r="W46" s="336"/>
      <c r="X46" s="337"/>
      <c r="Y46" s="685"/>
      <c r="Z46" s="337">
        <f t="shared" si="2"/>
        <v>0</v>
      </c>
      <c r="AA46" s="673"/>
      <c r="AB46" s="684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28"/>
      <c r="E47" s="932"/>
      <c r="F47" s="928">
        <f t="shared" si="0"/>
        <v>0</v>
      </c>
      <c r="G47" s="930"/>
      <c r="H47" s="931"/>
      <c r="I47" s="132">
        <f t="shared" si="9"/>
        <v>695.4</v>
      </c>
      <c r="L47" s="347">
        <f t="shared" si="5"/>
        <v>94</v>
      </c>
      <c r="M47" s="336"/>
      <c r="N47" s="337"/>
      <c r="O47" s="685"/>
      <c r="P47" s="337">
        <f t="shared" si="1"/>
        <v>0</v>
      </c>
      <c r="Q47" s="673"/>
      <c r="R47" s="684"/>
      <c r="S47" s="132">
        <f t="shared" si="10"/>
        <v>2810.63</v>
      </c>
      <c r="V47" s="347">
        <f t="shared" si="7"/>
        <v>205</v>
      </c>
      <c r="W47" s="336"/>
      <c r="X47" s="337"/>
      <c r="Y47" s="685"/>
      <c r="Z47" s="337">
        <f t="shared" si="2"/>
        <v>0</v>
      </c>
      <c r="AA47" s="673"/>
      <c r="AB47" s="684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28"/>
      <c r="E48" s="932"/>
      <c r="F48" s="928">
        <f t="shared" si="0"/>
        <v>0</v>
      </c>
      <c r="G48" s="930"/>
      <c r="H48" s="931"/>
      <c r="I48" s="132">
        <f t="shared" si="9"/>
        <v>695.4</v>
      </c>
      <c r="L48" s="347">
        <f t="shared" si="5"/>
        <v>94</v>
      </c>
      <c r="M48" s="336"/>
      <c r="N48" s="337"/>
      <c r="O48" s="685"/>
      <c r="P48" s="337">
        <f t="shared" si="1"/>
        <v>0</v>
      </c>
      <c r="Q48" s="673"/>
      <c r="R48" s="684"/>
      <c r="S48" s="132">
        <f t="shared" si="10"/>
        <v>2810.63</v>
      </c>
      <c r="V48" s="347">
        <f t="shared" si="7"/>
        <v>205</v>
      </c>
      <c r="W48" s="336"/>
      <c r="X48" s="337"/>
      <c r="Y48" s="685"/>
      <c r="Z48" s="337">
        <f t="shared" si="2"/>
        <v>0</v>
      </c>
      <c r="AA48" s="673"/>
      <c r="AB48" s="684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28"/>
      <c r="E49" s="932"/>
      <c r="F49" s="928">
        <f t="shared" si="0"/>
        <v>0</v>
      </c>
      <c r="G49" s="930"/>
      <c r="H49" s="931"/>
      <c r="I49" s="132">
        <f t="shared" si="9"/>
        <v>695.4</v>
      </c>
      <c r="L49" s="347">
        <f t="shared" si="5"/>
        <v>94</v>
      </c>
      <c r="M49" s="336"/>
      <c r="N49" s="337"/>
      <c r="O49" s="685"/>
      <c r="P49" s="337">
        <f t="shared" si="1"/>
        <v>0</v>
      </c>
      <c r="Q49" s="673"/>
      <c r="R49" s="684"/>
      <c r="S49" s="132">
        <f t="shared" si="10"/>
        <v>2810.63</v>
      </c>
      <c r="V49" s="347">
        <f t="shared" si="7"/>
        <v>205</v>
      </c>
      <c r="W49" s="336"/>
      <c r="X49" s="337"/>
      <c r="Y49" s="685"/>
      <c r="Z49" s="337">
        <f t="shared" si="2"/>
        <v>0</v>
      </c>
      <c r="AA49" s="673"/>
      <c r="AB49" s="684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28"/>
      <c r="E50" s="932"/>
      <c r="F50" s="928">
        <f t="shared" si="0"/>
        <v>0</v>
      </c>
      <c r="G50" s="930"/>
      <c r="H50" s="931"/>
      <c r="I50" s="132">
        <f t="shared" si="9"/>
        <v>695.4</v>
      </c>
      <c r="L50" s="347">
        <f t="shared" si="5"/>
        <v>94</v>
      </c>
      <c r="M50" s="336"/>
      <c r="N50" s="337"/>
      <c r="O50" s="685"/>
      <c r="P50" s="337">
        <f t="shared" si="1"/>
        <v>0</v>
      </c>
      <c r="Q50" s="673"/>
      <c r="R50" s="684"/>
      <c r="S50" s="132">
        <f t="shared" si="10"/>
        <v>2810.63</v>
      </c>
      <c r="V50" s="347">
        <f t="shared" si="7"/>
        <v>205</v>
      </c>
      <c r="W50" s="336"/>
      <c r="X50" s="337"/>
      <c r="Y50" s="685"/>
      <c r="Z50" s="337">
        <f t="shared" si="2"/>
        <v>0</v>
      </c>
      <c r="AA50" s="673"/>
      <c r="AB50" s="684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28"/>
      <c r="E51" s="932"/>
      <c r="F51" s="928">
        <f t="shared" si="0"/>
        <v>0</v>
      </c>
      <c r="G51" s="930"/>
      <c r="H51" s="931"/>
      <c r="I51" s="132">
        <f t="shared" si="9"/>
        <v>695.4</v>
      </c>
      <c r="L51" s="347">
        <f t="shared" si="5"/>
        <v>94</v>
      </c>
      <c r="M51" s="336"/>
      <c r="N51" s="337"/>
      <c r="O51" s="685"/>
      <c r="P51" s="337">
        <f t="shared" si="1"/>
        <v>0</v>
      </c>
      <c r="Q51" s="673"/>
      <c r="R51" s="684"/>
      <c r="S51" s="132">
        <f t="shared" si="10"/>
        <v>2810.63</v>
      </c>
      <c r="V51" s="347">
        <f t="shared" si="7"/>
        <v>205</v>
      </c>
      <c r="W51" s="336"/>
      <c r="X51" s="337"/>
      <c r="Y51" s="685"/>
      <c r="Z51" s="337">
        <f t="shared" si="2"/>
        <v>0</v>
      </c>
      <c r="AA51" s="673"/>
      <c r="AB51" s="684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28"/>
      <c r="E52" s="932"/>
      <c r="F52" s="928">
        <f t="shared" si="0"/>
        <v>0</v>
      </c>
      <c r="G52" s="930"/>
      <c r="H52" s="931"/>
      <c r="I52" s="132">
        <f t="shared" si="9"/>
        <v>695.4</v>
      </c>
      <c r="L52" s="347">
        <f t="shared" si="5"/>
        <v>94</v>
      </c>
      <c r="M52" s="336"/>
      <c r="N52" s="337"/>
      <c r="O52" s="685"/>
      <c r="P52" s="337">
        <f t="shared" si="1"/>
        <v>0</v>
      </c>
      <c r="Q52" s="673"/>
      <c r="R52" s="684"/>
      <c r="S52" s="132">
        <f t="shared" si="10"/>
        <v>2810.63</v>
      </c>
      <c r="V52" s="347">
        <f t="shared" si="7"/>
        <v>205</v>
      </c>
      <c r="W52" s="336"/>
      <c r="X52" s="337"/>
      <c r="Y52" s="685"/>
      <c r="Z52" s="337">
        <f t="shared" si="2"/>
        <v>0</v>
      </c>
      <c r="AA52" s="673"/>
      <c r="AB52" s="684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28"/>
      <c r="E53" s="932"/>
      <c r="F53" s="928">
        <f t="shared" si="0"/>
        <v>0</v>
      </c>
      <c r="G53" s="930"/>
      <c r="H53" s="931"/>
      <c r="I53" s="132">
        <f t="shared" si="9"/>
        <v>695.4</v>
      </c>
      <c r="L53" s="347">
        <f t="shared" si="5"/>
        <v>94</v>
      </c>
      <c r="M53" s="336"/>
      <c r="N53" s="337"/>
      <c r="O53" s="685"/>
      <c r="P53" s="337">
        <f t="shared" si="1"/>
        <v>0</v>
      </c>
      <c r="Q53" s="673"/>
      <c r="R53" s="684"/>
      <c r="S53" s="132">
        <f t="shared" si="10"/>
        <v>2810.63</v>
      </c>
      <c r="V53" s="347">
        <f t="shared" si="7"/>
        <v>205</v>
      </c>
      <c r="W53" s="336"/>
      <c r="X53" s="337"/>
      <c r="Y53" s="685"/>
      <c r="Z53" s="337">
        <f t="shared" si="2"/>
        <v>0</v>
      </c>
      <c r="AA53" s="673"/>
      <c r="AB53" s="684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5"/>
      <c r="F54" s="337">
        <f t="shared" si="0"/>
        <v>0</v>
      </c>
      <c r="G54" s="673"/>
      <c r="H54" s="684"/>
      <c r="I54" s="132">
        <f t="shared" si="9"/>
        <v>695.4</v>
      </c>
      <c r="L54" s="347">
        <f t="shared" si="5"/>
        <v>94</v>
      </c>
      <c r="M54" s="336"/>
      <c r="N54" s="337"/>
      <c r="O54" s="685"/>
      <c r="P54" s="337">
        <f t="shared" si="1"/>
        <v>0</v>
      </c>
      <c r="Q54" s="673"/>
      <c r="R54" s="684"/>
      <c r="S54" s="132">
        <f t="shared" si="10"/>
        <v>2810.63</v>
      </c>
      <c r="V54" s="347">
        <f t="shared" si="7"/>
        <v>205</v>
      </c>
      <c r="W54" s="336"/>
      <c r="X54" s="337"/>
      <c r="Y54" s="685"/>
      <c r="Z54" s="337">
        <f t="shared" si="2"/>
        <v>0</v>
      </c>
      <c r="AA54" s="673"/>
      <c r="AB54" s="684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5"/>
      <c r="F55" s="337">
        <f t="shared" si="0"/>
        <v>0</v>
      </c>
      <c r="G55" s="673"/>
      <c r="H55" s="684"/>
      <c r="I55" s="132">
        <f t="shared" si="9"/>
        <v>695.4</v>
      </c>
      <c r="L55" s="347">
        <f t="shared" si="5"/>
        <v>94</v>
      </c>
      <c r="M55" s="336"/>
      <c r="N55" s="337"/>
      <c r="O55" s="685"/>
      <c r="P55" s="337">
        <f t="shared" si="1"/>
        <v>0</v>
      </c>
      <c r="Q55" s="673"/>
      <c r="R55" s="684"/>
      <c r="S55" s="132">
        <f t="shared" si="10"/>
        <v>2810.63</v>
      </c>
      <c r="V55" s="347">
        <f t="shared" si="7"/>
        <v>205</v>
      </c>
      <c r="W55" s="336"/>
      <c r="X55" s="337"/>
      <c r="Y55" s="685"/>
      <c r="Z55" s="337">
        <f t="shared" si="2"/>
        <v>0</v>
      </c>
      <c r="AA55" s="673"/>
      <c r="AB55" s="684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5"/>
      <c r="F56" s="337">
        <f t="shared" si="0"/>
        <v>0</v>
      </c>
      <c r="G56" s="673"/>
      <c r="H56" s="684"/>
      <c r="I56" s="132">
        <f t="shared" si="9"/>
        <v>695.4</v>
      </c>
      <c r="L56" s="347">
        <f t="shared" si="5"/>
        <v>94</v>
      </c>
      <c r="M56" s="336"/>
      <c r="N56" s="337"/>
      <c r="O56" s="685"/>
      <c r="P56" s="337">
        <f t="shared" si="1"/>
        <v>0</v>
      </c>
      <c r="Q56" s="673"/>
      <c r="R56" s="684"/>
      <c r="S56" s="132">
        <f t="shared" si="10"/>
        <v>2810.63</v>
      </c>
      <c r="V56" s="347">
        <f t="shared" si="7"/>
        <v>205</v>
      </c>
      <c r="W56" s="336"/>
      <c r="X56" s="337"/>
      <c r="Y56" s="685"/>
      <c r="Z56" s="337">
        <f t="shared" si="2"/>
        <v>0</v>
      </c>
      <c r="AA56" s="673"/>
      <c r="AB56" s="684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5"/>
      <c r="F57" s="337">
        <f t="shared" si="0"/>
        <v>0</v>
      </c>
      <c r="G57" s="673"/>
      <c r="H57" s="684"/>
      <c r="I57" s="132">
        <f t="shared" si="9"/>
        <v>695.4</v>
      </c>
      <c r="L57" s="347">
        <f t="shared" si="5"/>
        <v>94</v>
      </c>
      <c r="M57" s="336"/>
      <c r="N57" s="337"/>
      <c r="O57" s="685"/>
      <c r="P57" s="337">
        <f t="shared" si="1"/>
        <v>0</v>
      </c>
      <c r="Q57" s="673"/>
      <c r="R57" s="684"/>
      <c r="S57" s="132">
        <f t="shared" si="10"/>
        <v>2810.63</v>
      </c>
      <c r="V57" s="347">
        <f t="shared" si="7"/>
        <v>205</v>
      </c>
      <c r="W57" s="336"/>
      <c r="X57" s="337"/>
      <c r="Y57" s="685"/>
      <c r="Z57" s="337">
        <f t="shared" si="2"/>
        <v>0</v>
      </c>
      <c r="AA57" s="673"/>
      <c r="AB57" s="684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4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4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4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6"/>
      <c r="H59" s="488"/>
      <c r="I59" s="132"/>
      <c r="L59" s="347"/>
      <c r="M59" s="336"/>
      <c r="N59" s="337"/>
      <c r="O59" s="488"/>
      <c r="P59" s="337"/>
      <c r="Q59" s="686"/>
      <c r="R59" s="488"/>
      <c r="S59" s="132"/>
      <c r="V59" s="347"/>
      <c r="W59" s="336"/>
      <c r="X59" s="337"/>
      <c r="Y59" s="488"/>
      <c r="Z59" s="337"/>
      <c r="AA59" s="686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6"/>
      <c r="H60" s="488"/>
      <c r="I60" s="132"/>
      <c r="L60" s="347"/>
      <c r="M60" s="336"/>
      <c r="N60" s="337"/>
      <c r="O60" s="488"/>
      <c r="P60" s="337"/>
      <c r="Q60" s="686"/>
      <c r="R60" s="488"/>
      <c r="S60" s="132"/>
      <c r="V60" s="347"/>
      <c r="W60" s="336"/>
      <c r="X60" s="337"/>
      <c r="Y60" s="488"/>
      <c r="Z60" s="337"/>
      <c r="AA60" s="686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99"/>
      <c r="D63" s="698"/>
      <c r="E63" s="698"/>
      <c r="F63" s="700"/>
      <c r="G63" s="75"/>
      <c r="H63" s="75"/>
      <c r="K63" s="75"/>
      <c r="L63" s="75"/>
      <c r="M63" s="699"/>
      <c r="N63" s="698"/>
      <c r="O63" s="698"/>
      <c r="P63" s="700"/>
      <c r="Q63" s="75"/>
      <c r="R63" s="75"/>
      <c r="U63" s="75"/>
      <c r="V63" s="75"/>
      <c r="W63" s="699"/>
      <c r="X63" s="698"/>
      <c r="Y63" s="698"/>
      <c r="Z63" s="700"/>
      <c r="AA63" s="75"/>
      <c r="AB63" s="75"/>
    </row>
    <row r="64" spans="1:29" ht="15.75" thickBot="1" x14ac:dyDescent="0.3">
      <c r="A64" s="75"/>
      <c r="B64" s="75"/>
      <c r="C64" s="699"/>
      <c r="D64" s="698"/>
      <c r="E64" s="698"/>
      <c r="F64" s="698"/>
      <c r="G64" s="75"/>
      <c r="H64" s="75"/>
      <c r="K64" s="75"/>
      <c r="L64" s="75"/>
      <c r="M64" s="699"/>
      <c r="N64" s="698"/>
      <c r="O64" s="698"/>
      <c r="P64" s="698"/>
      <c r="Q64" s="75"/>
      <c r="R64" s="75"/>
      <c r="U64" s="75"/>
      <c r="V64" s="75"/>
      <c r="W64" s="699"/>
      <c r="X64" s="698"/>
      <c r="Y64" s="698"/>
      <c r="Z64" s="698"/>
      <c r="AA64" s="75"/>
      <c r="AB64" s="75"/>
    </row>
    <row r="65" spans="1:28" ht="29.25" customHeight="1" x14ac:dyDescent="0.25">
      <c r="A65" s="75"/>
      <c r="B65" s="75"/>
      <c r="C65" s="75"/>
      <c r="D65" s="701" t="s">
        <v>21</v>
      </c>
      <c r="E65" s="702"/>
      <c r="F65" s="703">
        <f>E4+E5+E6+E7+E8-F62</f>
        <v>695.40000000000055</v>
      </c>
      <c r="G65" s="75"/>
      <c r="H65" s="75"/>
      <c r="K65" s="75"/>
      <c r="L65" s="75"/>
      <c r="M65" s="75"/>
      <c r="N65" s="701" t="s">
        <v>21</v>
      </c>
      <c r="O65" s="702"/>
      <c r="P65" s="703">
        <f>O4+O5+O6+O7+O8-P62</f>
        <v>2810.63</v>
      </c>
      <c r="Q65" s="75"/>
      <c r="R65" s="75"/>
      <c r="U65" s="75"/>
      <c r="V65" s="75"/>
      <c r="W65" s="75"/>
      <c r="X65" s="701" t="s">
        <v>21</v>
      </c>
      <c r="Y65" s="702"/>
      <c r="Z65" s="703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4" t="s">
        <v>4</v>
      </c>
      <c r="E66" s="705"/>
      <c r="F66" s="706">
        <f>F4+F5+F6+F7+F8-C62</f>
        <v>23</v>
      </c>
      <c r="G66" s="75"/>
      <c r="H66" s="75"/>
      <c r="K66" s="75"/>
      <c r="L66" s="75"/>
      <c r="M66" s="75"/>
      <c r="N66" s="704" t="s">
        <v>4</v>
      </c>
      <c r="O66" s="705"/>
      <c r="P66" s="706">
        <f>P4+P5+P6+P7+P8-M62</f>
        <v>94</v>
      </c>
      <c r="Q66" s="75"/>
      <c r="R66" s="75"/>
      <c r="U66" s="75"/>
      <c r="V66" s="75"/>
      <c r="W66" s="75"/>
      <c r="X66" s="704" t="s">
        <v>4</v>
      </c>
      <c r="Y66" s="705"/>
      <c r="Z66" s="706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94" t="s">
        <v>333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DEL MES DE NOVIEMBRE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79" t="s">
        <v>120</v>
      </c>
      <c r="C4" s="102"/>
      <c r="D4" s="135"/>
      <c r="E4" s="935">
        <v>811.01</v>
      </c>
      <c r="F4" s="62">
        <v>28</v>
      </c>
      <c r="G4" s="796"/>
      <c r="L4" s="1479" t="s">
        <v>120</v>
      </c>
      <c r="M4" s="102"/>
      <c r="N4" s="135"/>
      <c r="O4" s="86">
        <v>32.69</v>
      </c>
      <c r="P4" s="73"/>
      <c r="Q4" s="917"/>
      <c r="V4" s="1479" t="s">
        <v>120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480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80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80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35">
        <f>F4+F5+F6-C8</f>
        <v>62</v>
      </c>
      <c r="C8" s="616">
        <v>36</v>
      </c>
      <c r="D8" s="622">
        <v>988.57</v>
      </c>
      <c r="E8" s="680">
        <v>44874</v>
      </c>
      <c r="F8" s="514">
        <f>D8</f>
        <v>988.57</v>
      </c>
      <c r="G8" s="515" t="s">
        <v>253</v>
      </c>
      <c r="H8" s="222">
        <v>92</v>
      </c>
      <c r="I8" s="814">
        <f>E4+E5+E6-F8</f>
        <v>1847.7999999999997</v>
      </c>
      <c r="K8" s="55"/>
      <c r="L8" s="835">
        <f>P4+P5+P6-M8</f>
        <v>65</v>
      </c>
      <c r="M8" s="616">
        <v>15</v>
      </c>
      <c r="N8" s="622">
        <v>349.17</v>
      </c>
      <c r="O8" s="680">
        <v>44932</v>
      </c>
      <c r="P8" s="514">
        <f>N8</f>
        <v>349.17</v>
      </c>
      <c r="Q8" s="515" t="s">
        <v>906</v>
      </c>
      <c r="R8" s="222">
        <v>78</v>
      </c>
      <c r="S8" s="814">
        <f>O4+O5+O6-P8</f>
        <v>1764.7800000000002</v>
      </c>
      <c r="U8" s="55"/>
      <c r="V8" s="1108">
        <f>Z4+Z5+Z6-W8</f>
        <v>120</v>
      </c>
      <c r="W8" s="616"/>
      <c r="X8" s="622"/>
      <c r="Y8" s="680"/>
      <c r="Z8" s="514">
        <f>X8</f>
        <v>0</v>
      </c>
      <c r="AA8" s="515"/>
      <c r="AB8" s="222"/>
      <c r="AC8" s="692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0">
        <v>44876</v>
      </c>
      <c r="F9" s="514">
        <f>D9</f>
        <v>92.86</v>
      </c>
      <c r="G9" s="541" t="s">
        <v>262</v>
      </c>
      <c r="H9" s="681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0">
        <v>44932</v>
      </c>
      <c r="P9" s="514">
        <f>N9</f>
        <v>244.71</v>
      </c>
      <c r="Q9" s="541" t="s">
        <v>906</v>
      </c>
      <c r="R9" s="681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0"/>
      <c r="Z9" s="514">
        <f>X9</f>
        <v>0</v>
      </c>
      <c r="AA9" s="541"/>
      <c r="AB9" s="681"/>
      <c r="AC9" s="132">
        <f>AC8-Z9</f>
        <v>2835.98</v>
      </c>
    </row>
    <row r="10" spans="1:29" x14ac:dyDescent="0.25">
      <c r="A10" s="75"/>
      <c r="B10" s="835">
        <f t="shared" ref="B10:B28" si="0">B9-C10</f>
        <v>54</v>
      </c>
      <c r="C10" s="617">
        <v>5</v>
      </c>
      <c r="D10" s="536">
        <v>144.91</v>
      </c>
      <c r="E10" s="680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14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0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0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01">
        <v>522.34</v>
      </c>
      <c r="E11" s="1002">
        <v>44900</v>
      </c>
      <c r="F11" s="1003">
        <f t="shared" si="1"/>
        <v>522.34</v>
      </c>
      <c r="G11" s="1004" t="s">
        <v>614</v>
      </c>
      <c r="H11" s="1005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0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0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01">
        <v>154.41999999999999</v>
      </c>
      <c r="E12" s="1002">
        <v>44901</v>
      </c>
      <c r="F12" s="1003">
        <f t="shared" si="1"/>
        <v>154.41999999999999</v>
      </c>
      <c r="G12" s="1004" t="s">
        <v>624</v>
      </c>
      <c r="H12" s="1005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0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0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01">
        <v>154.13</v>
      </c>
      <c r="E13" s="1002">
        <v>44907</v>
      </c>
      <c r="F13" s="1003">
        <f t="shared" si="1"/>
        <v>154.13</v>
      </c>
      <c r="G13" s="1004" t="s">
        <v>686</v>
      </c>
      <c r="H13" s="1005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0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0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01">
        <v>24.4</v>
      </c>
      <c r="E14" s="1002">
        <v>44917</v>
      </c>
      <c r="F14" s="1003">
        <f t="shared" si="1"/>
        <v>24.4</v>
      </c>
      <c r="G14" s="1004" t="s">
        <v>781</v>
      </c>
      <c r="H14" s="1005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0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0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01">
        <v>162.82</v>
      </c>
      <c r="E15" s="1002">
        <v>44918</v>
      </c>
      <c r="F15" s="1003">
        <f t="shared" si="1"/>
        <v>162.82</v>
      </c>
      <c r="G15" s="1004" t="s">
        <v>817</v>
      </c>
      <c r="H15" s="1005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0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0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01">
        <v>148.44</v>
      </c>
      <c r="E16" s="1002">
        <v>44930</v>
      </c>
      <c r="F16" s="1003">
        <f t="shared" si="1"/>
        <v>148.44</v>
      </c>
      <c r="G16" s="1004" t="s">
        <v>877</v>
      </c>
      <c r="H16" s="1006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0"/>
      <c r="P16" s="514">
        <f t="shared" si="4"/>
        <v>0</v>
      </c>
      <c r="Q16" s="541"/>
      <c r="R16" s="681"/>
      <c r="S16" s="132">
        <f t="shared" si="5"/>
        <v>1520.0700000000002</v>
      </c>
      <c r="V16" s="416">
        <f t="shared" si="6"/>
        <v>120</v>
      </c>
      <c r="W16" s="617"/>
      <c r="X16" s="536"/>
      <c r="Y16" s="680"/>
      <c r="Z16" s="514">
        <f t="shared" si="7"/>
        <v>0</v>
      </c>
      <c r="AA16" s="541"/>
      <c r="AB16" s="681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01">
        <v>410.79</v>
      </c>
      <c r="E17" s="1002">
        <v>44932</v>
      </c>
      <c r="F17" s="1003">
        <f t="shared" si="1"/>
        <v>410.79</v>
      </c>
      <c r="G17" s="1004" t="s">
        <v>906</v>
      </c>
      <c r="H17" s="1006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0"/>
      <c r="P17" s="514">
        <f t="shared" si="4"/>
        <v>0</v>
      </c>
      <c r="Q17" s="541"/>
      <c r="R17" s="681"/>
      <c r="S17" s="132">
        <f t="shared" si="5"/>
        <v>1520.0700000000002</v>
      </c>
      <c r="V17" s="416">
        <f t="shared" si="6"/>
        <v>120</v>
      </c>
      <c r="W17" s="617"/>
      <c r="X17" s="536"/>
      <c r="Y17" s="680"/>
      <c r="Z17" s="514">
        <f t="shared" si="7"/>
        <v>0</v>
      </c>
      <c r="AA17" s="541"/>
      <c r="AB17" s="681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01"/>
      <c r="E18" s="1002"/>
      <c r="F18" s="1003">
        <f t="shared" si="1"/>
        <v>0</v>
      </c>
      <c r="G18" s="1004"/>
      <c r="H18" s="1006"/>
      <c r="I18" s="132">
        <f t="shared" si="2"/>
        <v>32.6899999999996</v>
      </c>
      <c r="L18" s="416">
        <f t="shared" si="3"/>
        <v>55</v>
      </c>
      <c r="M18" s="617"/>
      <c r="N18" s="536"/>
      <c r="O18" s="680"/>
      <c r="P18" s="514">
        <f t="shared" si="4"/>
        <v>0</v>
      </c>
      <c r="Q18" s="541"/>
      <c r="R18" s="681"/>
      <c r="S18" s="132">
        <f t="shared" si="5"/>
        <v>1520.0700000000002</v>
      </c>
      <c r="V18" s="416">
        <f t="shared" si="6"/>
        <v>120</v>
      </c>
      <c r="W18" s="617"/>
      <c r="X18" s="536"/>
      <c r="Y18" s="680"/>
      <c r="Z18" s="514">
        <f t="shared" si="7"/>
        <v>0</v>
      </c>
      <c r="AA18" s="541"/>
      <c r="AB18" s="681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01"/>
      <c r="E19" s="1002"/>
      <c r="F19" s="1193">
        <v>32.69</v>
      </c>
      <c r="G19" s="1194"/>
      <c r="H19" s="1195"/>
      <c r="I19" s="1176">
        <f t="shared" si="2"/>
        <v>-3.979039320256561E-13</v>
      </c>
      <c r="L19" s="416">
        <f t="shared" si="3"/>
        <v>55</v>
      </c>
      <c r="M19" s="617"/>
      <c r="N19" s="536"/>
      <c r="O19" s="680"/>
      <c r="P19" s="514">
        <f t="shared" si="4"/>
        <v>0</v>
      </c>
      <c r="Q19" s="541"/>
      <c r="R19" s="681"/>
      <c r="S19" s="132">
        <f t="shared" si="5"/>
        <v>1520.0700000000002</v>
      </c>
      <c r="V19" s="416">
        <f t="shared" si="6"/>
        <v>120</v>
      </c>
      <c r="W19" s="617"/>
      <c r="X19" s="536"/>
      <c r="Y19" s="680"/>
      <c r="Z19" s="514">
        <f t="shared" si="7"/>
        <v>0</v>
      </c>
      <c r="AA19" s="541"/>
      <c r="AB19" s="681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01"/>
      <c r="E20" s="1002"/>
      <c r="F20" s="1193">
        <f t="shared" si="1"/>
        <v>0</v>
      </c>
      <c r="G20" s="1194"/>
      <c r="H20" s="1195"/>
      <c r="I20" s="1176">
        <f t="shared" si="2"/>
        <v>-3.979039320256561E-13</v>
      </c>
      <c r="L20" s="416">
        <f t="shared" si="3"/>
        <v>55</v>
      </c>
      <c r="M20" s="617"/>
      <c r="N20" s="536"/>
      <c r="O20" s="680"/>
      <c r="P20" s="514">
        <f t="shared" si="4"/>
        <v>0</v>
      </c>
      <c r="Q20" s="541"/>
      <c r="R20" s="681"/>
      <c r="S20" s="132">
        <f t="shared" si="5"/>
        <v>1520.0700000000002</v>
      </c>
      <c r="V20" s="416">
        <f t="shared" si="6"/>
        <v>120</v>
      </c>
      <c r="W20" s="617"/>
      <c r="X20" s="536"/>
      <c r="Y20" s="680"/>
      <c r="Z20" s="514">
        <f t="shared" si="7"/>
        <v>0</v>
      </c>
      <c r="AA20" s="541"/>
      <c r="AB20" s="681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01"/>
      <c r="E21" s="1002"/>
      <c r="F21" s="1193">
        <f t="shared" si="1"/>
        <v>0</v>
      </c>
      <c r="G21" s="1194"/>
      <c r="H21" s="1196"/>
      <c r="I21" s="1176">
        <f t="shared" si="2"/>
        <v>-3.979039320256561E-13</v>
      </c>
      <c r="L21" s="416">
        <f t="shared" si="3"/>
        <v>55</v>
      </c>
      <c r="M21" s="617"/>
      <c r="N21" s="536"/>
      <c r="O21" s="680"/>
      <c r="P21" s="514">
        <f t="shared" si="4"/>
        <v>0</v>
      </c>
      <c r="Q21" s="541"/>
      <c r="R21" s="745"/>
      <c r="S21" s="132">
        <f t="shared" si="5"/>
        <v>1520.0700000000002</v>
      </c>
      <c r="V21" s="416">
        <f t="shared" si="6"/>
        <v>120</v>
      </c>
      <c r="W21" s="617"/>
      <c r="X21" s="536"/>
      <c r="Y21" s="680"/>
      <c r="Z21" s="514">
        <f t="shared" si="7"/>
        <v>0</v>
      </c>
      <c r="AA21" s="541"/>
      <c r="AB21" s="745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01"/>
      <c r="E22" s="1002"/>
      <c r="F22" s="1193">
        <f t="shared" si="1"/>
        <v>0</v>
      </c>
      <c r="G22" s="1194"/>
      <c r="H22" s="1196"/>
      <c r="I22" s="1176">
        <f t="shared" si="2"/>
        <v>-3.979039320256561E-13</v>
      </c>
      <c r="L22" s="416">
        <f t="shared" si="3"/>
        <v>55</v>
      </c>
      <c r="M22" s="617"/>
      <c r="N22" s="536"/>
      <c r="O22" s="680"/>
      <c r="P22" s="514">
        <f t="shared" si="4"/>
        <v>0</v>
      </c>
      <c r="Q22" s="541"/>
      <c r="R22" s="745"/>
      <c r="S22" s="132">
        <f t="shared" si="5"/>
        <v>1520.0700000000002</v>
      </c>
      <c r="V22" s="416">
        <f t="shared" si="6"/>
        <v>120</v>
      </c>
      <c r="W22" s="617"/>
      <c r="X22" s="536"/>
      <c r="Y22" s="680"/>
      <c r="Z22" s="514">
        <f t="shared" si="7"/>
        <v>0</v>
      </c>
      <c r="AA22" s="541"/>
      <c r="AB22" s="745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01"/>
      <c r="E23" s="1002"/>
      <c r="F23" s="1003">
        <f t="shared" si="1"/>
        <v>0</v>
      </c>
      <c r="G23" s="1004"/>
      <c r="H23" s="1007"/>
      <c r="I23" s="132">
        <f t="shared" si="2"/>
        <v>-3.979039320256561E-13</v>
      </c>
      <c r="L23" s="416">
        <f t="shared" si="3"/>
        <v>55</v>
      </c>
      <c r="M23" s="617"/>
      <c r="N23" s="536"/>
      <c r="O23" s="680"/>
      <c r="P23" s="514">
        <f t="shared" si="4"/>
        <v>0</v>
      </c>
      <c r="Q23" s="541"/>
      <c r="R23" s="745"/>
      <c r="S23" s="132">
        <f t="shared" si="5"/>
        <v>1520.0700000000002</v>
      </c>
      <c r="V23" s="416">
        <f t="shared" si="6"/>
        <v>120</v>
      </c>
      <c r="W23" s="617"/>
      <c r="X23" s="536"/>
      <c r="Y23" s="680"/>
      <c r="Z23" s="514">
        <f t="shared" si="7"/>
        <v>0</v>
      </c>
      <c r="AA23" s="541"/>
      <c r="AB23" s="745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01"/>
      <c r="E24" s="1002"/>
      <c r="F24" s="1003">
        <f t="shared" si="1"/>
        <v>0</v>
      </c>
      <c r="G24" s="1004"/>
      <c r="H24" s="1007"/>
      <c r="I24" s="132">
        <f t="shared" si="2"/>
        <v>-3.979039320256561E-13</v>
      </c>
      <c r="L24" s="416">
        <f t="shared" si="3"/>
        <v>55</v>
      </c>
      <c r="M24" s="617"/>
      <c r="N24" s="536"/>
      <c r="O24" s="680"/>
      <c r="P24" s="514">
        <f t="shared" si="4"/>
        <v>0</v>
      </c>
      <c r="Q24" s="541"/>
      <c r="R24" s="745"/>
      <c r="S24" s="132">
        <f t="shared" si="5"/>
        <v>1520.0700000000002</v>
      </c>
      <c r="V24" s="416">
        <f t="shared" si="6"/>
        <v>120</v>
      </c>
      <c r="W24" s="617"/>
      <c r="X24" s="536"/>
      <c r="Y24" s="680"/>
      <c r="Z24" s="514">
        <f t="shared" si="7"/>
        <v>0</v>
      </c>
      <c r="AA24" s="541"/>
      <c r="AB24" s="745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01"/>
      <c r="E25" s="1002"/>
      <c r="F25" s="1003">
        <f t="shared" si="1"/>
        <v>0</v>
      </c>
      <c r="G25" s="1004"/>
      <c r="H25" s="1007"/>
      <c r="I25" s="132">
        <f t="shared" si="2"/>
        <v>-3.979039320256561E-13</v>
      </c>
      <c r="L25" s="416">
        <f t="shared" si="3"/>
        <v>55</v>
      </c>
      <c r="M25" s="617"/>
      <c r="N25" s="536"/>
      <c r="O25" s="680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0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01"/>
      <c r="E26" s="1002"/>
      <c r="F26" s="1003">
        <f t="shared" si="1"/>
        <v>0</v>
      </c>
      <c r="G26" s="1008"/>
      <c r="H26" s="1007"/>
      <c r="I26" s="132">
        <f t="shared" si="2"/>
        <v>-3.979039320256561E-13</v>
      </c>
      <c r="L26" s="416">
        <f t="shared" si="3"/>
        <v>55</v>
      </c>
      <c r="M26" s="617"/>
      <c r="N26" s="536"/>
      <c r="O26" s="680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0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2"/>
      <c r="E27" s="680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2"/>
      <c r="O27" s="680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2"/>
      <c r="Y27" s="680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2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2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2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3"/>
      <c r="E29" s="118"/>
      <c r="F29" s="14"/>
      <c r="G29" s="31"/>
      <c r="H29" s="17"/>
      <c r="L29" s="417"/>
      <c r="M29" s="617"/>
      <c r="N29" s="683"/>
      <c r="O29" s="118"/>
      <c r="P29" s="14"/>
      <c r="Q29" s="31"/>
      <c r="R29" s="17"/>
      <c r="V29" s="417"/>
      <c r="W29" s="617"/>
      <c r="X29" s="683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792" t="s">
        <v>21</v>
      </c>
      <c r="E33" s="793"/>
      <c r="F33" s="141">
        <f>E5-D32</f>
        <v>1927.36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2056.2600000000002</v>
      </c>
      <c r="Q33" s="75"/>
      <c r="R33" s="75"/>
      <c r="U33" s="75"/>
      <c r="V33" s="75"/>
      <c r="W33" s="75"/>
      <c r="X33" s="1042" t="s">
        <v>21</v>
      </c>
      <c r="Y33" s="104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794" t="s">
        <v>4</v>
      </c>
      <c r="E34" s="795"/>
      <c r="F34" s="49" t="e">
        <f>F4+F5-C32</f>
        <v>#REF!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55</v>
      </c>
      <c r="Q34" s="75"/>
      <c r="R34" s="75"/>
      <c r="U34" s="75"/>
      <c r="V34" s="75"/>
      <c r="W34" s="75"/>
      <c r="X34" s="1044" t="s">
        <v>4</v>
      </c>
      <c r="Y34" s="104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4" t="s">
        <v>334</v>
      </c>
      <c r="B1" s="1394"/>
      <c r="C1" s="1394"/>
      <c r="D1" s="1394"/>
      <c r="E1" s="1394"/>
      <c r="F1" s="1394"/>
      <c r="G1" s="13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144</v>
      </c>
      <c r="C4" s="102"/>
      <c r="D4" s="135"/>
      <c r="E4" s="86"/>
      <c r="F4" s="73"/>
      <c r="G4" s="237"/>
    </row>
    <row r="5" spans="1:9" x14ac:dyDescent="0.25">
      <c r="A5" s="1406" t="s">
        <v>97</v>
      </c>
      <c r="B5" s="148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406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14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39">
        <v>13.61</v>
      </c>
      <c r="E9" s="587">
        <v>44840</v>
      </c>
      <c r="F9" s="739">
        <f t="shared" si="0"/>
        <v>13.61</v>
      </c>
      <c r="G9" s="746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45">
        <f t="shared" ref="B10:B26" si="1">B9-C10</f>
        <v>141</v>
      </c>
      <c r="C10" s="15">
        <v>2</v>
      </c>
      <c r="D10" s="739">
        <v>27.22</v>
      </c>
      <c r="E10" s="587">
        <v>44846</v>
      </c>
      <c r="F10" s="739">
        <f t="shared" si="0"/>
        <v>27.22</v>
      </c>
      <c r="G10" s="747" t="s">
        <v>191</v>
      </c>
      <c r="H10" s="748">
        <v>57</v>
      </c>
      <c r="I10" s="814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09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09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09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09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09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09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09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09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09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09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09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09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09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10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02"/>
      <c r="F30" s="6"/>
    </row>
    <row r="31" spans="1:9" ht="15.75" thickBot="1" x14ac:dyDescent="0.3">
      <c r="B31" s="74"/>
      <c r="C31" s="87"/>
      <c r="D31" s="76"/>
      <c r="E31" s="803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83</v>
      </c>
      <c r="C4" s="102"/>
      <c r="D4" s="135"/>
      <c r="E4" s="86"/>
      <c r="F4" s="73"/>
      <c r="G4" s="237"/>
    </row>
    <row r="5" spans="1:9" x14ac:dyDescent="0.25">
      <c r="A5" s="75"/>
      <c r="B5" s="1482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/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9" t="s">
        <v>101</v>
      </c>
      <c r="C4" s="102"/>
      <c r="D4" s="135"/>
      <c r="E4" s="86"/>
      <c r="F4" s="73"/>
      <c r="G4" s="237"/>
    </row>
    <row r="5" spans="1:9" x14ac:dyDescent="0.25">
      <c r="A5" s="1399"/>
      <c r="B5" s="148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99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3" t="s">
        <v>102</v>
      </c>
      <c r="C4" s="102"/>
      <c r="D4" s="135"/>
      <c r="E4" s="86"/>
      <c r="F4" s="73"/>
      <c r="G4" s="237"/>
    </row>
    <row r="5" spans="1:9" x14ac:dyDescent="0.25">
      <c r="A5" s="1399" t="s">
        <v>506</v>
      </c>
      <c r="B5" s="1484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99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98" t="s">
        <v>498</v>
      </c>
      <c r="B1" s="1398"/>
      <c r="C1" s="1398"/>
      <c r="D1" s="1398"/>
      <c r="E1" s="1398"/>
      <c r="F1" s="1398"/>
      <c r="G1" s="13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400"/>
      <c r="C5" s="391"/>
      <c r="D5" s="134"/>
      <c r="E5" s="208"/>
      <c r="F5" s="62"/>
      <c r="G5" s="5"/>
    </row>
    <row r="6" spans="1:9" ht="20.25" x14ac:dyDescent="0.3">
      <c r="A6" s="1134" t="s">
        <v>52</v>
      </c>
      <c r="B6" s="1400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96" t="s">
        <v>11</v>
      </c>
      <c r="D83" s="1397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4" t="s">
        <v>320</v>
      </c>
      <c r="B1" s="1394"/>
      <c r="C1" s="1394"/>
      <c r="D1" s="1394"/>
      <c r="E1" s="1394"/>
      <c r="F1" s="1394"/>
      <c r="G1" s="1394"/>
      <c r="H1" s="11">
        <v>1</v>
      </c>
      <c r="K1" s="1394" t="str">
        <f>A1</f>
        <v>INVENTARIO   DEL MES DE    NOVIEMBRE 2022</v>
      </c>
      <c r="L1" s="1394"/>
      <c r="M1" s="1394"/>
      <c r="N1" s="1394"/>
      <c r="O1" s="1394"/>
      <c r="P1" s="1394"/>
      <c r="Q1" s="1394"/>
      <c r="R1" s="11">
        <v>2</v>
      </c>
      <c r="U1" s="1398" t="s">
        <v>339</v>
      </c>
      <c r="V1" s="1398"/>
      <c r="W1" s="1398"/>
      <c r="X1" s="1398"/>
      <c r="Y1" s="1398"/>
      <c r="Z1" s="1398"/>
      <c r="AA1" s="139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401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401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401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401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401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401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0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09">
        <f>E6-F9+E5+E7+E4</f>
        <v>511.01000000000005</v>
      </c>
      <c r="K9" s="80" t="s">
        <v>32</v>
      </c>
      <c r="L9" s="810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09">
        <f>O6-P9+O5+O7+O4</f>
        <v>496.03999999999996</v>
      </c>
      <c r="U9" s="80" t="s">
        <v>32</v>
      </c>
      <c r="V9" s="881">
        <f>Z6-W9+Z5+Z7+Z4</f>
        <v>78</v>
      </c>
      <c r="W9" s="806">
        <v>15</v>
      </c>
      <c r="X9" s="697">
        <v>180.93</v>
      </c>
      <c r="Y9" s="727">
        <v>44925</v>
      </c>
      <c r="Z9" s="697">
        <f>X9</f>
        <v>180.93</v>
      </c>
      <c r="AA9" s="695" t="s">
        <v>853</v>
      </c>
      <c r="AB9" s="696">
        <v>98</v>
      </c>
      <c r="AC9" s="731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24">
        <v>12.2</v>
      </c>
      <c r="E10" s="825">
        <v>44872</v>
      </c>
      <c r="F10" s="824">
        <f>D10</f>
        <v>12.2</v>
      </c>
      <c r="G10" s="826" t="s">
        <v>247</v>
      </c>
      <c r="H10" s="827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24">
        <v>118.47</v>
      </c>
      <c r="E11" s="825">
        <v>44872</v>
      </c>
      <c r="F11" s="824">
        <f>D11</f>
        <v>118.47</v>
      </c>
      <c r="G11" s="826" t="s">
        <v>249</v>
      </c>
      <c r="H11" s="827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24">
        <v>59.94</v>
      </c>
      <c r="E12" s="825">
        <v>44876</v>
      </c>
      <c r="F12" s="824">
        <f>D12</f>
        <v>59.94</v>
      </c>
      <c r="G12" s="826" t="s">
        <v>261</v>
      </c>
      <c r="H12" s="827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24">
        <v>119.76</v>
      </c>
      <c r="E13" s="825">
        <v>44882</v>
      </c>
      <c r="F13" s="824">
        <f t="shared" ref="F13:F45" si="6">D13</f>
        <v>119.76</v>
      </c>
      <c r="G13" s="826" t="s">
        <v>281</v>
      </c>
      <c r="H13" s="827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0">
        <f t="shared" si="0"/>
        <v>9</v>
      </c>
      <c r="C14" s="15">
        <v>8</v>
      </c>
      <c r="D14" s="824">
        <v>94.28</v>
      </c>
      <c r="E14" s="825">
        <v>44887</v>
      </c>
      <c r="F14" s="824">
        <f t="shared" si="6"/>
        <v>94.28</v>
      </c>
      <c r="G14" s="826" t="s">
        <v>294</v>
      </c>
      <c r="H14" s="827">
        <v>98</v>
      </c>
      <c r="I14" s="809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6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6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57">
        <f t="shared" si="7"/>
        <v>0</v>
      </c>
      <c r="Q16" s="1158"/>
      <c r="R16" s="1159"/>
      <c r="S16" s="1155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6"/>
      <c r="F17" s="1152">
        <v>106.36</v>
      </c>
      <c r="G17" s="1153"/>
      <c r="H17" s="1154"/>
      <c r="I17" s="1155">
        <f t="shared" si="1"/>
        <v>0</v>
      </c>
      <c r="L17" s="83">
        <f t="shared" si="2"/>
        <v>0</v>
      </c>
      <c r="M17" s="15">
        <v>9</v>
      </c>
      <c r="N17" s="69"/>
      <c r="O17" s="202"/>
      <c r="P17" s="1157">
        <v>107.07</v>
      </c>
      <c r="Q17" s="1158"/>
      <c r="R17" s="1159"/>
      <c r="S17" s="1155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6"/>
      <c r="F18" s="1152">
        <f t="shared" si="6"/>
        <v>0</v>
      </c>
      <c r="G18" s="1153"/>
      <c r="H18" s="1154"/>
      <c r="I18" s="1155">
        <f t="shared" si="1"/>
        <v>0</v>
      </c>
      <c r="K18" s="122"/>
      <c r="L18" s="83">
        <f t="shared" si="2"/>
        <v>0</v>
      </c>
      <c r="M18" s="15"/>
      <c r="N18" s="69"/>
      <c r="O18" s="202"/>
      <c r="P18" s="1157">
        <f t="shared" si="7"/>
        <v>0</v>
      </c>
      <c r="Q18" s="1158"/>
      <c r="R18" s="1159"/>
      <c r="S18" s="1155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6"/>
      <c r="F19" s="1152">
        <f t="shared" si="6"/>
        <v>0</v>
      </c>
      <c r="G19" s="1153"/>
      <c r="H19" s="1154"/>
      <c r="I19" s="1155">
        <f t="shared" si="1"/>
        <v>0</v>
      </c>
      <c r="K19" s="122"/>
      <c r="L19" s="83">
        <f t="shared" si="2"/>
        <v>0</v>
      </c>
      <c r="M19" s="15"/>
      <c r="N19" s="69"/>
      <c r="O19" s="202"/>
      <c r="P19" s="1157">
        <f t="shared" si="7"/>
        <v>0</v>
      </c>
      <c r="Q19" s="1158"/>
      <c r="R19" s="1159"/>
      <c r="S19" s="1155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6"/>
      <c r="F20" s="1152">
        <f t="shared" si="6"/>
        <v>0</v>
      </c>
      <c r="G20" s="1153"/>
      <c r="H20" s="1154"/>
      <c r="I20" s="1155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6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6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6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6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6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6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6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6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6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6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6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96" t="s">
        <v>11</v>
      </c>
      <c r="D53" s="1397"/>
      <c r="E53" s="57">
        <f>E5+E6-F48+E7</f>
        <v>-11.809999999999945</v>
      </c>
      <c r="F53" s="73"/>
      <c r="M53" s="1396" t="s">
        <v>11</v>
      </c>
      <c r="N53" s="1397"/>
      <c r="O53" s="57">
        <f>O5+O6-P48+O7</f>
        <v>-1.1368683772161603E-13</v>
      </c>
      <c r="P53" s="73"/>
      <c r="W53" s="1396" t="s">
        <v>11</v>
      </c>
      <c r="X53" s="1397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98" t="s">
        <v>339</v>
      </c>
      <c r="B1" s="1398"/>
      <c r="C1" s="1398"/>
      <c r="D1" s="1398"/>
      <c r="E1" s="1398"/>
      <c r="F1" s="1398"/>
      <c r="G1" s="1398"/>
      <c r="H1" s="11">
        <v>1</v>
      </c>
      <c r="K1" s="1398" t="s">
        <v>339</v>
      </c>
      <c r="L1" s="1398"/>
      <c r="M1" s="1398"/>
      <c r="N1" s="1398"/>
      <c r="O1" s="1398"/>
      <c r="P1" s="1398"/>
      <c r="Q1" s="139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1">
        <v>44894</v>
      </c>
      <c r="E4" s="1013">
        <v>248.57</v>
      </c>
      <c r="F4" s="867">
        <v>21</v>
      </c>
      <c r="G4" s="155"/>
      <c r="H4" s="155"/>
      <c r="K4" s="12"/>
      <c r="L4" s="12"/>
      <c r="M4" s="391">
        <v>90</v>
      </c>
      <c r="N4" s="711">
        <v>44930</v>
      </c>
      <c r="O4" s="1013">
        <v>482.79</v>
      </c>
      <c r="P4" s="867">
        <v>41</v>
      </c>
      <c r="Q4" s="155"/>
      <c r="R4" s="155"/>
    </row>
    <row r="5" spans="1:19" ht="15.75" customHeight="1" x14ac:dyDescent="0.25">
      <c r="A5" s="225" t="s">
        <v>62</v>
      </c>
      <c r="B5" s="1402" t="s">
        <v>72</v>
      </c>
      <c r="C5" s="588">
        <v>85</v>
      </c>
      <c r="D5" s="1011">
        <v>44897</v>
      </c>
      <c r="E5" s="838">
        <v>106.18</v>
      </c>
      <c r="F5" s="867">
        <v>9</v>
      </c>
      <c r="G5" s="5"/>
      <c r="K5" s="225" t="s">
        <v>62</v>
      </c>
      <c r="L5" s="1402" t="s">
        <v>72</v>
      </c>
      <c r="M5" s="588"/>
      <c r="N5" s="1011"/>
      <c r="O5" s="838"/>
      <c r="P5" s="867"/>
      <c r="Q5" s="5"/>
    </row>
    <row r="6" spans="1:19" x14ac:dyDescent="0.25">
      <c r="A6" s="225"/>
      <c r="B6" s="1402"/>
      <c r="C6" s="391">
        <v>85</v>
      </c>
      <c r="D6" s="711">
        <v>44911</v>
      </c>
      <c r="E6" s="1012">
        <v>508.54</v>
      </c>
      <c r="F6" s="867">
        <v>43</v>
      </c>
      <c r="G6" s="47">
        <f>F42</f>
        <v>863.29</v>
      </c>
      <c r="H6" s="7">
        <f>E6-G6+E7+E5-G5+E4</f>
        <v>0</v>
      </c>
      <c r="K6" s="225"/>
      <c r="L6" s="1402"/>
      <c r="M6" s="391"/>
      <c r="N6" s="711"/>
      <c r="O6" s="1012"/>
      <c r="P6" s="867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1"/>
      <c r="E7" s="1013"/>
      <c r="F7" s="867"/>
      <c r="L7" s="19"/>
      <c r="M7" s="391"/>
      <c r="N7" s="711"/>
      <c r="O7" s="1013"/>
      <c r="P7" s="86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81">
        <f>F6-C9+F5+F7+F4</f>
        <v>63</v>
      </c>
      <c r="C9" s="806">
        <v>10</v>
      </c>
      <c r="D9" s="697">
        <v>117.59</v>
      </c>
      <c r="E9" s="727">
        <v>44894</v>
      </c>
      <c r="F9" s="697">
        <f t="shared" ref="F9:F40" si="0">D9</f>
        <v>117.59</v>
      </c>
      <c r="G9" s="695" t="s">
        <v>574</v>
      </c>
      <c r="H9" s="696">
        <v>90</v>
      </c>
      <c r="I9" s="731">
        <f>E6-F9+E5+E7+E4</f>
        <v>745.7</v>
      </c>
      <c r="K9" s="80" t="s">
        <v>32</v>
      </c>
      <c r="L9" s="881">
        <f>P6-M9+P5+P7+P4</f>
        <v>29</v>
      </c>
      <c r="M9" s="709">
        <v>12</v>
      </c>
      <c r="N9" s="697">
        <v>144.46</v>
      </c>
      <c r="O9" s="727">
        <v>44930</v>
      </c>
      <c r="P9" s="697">
        <f t="shared" ref="P9" si="1">N9</f>
        <v>144.46</v>
      </c>
      <c r="Q9" s="695" t="s">
        <v>876</v>
      </c>
      <c r="R9" s="696">
        <v>90</v>
      </c>
      <c r="S9" s="731">
        <f>O6-P9+O5+O7+O4</f>
        <v>338.33000000000004</v>
      </c>
    </row>
    <row r="10" spans="1:19" x14ac:dyDescent="0.25">
      <c r="A10" s="194"/>
      <c r="B10" s="881">
        <f>B9-C10</f>
        <v>53</v>
      </c>
      <c r="C10" s="709">
        <v>10</v>
      </c>
      <c r="D10" s="697">
        <v>119.28</v>
      </c>
      <c r="E10" s="727">
        <v>44896</v>
      </c>
      <c r="F10" s="697">
        <f t="shared" si="0"/>
        <v>119.28</v>
      </c>
      <c r="G10" s="695" t="s">
        <v>593</v>
      </c>
      <c r="H10" s="696">
        <v>90</v>
      </c>
      <c r="I10" s="731">
        <f>I9-F10</f>
        <v>626.42000000000007</v>
      </c>
      <c r="K10" s="194"/>
      <c r="L10" s="881">
        <f>L9-M10</f>
        <v>17</v>
      </c>
      <c r="M10" s="709">
        <v>12</v>
      </c>
      <c r="N10" s="697">
        <v>139.57</v>
      </c>
      <c r="O10" s="727">
        <v>44932</v>
      </c>
      <c r="P10" s="697">
        <f t="shared" ref="P10:P40" si="2">N10</f>
        <v>139.57</v>
      </c>
      <c r="Q10" s="695" t="s">
        <v>902</v>
      </c>
      <c r="R10" s="696">
        <v>90</v>
      </c>
      <c r="S10" s="731">
        <f>S9-P10</f>
        <v>198.76000000000005</v>
      </c>
    </row>
    <row r="11" spans="1:19" x14ac:dyDescent="0.25">
      <c r="A11" s="182"/>
      <c r="B11" s="881">
        <f t="shared" ref="B11:B40" si="3">B10-C11</f>
        <v>44</v>
      </c>
      <c r="C11" s="709">
        <v>9</v>
      </c>
      <c r="D11" s="697">
        <v>106.18</v>
      </c>
      <c r="E11" s="727">
        <v>44897</v>
      </c>
      <c r="F11" s="697">
        <f t="shared" si="0"/>
        <v>106.18</v>
      </c>
      <c r="G11" s="695" t="s">
        <v>597</v>
      </c>
      <c r="H11" s="696">
        <v>90</v>
      </c>
      <c r="I11" s="731">
        <f t="shared" ref="I11:I40" si="4">I10-F11</f>
        <v>520.24</v>
      </c>
      <c r="K11" s="182"/>
      <c r="L11" s="881">
        <f t="shared" ref="L11:L40" si="5">L10-M11</f>
        <v>11</v>
      </c>
      <c r="M11" s="709">
        <v>6</v>
      </c>
      <c r="N11" s="697">
        <v>69.27</v>
      </c>
      <c r="O11" s="727">
        <v>44933</v>
      </c>
      <c r="P11" s="697">
        <f t="shared" si="2"/>
        <v>69.27</v>
      </c>
      <c r="Q11" s="695" t="s">
        <v>910</v>
      </c>
      <c r="R11" s="696">
        <v>90</v>
      </c>
      <c r="S11" s="731">
        <f t="shared" ref="S11:S40" si="6">S10-P11</f>
        <v>129.49000000000007</v>
      </c>
    </row>
    <row r="12" spans="1:19" x14ac:dyDescent="0.25">
      <c r="A12" s="182"/>
      <c r="B12" s="881">
        <f t="shared" si="3"/>
        <v>43</v>
      </c>
      <c r="C12" s="709">
        <v>1</v>
      </c>
      <c r="D12" s="697">
        <v>11.7</v>
      </c>
      <c r="E12" s="727">
        <v>44905</v>
      </c>
      <c r="F12" s="697">
        <f t="shared" si="0"/>
        <v>11.7</v>
      </c>
      <c r="G12" s="695" t="s">
        <v>676</v>
      </c>
      <c r="H12" s="696">
        <v>90</v>
      </c>
      <c r="I12" s="731">
        <f t="shared" si="4"/>
        <v>508.54</v>
      </c>
      <c r="K12" s="182"/>
      <c r="L12" s="881">
        <f t="shared" si="5"/>
        <v>11</v>
      </c>
      <c r="M12" s="709"/>
      <c r="N12" s="697"/>
      <c r="O12" s="727"/>
      <c r="P12" s="697">
        <f t="shared" si="2"/>
        <v>0</v>
      </c>
      <c r="Q12" s="695"/>
      <c r="R12" s="696"/>
      <c r="S12" s="731">
        <f t="shared" si="6"/>
        <v>129.49000000000007</v>
      </c>
    </row>
    <row r="13" spans="1:19" x14ac:dyDescent="0.25">
      <c r="A13" s="82" t="s">
        <v>33</v>
      </c>
      <c r="B13" s="881">
        <f t="shared" si="3"/>
        <v>33</v>
      </c>
      <c r="C13" s="709">
        <v>10</v>
      </c>
      <c r="D13" s="697">
        <v>119.37</v>
      </c>
      <c r="E13" s="727">
        <v>44911</v>
      </c>
      <c r="F13" s="697">
        <f t="shared" si="0"/>
        <v>119.37</v>
      </c>
      <c r="G13" s="695" t="s">
        <v>735</v>
      </c>
      <c r="H13" s="696">
        <v>90</v>
      </c>
      <c r="I13" s="731">
        <f t="shared" si="4"/>
        <v>389.17</v>
      </c>
      <c r="K13" s="82" t="s">
        <v>33</v>
      </c>
      <c r="L13" s="881">
        <f t="shared" si="5"/>
        <v>11</v>
      </c>
      <c r="M13" s="709"/>
      <c r="N13" s="697"/>
      <c r="O13" s="727"/>
      <c r="P13" s="697">
        <f t="shared" si="2"/>
        <v>0</v>
      </c>
      <c r="Q13" s="695"/>
      <c r="R13" s="696"/>
      <c r="S13" s="731">
        <f t="shared" si="6"/>
        <v>129.49000000000007</v>
      </c>
    </row>
    <row r="14" spans="1:19" x14ac:dyDescent="0.25">
      <c r="A14" s="73"/>
      <c r="B14" s="881">
        <f t="shared" si="3"/>
        <v>13</v>
      </c>
      <c r="C14" s="709">
        <v>20</v>
      </c>
      <c r="D14" s="697">
        <v>235.09</v>
      </c>
      <c r="E14" s="727">
        <v>44915</v>
      </c>
      <c r="F14" s="697">
        <f t="shared" si="0"/>
        <v>235.09</v>
      </c>
      <c r="G14" s="695" t="s">
        <v>763</v>
      </c>
      <c r="H14" s="696">
        <v>90</v>
      </c>
      <c r="I14" s="731">
        <f t="shared" si="4"/>
        <v>154.08000000000001</v>
      </c>
      <c r="K14" s="73"/>
      <c r="L14" s="881">
        <f t="shared" si="5"/>
        <v>11</v>
      </c>
      <c r="M14" s="709"/>
      <c r="N14" s="697"/>
      <c r="O14" s="727"/>
      <c r="P14" s="697">
        <f t="shared" si="2"/>
        <v>0</v>
      </c>
      <c r="Q14" s="695"/>
      <c r="R14" s="696"/>
      <c r="S14" s="731">
        <f t="shared" si="6"/>
        <v>129.49000000000007</v>
      </c>
    </row>
    <row r="15" spans="1:19" x14ac:dyDescent="0.25">
      <c r="A15" s="73"/>
      <c r="B15" s="881">
        <f t="shared" si="3"/>
        <v>1</v>
      </c>
      <c r="C15" s="709">
        <v>12</v>
      </c>
      <c r="D15" s="697">
        <v>142.27000000000001</v>
      </c>
      <c r="E15" s="727">
        <v>44924</v>
      </c>
      <c r="F15" s="697">
        <f t="shared" si="0"/>
        <v>142.27000000000001</v>
      </c>
      <c r="G15" s="695" t="s">
        <v>849</v>
      </c>
      <c r="H15" s="696">
        <v>90</v>
      </c>
      <c r="I15" s="731">
        <f t="shared" si="4"/>
        <v>11.810000000000002</v>
      </c>
      <c r="K15" s="73"/>
      <c r="L15" s="881">
        <f t="shared" si="5"/>
        <v>11</v>
      </c>
      <c r="M15" s="709"/>
      <c r="N15" s="697"/>
      <c r="O15" s="727"/>
      <c r="P15" s="697">
        <f t="shared" si="2"/>
        <v>0</v>
      </c>
      <c r="Q15" s="695"/>
      <c r="R15" s="696"/>
      <c r="S15" s="731">
        <f t="shared" si="6"/>
        <v>129.49000000000007</v>
      </c>
    </row>
    <row r="16" spans="1:19" x14ac:dyDescent="0.25">
      <c r="B16" s="881">
        <f t="shared" si="3"/>
        <v>0</v>
      </c>
      <c r="C16" s="709">
        <v>1</v>
      </c>
      <c r="D16" s="697">
        <v>11.81</v>
      </c>
      <c r="E16" s="727">
        <v>44924</v>
      </c>
      <c r="F16" s="697">
        <f t="shared" si="0"/>
        <v>11.81</v>
      </c>
      <c r="G16" s="695" t="s">
        <v>849</v>
      </c>
      <c r="H16" s="696">
        <v>90</v>
      </c>
      <c r="I16" s="731">
        <f t="shared" si="4"/>
        <v>0</v>
      </c>
      <c r="L16" s="881">
        <f t="shared" si="5"/>
        <v>11</v>
      </c>
      <c r="M16" s="709"/>
      <c r="N16" s="697"/>
      <c r="O16" s="727"/>
      <c r="P16" s="697">
        <f t="shared" si="2"/>
        <v>0</v>
      </c>
      <c r="Q16" s="695"/>
      <c r="R16" s="696"/>
      <c r="S16" s="731">
        <f t="shared" si="6"/>
        <v>129.49000000000007</v>
      </c>
    </row>
    <row r="17" spans="1:19" x14ac:dyDescent="0.25">
      <c r="B17" s="881">
        <f t="shared" si="3"/>
        <v>0</v>
      </c>
      <c r="C17" s="709"/>
      <c r="D17" s="697"/>
      <c r="E17" s="727"/>
      <c r="F17" s="1157">
        <f t="shared" si="0"/>
        <v>0</v>
      </c>
      <c r="G17" s="1158"/>
      <c r="H17" s="1159"/>
      <c r="I17" s="1155">
        <f t="shared" si="4"/>
        <v>0</v>
      </c>
      <c r="L17" s="881">
        <f t="shared" si="5"/>
        <v>11</v>
      </c>
      <c r="M17" s="709"/>
      <c r="N17" s="697"/>
      <c r="O17" s="727"/>
      <c r="P17" s="697">
        <f t="shared" si="2"/>
        <v>0</v>
      </c>
      <c r="Q17" s="695"/>
      <c r="R17" s="696"/>
      <c r="S17" s="731">
        <f t="shared" si="6"/>
        <v>129.49000000000007</v>
      </c>
    </row>
    <row r="18" spans="1:19" x14ac:dyDescent="0.25">
      <c r="A18" s="122"/>
      <c r="B18" s="881">
        <f t="shared" si="3"/>
        <v>0</v>
      </c>
      <c r="C18" s="709"/>
      <c r="D18" s="697"/>
      <c r="E18" s="727"/>
      <c r="F18" s="1157">
        <f t="shared" si="0"/>
        <v>0</v>
      </c>
      <c r="G18" s="1158"/>
      <c r="H18" s="1159"/>
      <c r="I18" s="1155">
        <f t="shared" si="4"/>
        <v>0</v>
      </c>
      <c r="K18" s="122"/>
      <c r="L18" s="881">
        <f t="shared" si="5"/>
        <v>11</v>
      </c>
      <c r="M18" s="709"/>
      <c r="N18" s="697"/>
      <c r="O18" s="727"/>
      <c r="P18" s="697">
        <f t="shared" si="2"/>
        <v>0</v>
      </c>
      <c r="Q18" s="695"/>
      <c r="R18" s="696"/>
      <c r="S18" s="731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57">
        <f t="shared" si="0"/>
        <v>0</v>
      </c>
      <c r="G19" s="1158"/>
      <c r="H19" s="1159"/>
      <c r="I19" s="1155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96" t="s">
        <v>11</v>
      </c>
      <c r="D47" s="1397"/>
      <c r="E47" s="57">
        <f>E5+E6-F42+E7</f>
        <v>-248.56999999999994</v>
      </c>
      <c r="F47" s="73"/>
      <c r="M47" s="1396" t="s">
        <v>11</v>
      </c>
      <c r="N47" s="1397"/>
      <c r="O47" s="57">
        <f>O5+O6-P42+O7</f>
        <v>-353.29999999999995</v>
      </c>
      <c r="P47" s="73"/>
    </row>
    <row r="50" spans="1:17" x14ac:dyDescent="0.25">
      <c r="A50" s="225"/>
      <c r="B50" s="1399"/>
      <c r="C50" s="482"/>
      <c r="D50" s="231"/>
      <c r="E50" s="78"/>
      <c r="F50" s="62"/>
      <c r="G50" s="5"/>
      <c r="K50" s="225"/>
      <c r="L50" s="1399"/>
      <c r="M50" s="482"/>
      <c r="N50" s="231"/>
      <c r="O50" s="78"/>
      <c r="P50" s="62"/>
      <c r="Q50" s="5"/>
    </row>
    <row r="51" spans="1:17" x14ac:dyDescent="0.25">
      <c r="A51" s="225"/>
      <c r="B51" s="1399"/>
      <c r="C51" s="391"/>
      <c r="D51" s="134"/>
      <c r="E51" s="208"/>
      <c r="F51" s="62"/>
      <c r="G51" s="47"/>
      <c r="K51" s="225"/>
      <c r="L51" s="1399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94" t="s">
        <v>226</v>
      </c>
      <c r="B1" s="1394"/>
      <c r="C1" s="1394"/>
      <c r="D1" s="1394"/>
      <c r="E1" s="1394"/>
      <c r="F1" s="1394"/>
      <c r="G1" s="1394"/>
      <c r="H1" s="11">
        <v>1</v>
      </c>
      <c r="K1" s="1398" t="s">
        <v>338</v>
      </c>
      <c r="L1" s="1398"/>
      <c r="M1" s="1398"/>
      <c r="N1" s="1398"/>
      <c r="O1" s="1398"/>
      <c r="P1" s="1398"/>
      <c r="Q1" s="1398"/>
      <c r="R1" s="11">
        <v>2</v>
      </c>
      <c r="U1" s="1398" t="s">
        <v>338</v>
      </c>
      <c r="V1" s="1398"/>
      <c r="W1" s="1398"/>
      <c r="X1" s="1398"/>
      <c r="Y1" s="1398"/>
      <c r="Z1" s="1398"/>
      <c r="AA1" s="139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400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400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400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400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400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400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73">
        <f>B9-C10</f>
        <v>114</v>
      </c>
      <c r="C10" s="806">
        <v>10</v>
      </c>
      <c r="D10" s="697">
        <v>122.47</v>
      </c>
      <c r="E10" s="727">
        <v>44877</v>
      </c>
      <c r="F10" s="697">
        <f t="shared" ref="F10:F72" si="3">D10</f>
        <v>122.47</v>
      </c>
      <c r="G10" s="695" t="s">
        <v>268</v>
      </c>
      <c r="H10" s="696">
        <v>101</v>
      </c>
      <c r="I10" s="731">
        <f>I9-F10</f>
        <v>1363.1699999999998</v>
      </c>
      <c r="K10" s="194"/>
      <c r="L10" s="873">
        <f>L9-M10</f>
        <v>160</v>
      </c>
      <c r="M10" s="806">
        <v>1</v>
      </c>
      <c r="N10" s="697">
        <v>11.7</v>
      </c>
      <c r="O10" s="727">
        <v>44904</v>
      </c>
      <c r="P10" s="697">
        <f t="shared" si="1"/>
        <v>11.7</v>
      </c>
      <c r="Q10" s="695" t="s">
        <v>657</v>
      </c>
      <c r="R10" s="696">
        <v>101</v>
      </c>
      <c r="S10" s="731">
        <f>S9-P10</f>
        <v>1940.53</v>
      </c>
      <c r="U10" s="194"/>
      <c r="V10" s="873">
        <f>V9-W10</f>
        <v>27</v>
      </c>
      <c r="W10" s="806"/>
      <c r="X10" s="697"/>
      <c r="Y10" s="727"/>
      <c r="Z10" s="697">
        <f t="shared" si="2"/>
        <v>0</v>
      </c>
      <c r="AA10" s="695"/>
      <c r="AB10" s="696"/>
      <c r="AC10" s="731">
        <f>AC9-Z10</f>
        <v>330.75</v>
      </c>
    </row>
    <row r="11" spans="1:29" x14ac:dyDescent="0.25">
      <c r="A11" s="182"/>
      <c r="B11" s="873">
        <f t="shared" ref="B11:B74" si="4">B10-C11</f>
        <v>104</v>
      </c>
      <c r="C11" s="806">
        <v>10</v>
      </c>
      <c r="D11" s="697">
        <v>120.75</v>
      </c>
      <c r="E11" s="727">
        <v>44877</v>
      </c>
      <c r="F11" s="697">
        <f t="shared" si="3"/>
        <v>120.75</v>
      </c>
      <c r="G11" s="695" t="s">
        <v>270</v>
      </c>
      <c r="H11" s="696">
        <v>101</v>
      </c>
      <c r="I11" s="731">
        <f t="shared" ref="I11:I74" si="5">I10-F11</f>
        <v>1242.4199999999998</v>
      </c>
      <c r="K11" s="182"/>
      <c r="L11" s="873">
        <f t="shared" ref="L11:L74" si="6">L10-M11</f>
        <v>140</v>
      </c>
      <c r="M11" s="806">
        <v>20</v>
      </c>
      <c r="N11" s="697">
        <v>243.42</v>
      </c>
      <c r="O11" s="727">
        <v>44905</v>
      </c>
      <c r="P11" s="697">
        <f t="shared" si="1"/>
        <v>243.42</v>
      </c>
      <c r="Q11" s="695" t="s">
        <v>666</v>
      </c>
      <c r="R11" s="696">
        <v>101</v>
      </c>
      <c r="S11" s="731">
        <f t="shared" ref="S11:S74" si="7">S10-P11</f>
        <v>1697.11</v>
      </c>
      <c r="U11" s="182"/>
      <c r="V11" s="873">
        <f t="shared" ref="V11:V74" si="8">V10-W11</f>
        <v>27</v>
      </c>
      <c r="W11" s="806"/>
      <c r="X11" s="697"/>
      <c r="Y11" s="727"/>
      <c r="Z11" s="697">
        <f t="shared" si="2"/>
        <v>0</v>
      </c>
      <c r="AA11" s="695"/>
      <c r="AB11" s="696"/>
      <c r="AC11" s="731">
        <f t="shared" ref="AC11:AC74" si="9">AC10-Z11</f>
        <v>330.75</v>
      </c>
    </row>
    <row r="12" spans="1:29" x14ac:dyDescent="0.25">
      <c r="A12" s="182"/>
      <c r="B12" s="873">
        <f t="shared" si="4"/>
        <v>94</v>
      </c>
      <c r="C12" s="806">
        <v>10</v>
      </c>
      <c r="D12" s="697">
        <v>116.04</v>
      </c>
      <c r="E12" s="727">
        <v>44879</v>
      </c>
      <c r="F12" s="697">
        <f t="shared" si="3"/>
        <v>116.04</v>
      </c>
      <c r="G12" s="695" t="s">
        <v>273</v>
      </c>
      <c r="H12" s="696">
        <v>101</v>
      </c>
      <c r="I12" s="731">
        <f t="shared" si="5"/>
        <v>1126.3799999999999</v>
      </c>
      <c r="K12" s="182"/>
      <c r="L12" s="873">
        <f t="shared" si="6"/>
        <v>135</v>
      </c>
      <c r="M12" s="806">
        <v>5</v>
      </c>
      <c r="N12" s="697">
        <v>59.83</v>
      </c>
      <c r="O12" s="727">
        <v>44905</v>
      </c>
      <c r="P12" s="697">
        <f t="shared" si="1"/>
        <v>59.83</v>
      </c>
      <c r="Q12" s="695" t="s">
        <v>667</v>
      </c>
      <c r="R12" s="696">
        <v>101</v>
      </c>
      <c r="S12" s="731">
        <f t="shared" si="7"/>
        <v>1637.28</v>
      </c>
      <c r="U12" s="182"/>
      <c r="V12" s="873">
        <f t="shared" si="8"/>
        <v>27</v>
      </c>
      <c r="W12" s="806"/>
      <c r="X12" s="697"/>
      <c r="Y12" s="727"/>
      <c r="Z12" s="697">
        <f t="shared" si="2"/>
        <v>0</v>
      </c>
      <c r="AA12" s="695"/>
      <c r="AB12" s="696"/>
      <c r="AC12" s="731">
        <f t="shared" si="9"/>
        <v>330.75</v>
      </c>
    </row>
    <row r="13" spans="1:29" x14ac:dyDescent="0.25">
      <c r="A13" s="82" t="s">
        <v>33</v>
      </c>
      <c r="B13" s="873">
        <f t="shared" si="4"/>
        <v>84</v>
      </c>
      <c r="C13" s="806">
        <v>10</v>
      </c>
      <c r="D13" s="697">
        <v>121.61</v>
      </c>
      <c r="E13" s="727">
        <v>44879</v>
      </c>
      <c r="F13" s="697">
        <f t="shared" si="3"/>
        <v>121.61</v>
      </c>
      <c r="G13" s="695" t="s">
        <v>272</v>
      </c>
      <c r="H13" s="696">
        <v>101</v>
      </c>
      <c r="I13" s="731">
        <f t="shared" si="5"/>
        <v>1004.7699999999999</v>
      </c>
      <c r="K13" s="82" t="s">
        <v>33</v>
      </c>
      <c r="L13" s="873">
        <f t="shared" si="6"/>
        <v>134</v>
      </c>
      <c r="M13" s="806">
        <v>1</v>
      </c>
      <c r="N13" s="697">
        <v>12.17</v>
      </c>
      <c r="O13" s="727">
        <v>44907</v>
      </c>
      <c r="P13" s="697">
        <f t="shared" si="1"/>
        <v>12.17</v>
      </c>
      <c r="Q13" s="695" t="s">
        <v>680</v>
      </c>
      <c r="R13" s="696">
        <v>101</v>
      </c>
      <c r="S13" s="731">
        <f t="shared" si="7"/>
        <v>1625.11</v>
      </c>
      <c r="U13" s="82" t="s">
        <v>33</v>
      </c>
      <c r="V13" s="873">
        <f t="shared" si="8"/>
        <v>27</v>
      </c>
      <c r="W13" s="806"/>
      <c r="X13" s="697"/>
      <c r="Y13" s="727"/>
      <c r="Z13" s="697">
        <f t="shared" si="2"/>
        <v>0</v>
      </c>
      <c r="AA13" s="695"/>
      <c r="AB13" s="696"/>
      <c r="AC13" s="731">
        <f t="shared" si="9"/>
        <v>330.75</v>
      </c>
    </row>
    <row r="14" spans="1:29" x14ac:dyDescent="0.25">
      <c r="A14" s="73"/>
      <c r="B14" s="873">
        <f t="shared" si="4"/>
        <v>82</v>
      </c>
      <c r="C14" s="806">
        <v>2</v>
      </c>
      <c r="D14" s="697">
        <v>23.74</v>
      </c>
      <c r="E14" s="727">
        <v>44879</v>
      </c>
      <c r="F14" s="697">
        <f t="shared" si="3"/>
        <v>23.74</v>
      </c>
      <c r="G14" s="695" t="s">
        <v>272</v>
      </c>
      <c r="H14" s="696">
        <v>101</v>
      </c>
      <c r="I14" s="731">
        <f t="shared" si="5"/>
        <v>981.02999999999986</v>
      </c>
      <c r="K14" s="73"/>
      <c r="L14" s="873">
        <f t="shared" si="6"/>
        <v>129</v>
      </c>
      <c r="M14" s="806">
        <v>5</v>
      </c>
      <c r="N14" s="697">
        <v>61.52</v>
      </c>
      <c r="O14" s="727">
        <v>44907</v>
      </c>
      <c r="P14" s="697">
        <f t="shared" si="1"/>
        <v>61.52</v>
      </c>
      <c r="Q14" s="695" t="s">
        <v>681</v>
      </c>
      <c r="R14" s="696">
        <v>101</v>
      </c>
      <c r="S14" s="731">
        <f t="shared" si="7"/>
        <v>1563.59</v>
      </c>
      <c r="U14" s="73"/>
      <c r="V14" s="873">
        <f t="shared" si="8"/>
        <v>27</v>
      </c>
      <c r="W14" s="806"/>
      <c r="X14" s="697"/>
      <c r="Y14" s="727"/>
      <c r="Z14" s="697">
        <f t="shared" si="2"/>
        <v>0</v>
      </c>
      <c r="AA14" s="695"/>
      <c r="AB14" s="696"/>
      <c r="AC14" s="731">
        <f t="shared" si="9"/>
        <v>330.75</v>
      </c>
    </row>
    <row r="15" spans="1:29" ht="15.75" customHeight="1" x14ac:dyDescent="0.25">
      <c r="A15" s="73"/>
      <c r="B15" s="873">
        <f t="shared" si="4"/>
        <v>81</v>
      </c>
      <c r="C15" s="806">
        <v>1</v>
      </c>
      <c r="D15" s="697">
        <v>12.38</v>
      </c>
      <c r="E15" s="727">
        <v>44882</v>
      </c>
      <c r="F15" s="697">
        <f t="shared" si="3"/>
        <v>12.38</v>
      </c>
      <c r="G15" s="695" t="s">
        <v>280</v>
      </c>
      <c r="H15" s="696">
        <v>101</v>
      </c>
      <c r="I15" s="731">
        <f t="shared" si="5"/>
        <v>968.64999999999986</v>
      </c>
      <c r="K15" s="73"/>
      <c r="L15" s="873">
        <f t="shared" si="6"/>
        <v>124</v>
      </c>
      <c r="M15" s="806">
        <v>5</v>
      </c>
      <c r="N15" s="697">
        <v>59.75</v>
      </c>
      <c r="O15" s="727">
        <v>44910</v>
      </c>
      <c r="P15" s="697">
        <f t="shared" si="1"/>
        <v>59.75</v>
      </c>
      <c r="Q15" s="695" t="s">
        <v>711</v>
      </c>
      <c r="R15" s="696">
        <v>101</v>
      </c>
      <c r="S15" s="731">
        <f t="shared" si="7"/>
        <v>1503.84</v>
      </c>
      <c r="U15" s="73"/>
      <c r="V15" s="873">
        <f t="shared" si="8"/>
        <v>27</v>
      </c>
      <c r="W15" s="806"/>
      <c r="X15" s="697"/>
      <c r="Y15" s="727"/>
      <c r="Z15" s="697">
        <f t="shared" si="2"/>
        <v>0</v>
      </c>
      <c r="AA15" s="695"/>
      <c r="AB15" s="696"/>
      <c r="AC15" s="731">
        <f t="shared" si="9"/>
        <v>330.75</v>
      </c>
    </row>
    <row r="16" spans="1:29" ht="15.75" customHeight="1" x14ac:dyDescent="0.25">
      <c r="B16" s="873">
        <f t="shared" si="4"/>
        <v>76</v>
      </c>
      <c r="C16" s="806">
        <v>5</v>
      </c>
      <c r="D16" s="697">
        <v>60.66</v>
      </c>
      <c r="E16" s="727">
        <v>44883</v>
      </c>
      <c r="F16" s="697">
        <f t="shared" si="3"/>
        <v>60.66</v>
      </c>
      <c r="G16" s="695" t="s">
        <v>285</v>
      </c>
      <c r="H16" s="696">
        <v>101</v>
      </c>
      <c r="I16" s="731">
        <f t="shared" si="5"/>
        <v>907.9899999999999</v>
      </c>
      <c r="L16" s="873">
        <f t="shared" si="6"/>
        <v>109</v>
      </c>
      <c r="M16" s="806">
        <v>15</v>
      </c>
      <c r="N16" s="697">
        <v>176.99</v>
      </c>
      <c r="O16" s="727">
        <v>44910</v>
      </c>
      <c r="P16" s="697">
        <f t="shared" si="1"/>
        <v>176.99</v>
      </c>
      <c r="Q16" s="695" t="s">
        <v>722</v>
      </c>
      <c r="R16" s="696">
        <v>101</v>
      </c>
      <c r="S16" s="731">
        <f t="shared" si="7"/>
        <v>1326.85</v>
      </c>
      <c r="V16" s="873">
        <f t="shared" si="8"/>
        <v>27</v>
      </c>
      <c r="W16" s="806"/>
      <c r="X16" s="697"/>
      <c r="Y16" s="727"/>
      <c r="Z16" s="697">
        <f t="shared" si="2"/>
        <v>0</v>
      </c>
      <c r="AA16" s="695"/>
      <c r="AB16" s="696"/>
      <c r="AC16" s="731">
        <f t="shared" si="9"/>
        <v>330.75</v>
      </c>
    </row>
    <row r="17" spans="1:29" x14ac:dyDescent="0.25">
      <c r="B17" s="873">
        <f t="shared" si="4"/>
        <v>75</v>
      </c>
      <c r="C17" s="806">
        <v>1</v>
      </c>
      <c r="D17" s="697">
        <v>12.17</v>
      </c>
      <c r="E17" s="727">
        <v>44887</v>
      </c>
      <c r="F17" s="697">
        <f t="shared" si="3"/>
        <v>12.17</v>
      </c>
      <c r="G17" s="695" t="s">
        <v>292</v>
      </c>
      <c r="H17" s="696">
        <v>101</v>
      </c>
      <c r="I17" s="731">
        <f t="shared" si="5"/>
        <v>895.81999999999994</v>
      </c>
      <c r="L17" s="873">
        <f t="shared" si="6"/>
        <v>94</v>
      </c>
      <c r="M17" s="806">
        <v>15</v>
      </c>
      <c r="N17" s="697">
        <v>176.73</v>
      </c>
      <c r="O17" s="727">
        <v>44913</v>
      </c>
      <c r="P17" s="697">
        <f t="shared" si="1"/>
        <v>176.73</v>
      </c>
      <c r="Q17" s="695" t="s">
        <v>747</v>
      </c>
      <c r="R17" s="696">
        <v>101</v>
      </c>
      <c r="S17" s="731">
        <f t="shared" si="7"/>
        <v>1150.1199999999999</v>
      </c>
      <c r="V17" s="873">
        <f t="shared" si="8"/>
        <v>27</v>
      </c>
      <c r="W17" s="806"/>
      <c r="X17" s="697"/>
      <c r="Y17" s="727"/>
      <c r="Z17" s="697">
        <f t="shared" si="2"/>
        <v>0</v>
      </c>
      <c r="AA17" s="695"/>
      <c r="AB17" s="696"/>
      <c r="AC17" s="731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73">
        <f t="shared" si="6"/>
        <v>89</v>
      </c>
      <c r="M18" s="806">
        <v>5</v>
      </c>
      <c r="N18" s="697">
        <v>59.57</v>
      </c>
      <c r="O18" s="727">
        <v>44915</v>
      </c>
      <c r="P18" s="697">
        <f t="shared" si="1"/>
        <v>59.57</v>
      </c>
      <c r="Q18" s="695" t="s">
        <v>760</v>
      </c>
      <c r="R18" s="696">
        <v>101</v>
      </c>
      <c r="S18" s="731">
        <f t="shared" si="7"/>
        <v>1090.55</v>
      </c>
      <c r="U18" s="122"/>
      <c r="V18" s="873">
        <f t="shared" si="8"/>
        <v>27</v>
      </c>
      <c r="W18" s="806"/>
      <c r="X18" s="697"/>
      <c r="Y18" s="727"/>
      <c r="Z18" s="697">
        <f t="shared" si="2"/>
        <v>0</v>
      </c>
      <c r="AA18" s="695"/>
      <c r="AB18" s="696"/>
      <c r="AC18" s="731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73">
        <f t="shared" si="6"/>
        <v>74</v>
      </c>
      <c r="M19" s="806">
        <v>15</v>
      </c>
      <c r="N19" s="697">
        <v>182.89</v>
      </c>
      <c r="O19" s="727">
        <v>44916</v>
      </c>
      <c r="P19" s="697">
        <f t="shared" si="1"/>
        <v>182.89</v>
      </c>
      <c r="Q19" s="695" t="s">
        <v>768</v>
      </c>
      <c r="R19" s="696">
        <v>101</v>
      </c>
      <c r="S19" s="731">
        <f t="shared" si="7"/>
        <v>907.66</v>
      </c>
      <c r="U19" s="122"/>
      <c r="V19" s="873">
        <f t="shared" si="8"/>
        <v>27</v>
      </c>
      <c r="W19" s="806"/>
      <c r="X19" s="697"/>
      <c r="Y19" s="727"/>
      <c r="Z19" s="697">
        <f t="shared" si="2"/>
        <v>0</v>
      </c>
      <c r="AA19" s="695"/>
      <c r="AB19" s="696"/>
      <c r="AC19" s="731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73">
        <f t="shared" si="6"/>
        <v>72</v>
      </c>
      <c r="M20" s="806">
        <v>2</v>
      </c>
      <c r="N20" s="697">
        <v>25.02</v>
      </c>
      <c r="O20" s="727">
        <v>44918</v>
      </c>
      <c r="P20" s="697">
        <f t="shared" si="1"/>
        <v>25.02</v>
      </c>
      <c r="Q20" s="695" t="s">
        <v>808</v>
      </c>
      <c r="R20" s="696">
        <v>101</v>
      </c>
      <c r="S20" s="731">
        <f t="shared" si="7"/>
        <v>882.64</v>
      </c>
      <c r="U20" s="122"/>
      <c r="V20" s="873">
        <f t="shared" si="8"/>
        <v>27</v>
      </c>
      <c r="W20" s="806"/>
      <c r="X20" s="697"/>
      <c r="Y20" s="727"/>
      <c r="Z20" s="697">
        <f t="shared" si="2"/>
        <v>0</v>
      </c>
      <c r="AA20" s="695"/>
      <c r="AB20" s="696"/>
      <c r="AC20" s="731">
        <f t="shared" si="9"/>
        <v>330.75</v>
      </c>
    </row>
    <row r="21" spans="1:29" x14ac:dyDescent="0.25">
      <c r="A21" s="122"/>
      <c r="B21" s="812">
        <f t="shared" si="4"/>
        <v>41</v>
      </c>
      <c r="C21" s="806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09">
        <f t="shared" si="5"/>
        <v>483.13999999999993</v>
      </c>
      <c r="K21" s="122"/>
      <c r="L21" s="873">
        <f t="shared" si="6"/>
        <v>62</v>
      </c>
      <c r="M21" s="806">
        <v>10</v>
      </c>
      <c r="N21" s="697">
        <v>121.23</v>
      </c>
      <c r="O21" s="727">
        <v>44921</v>
      </c>
      <c r="P21" s="697">
        <f t="shared" si="1"/>
        <v>121.23</v>
      </c>
      <c r="Q21" s="695" t="s">
        <v>828</v>
      </c>
      <c r="R21" s="696">
        <v>101</v>
      </c>
      <c r="S21" s="731">
        <f t="shared" si="7"/>
        <v>761.41</v>
      </c>
      <c r="U21" s="122"/>
      <c r="V21" s="873">
        <f t="shared" si="8"/>
        <v>27</v>
      </c>
      <c r="W21" s="806"/>
      <c r="X21" s="697"/>
      <c r="Y21" s="727"/>
      <c r="Z21" s="697">
        <f t="shared" si="2"/>
        <v>0</v>
      </c>
      <c r="AA21" s="695"/>
      <c r="AB21" s="696"/>
      <c r="AC21" s="731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6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73">
        <f t="shared" si="6"/>
        <v>57</v>
      </c>
      <c r="M22" s="806">
        <v>5</v>
      </c>
      <c r="N22" s="697">
        <v>59.93</v>
      </c>
      <c r="O22" s="727">
        <v>44922</v>
      </c>
      <c r="P22" s="697">
        <f t="shared" si="1"/>
        <v>59.93</v>
      </c>
      <c r="Q22" s="695" t="s">
        <v>832</v>
      </c>
      <c r="R22" s="696">
        <v>101</v>
      </c>
      <c r="S22" s="731">
        <f t="shared" si="7"/>
        <v>701.48</v>
      </c>
      <c r="U22" s="122"/>
      <c r="V22" s="873">
        <f t="shared" si="8"/>
        <v>27</v>
      </c>
      <c r="W22" s="806"/>
      <c r="X22" s="697"/>
      <c r="Y22" s="727"/>
      <c r="Z22" s="697">
        <f t="shared" si="2"/>
        <v>0</v>
      </c>
      <c r="AA22" s="695"/>
      <c r="AB22" s="696"/>
      <c r="AC22" s="731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6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73">
        <f t="shared" si="6"/>
        <v>47</v>
      </c>
      <c r="M23" s="806">
        <v>10</v>
      </c>
      <c r="N23" s="697">
        <v>120.6</v>
      </c>
      <c r="O23" s="727">
        <v>44924</v>
      </c>
      <c r="P23" s="697">
        <f t="shared" si="1"/>
        <v>120.6</v>
      </c>
      <c r="Q23" s="695" t="s">
        <v>813</v>
      </c>
      <c r="R23" s="696">
        <v>101</v>
      </c>
      <c r="S23" s="731">
        <f t="shared" si="7"/>
        <v>580.88</v>
      </c>
      <c r="U23" s="123"/>
      <c r="V23" s="873">
        <f t="shared" si="8"/>
        <v>27</v>
      </c>
      <c r="W23" s="806"/>
      <c r="X23" s="697"/>
      <c r="Y23" s="727"/>
      <c r="Z23" s="697">
        <f t="shared" si="2"/>
        <v>0</v>
      </c>
      <c r="AA23" s="695"/>
      <c r="AB23" s="696"/>
      <c r="AC23" s="731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6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73">
        <f t="shared" si="6"/>
        <v>35</v>
      </c>
      <c r="M24" s="806">
        <v>12</v>
      </c>
      <c r="N24" s="697">
        <v>147.19</v>
      </c>
      <c r="O24" s="727">
        <v>44924</v>
      </c>
      <c r="P24" s="697">
        <f t="shared" si="1"/>
        <v>147.19</v>
      </c>
      <c r="Q24" s="695" t="s">
        <v>849</v>
      </c>
      <c r="R24" s="696">
        <v>101</v>
      </c>
      <c r="S24" s="731">
        <f t="shared" si="7"/>
        <v>433.69</v>
      </c>
      <c r="U24" s="122"/>
      <c r="V24" s="873">
        <f t="shared" si="8"/>
        <v>27</v>
      </c>
      <c r="W24" s="806"/>
      <c r="X24" s="697"/>
      <c r="Y24" s="727"/>
      <c r="Z24" s="697">
        <f t="shared" si="2"/>
        <v>0</v>
      </c>
      <c r="AA24" s="695"/>
      <c r="AB24" s="696"/>
      <c r="AC24" s="731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6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73">
        <f t="shared" si="6"/>
        <v>34</v>
      </c>
      <c r="M25" s="806">
        <v>1</v>
      </c>
      <c r="N25" s="697">
        <v>12.38</v>
      </c>
      <c r="O25" s="727">
        <v>44925</v>
      </c>
      <c r="P25" s="697">
        <f t="shared" si="1"/>
        <v>12.38</v>
      </c>
      <c r="Q25" s="695" t="s">
        <v>855</v>
      </c>
      <c r="R25" s="696">
        <v>101</v>
      </c>
      <c r="S25" s="731">
        <f t="shared" si="7"/>
        <v>421.31</v>
      </c>
      <c r="U25" s="122"/>
      <c r="V25" s="873">
        <f t="shared" si="8"/>
        <v>27</v>
      </c>
      <c r="W25" s="806"/>
      <c r="X25" s="697"/>
      <c r="Y25" s="727"/>
      <c r="Z25" s="697">
        <f t="shared" si="2"/>
        <v>0</v>
      </c>
      <c r="AA25" s="695"/>
      <c r="AB25" s="696"/>
      <c r="AC25" s="731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6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6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6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6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6"/>
      <c r="F30" s="1152">
        <v>57.46</v>
      </c>
      <c r="G30" s="1153"/>
      <c r="H30" s="1154"/>
      <c r="I30" s="1155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6"/>
      <c r="F31" s="1152">
        <f t="shared" si="3"/>
        <v>0</v>
      </c>
      <c r="G31" s="1153"/>
      <c r="H31" s="1154"/>
      <c r="I31" s="1155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6"/>
      <c r="F32" s="1152">
        <f t="shared" si="3"/>
        <v>0</v>
      </c>
      <c r="G32" s="1153"/>
      <c r="H32" s="1154"/>
      <c r="I32" s="1155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6"/>
      <c r="F33" s="1152">
        <f t="shared" si="3"/>
        <v>0</v>
      </c>
      <c r="G33" s="1153"/>
      <c r="H33" s="1154"/>
      <c r="I33" s="1155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6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6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6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96" t="s">
        <v>11</v>
      </c>
      <c r="D83" s="1397"/>
      <c r="E83" s="57">
        <f>E5+E6-F78+E7</f>
        <v>-92.579999999999927</v>
      </c>
      <c r="F83" s="73"/>
      <c r="M83" s="1396" t="s">
        <v>11</v>
      </c>
      <c r="N83" s="1397"/>
      <c r="O83" s="57">
        <f>O5+O6-P78+O7</f>
        <v>363.84999999999968</v>
      </c>
      <c r="P83" s="73"/>
      <c r="W83" s="1396" t="s">
        <v>11</v>
      </c>
      <c r="X83" s="1397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94" t="s">
        <v>321</v>
      </c>
      <c r="B1" s="1394"/>
      <c r="C1" s="1394"/>
      <c r="D1" s="1394"/>
      <c r="E1" s="1394"/>
      <c r="F1" s="1394"/>
      <c r="G1" s="1394"/>
      <c r="H1" s="11">
        <v>1</v>
      </c>
      <c r="L1" s="1398" t="s">
        <v>339</v>
      </c>
      <c r="M1" s="1398"/>
      <c r="N1" s="1398"/>
      <c r="O1" s="1398"/>
      <c r="P1" s="1398"/>
      <c r="Q1" s="1398"/>
      <c r="R1" s="1398"/>
      <c r="S1" s="11">
        <v>2</v>
      </c>
      <c r="W1" s="1398" t="s">
        <v>339</v>
      </c>
      <c r="X1" s="1398"/>
      <c r="Y1" s="1398"/>
      <c r="Z1" s="1398"/>
      <c r="AA1" s="1398"/>
      <c r="AB1" s="1398"/>
      <c r="AC1" s="139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1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1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1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403" t="s">
        <v>73</v>
      </c>
      <c r="C4" s="243"/>
      <c r="D4" s="134"/>
      <c r="E4" s="476">
        <v>6.93</v>
      </c>
      <c r="F4" s="73"/>
      <c r="G4" s="155"/>
      <c r="H4" s="155"/>
      <c r="L4" s="447"/>
      <c r="M4" s="1403" t="s">
        <v>73</v>
      </c>
      <c r="N4" s="243"/>
      <c r="O4" s="134"/>
      <c r="P4" s="476">
        <v>82.3</v>
      </c>
      <c r="Q4" s="73"/>
      <c r="R4" s="155"/>
      <c r="S4" s="155"/>
      <c r="W4" s="447"/>
      <c r="X4" s="1403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405" t="s">
        <v>224</v>
      </c>
      <c r="B5" s="1404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87" t="s">
        <v>97</v>
      </c>
      <c r="M5" s="1404"/>
      <c r="N5" s="243">
        <v>124</v>
      </c>
      <c r="O5" s="134">
        <v>44909</v>
      </c>
      <c r="P5" s="476">
        <v>5029.8</v>
      </c>
      <c r="Q5" s="73">
        <v>166</v>
      </c>
      <c r="R5" s="5"/>
      <c r="W5" s="1387" t="s">
        <v>97</v>
      </c>
      <c r="X5" s="1404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405"/>
      <c r="B6" s="1404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87"/>
      <c r="M6" s="1404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87"/>
      <c r="X6" s="1404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16"/>
      <c r="B7" s="1404"/>
      <c r="C7" s="233"/>
      <c r="D7" s="231"/>
      <c r="E7" s="476"/>
      <c r="F7" s="73"/>
      <c r="L7" s="916"/>
      <c r="M7" s="1404"/>
      <c r="N7" s="233"/>
      <c r="O7" s="231"/>
      <c r="P7" s="476"/>
      <c r="Q7" s="73"/>
      <c r="W7" s="916"/>
      <c r="X7" s="1404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13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13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13" t="s">
        <v>3</v>
      </c>
    </row>
    <row r="10" spans="1:32" ht="15.75" thickTop="1" x14ac:dyDescent="0.25">
      <c r="A10" s="80" t="s">
        <v>32</v>
      </c>
      <c r="B10" s="873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1">
        <f>E6-F10+E5+E4+E7+E8</f>
        <v>16930.71</v>
      </c>
      <c r="J10" s="855">
        <f>F10*H10</f>
        <v>21210.34</v>
      </c>
      <c r="L10" s="80" t="s">
        <v>32</v>
      </c>
      <c r="M10" s="873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1">
        <f>P6-Q10+P5+P4+P7+P8</f>
        <v>8549.4599999999991</v>
      </c>
      <c r="U10" s="855">
        <f>Q10*S10</f>
        <v>70515.27</v>
      </c>
      <c r="W10" s="80" t="s">
        <v>32</v>
      </c>
      <c r="X10" s="873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1">
        <f>AA6-AB10+AA5+AA4+AA7+AA8</f>
        <v>2025.9</v>
      </c>
      <c r="AF10" s="855">
        <f>AB10*AD10</f>
        <v>0</v>
      </c>
    </row>
    <row r="11" spans="1:32" x14ac:dyDescent="0.25">
      <c r="A11" s="194"/>
      <c r="B11" s="873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1">
        <f>I10-F11</f>
        <v>16679.27</v>
      </c>
      <c r="J11" s="855">
        <f t="shared" ref="J11:J74" si="3">F11*H11</f>
        <v>34447.279999999999</v>
      </c>
      <c r="L11" s="194"/>
      <c r="M11" s="873">
        <f>M10-N11</f>
        <v>246</v>
      </c>
      <c r="N11" s="806">
        <v>35</v>
      </c>
      <c r="O11" s="697">
        <v>1047.55</v>
      </c>
      <c r="P11" s="727">
        <v>44918</v>
      </c>
      <c r="Q11" s="697">
        <f t="shared" si="1"/>
        <v>1047.55</v>
      </c>
      <c r="R11" s="695" t="s">
        <v>820</v>
      </c>
      <c r="S11" s="696">
        <v>137</v>
      </c>
      <c r="T11" s="731">
        <f>T10-Q11</f>
        <v>7501.9099999999989</v>
      </c>
      <c r="U11" s="855">
        <f t="shared" ref="U11:U74" si="4">Q11*S11</f>
        <v>143514.35</v>
      </c>
      <c r="W11" s="194"/>
      <c r="X11" s="873">
        <f>X10-Y11</f>
        <v>68</v>
      </c>
      <c r="Y11" s="806"/>
      <c r="Z11" s="697"/>
      <c r="AA11" s="727"/>
      <c r="AB11" s="697">
        <f t="shared" si="2"/>
        <v>0</v>
      </c>
      <c r="AC11" s="695"/>
      <c r="AD11" s="696"/>
      <c r="AE11" s="731">
        <f>AE10-AB11</f>
        <v>2025.9</v>
      </c>
      <c r="AF11" s="855">
        <f t="shared" ref="AF11:AF74" si="5">AB11*AD11</f>
        <v>0</v>
      </c>
    </row>
    <row r="12" spans="1:32" x14ac:dyDescent="0.25">
      <c r="A12" s="182"/>
      <c r="B12" s="873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1">
        <f t="shared" ref="I12:I75" si="7">I11-F12</f>
        <v>16652.96</v>
      </c>
      <c r="J12" s="855">
        <f t="shared" si="3"/>
        <v>3604.47</v>
      </c>
      <c r="L12" s="182"/>
      <c r="M12" s="873">
        <f t="shared" ref="M12:M75" si="8">M11-N12</f>
        <v>243</v>
      </c>
      <c r="N12" s="806">
        <v>3</v>
      </c>
      <c r="O12" s="697">
        <v>88.77</v>
      </c>
      <c r="P12" s="727">
        <v>44919</v>
      </c>
      <c r="Q12" s="697">
        <f t="shared" si="1"/>
        <v>88.77</v>
      </c>
      <c r="R12" s="695" t="s">
        <v>821</v>
      </c>
      <c r="S12" s="696">
        <v>137</v>
      </c>
      <c r="T12" s="731">
        <f t="shared" ref="T12:T75" si="9">T11-Q12</f>
        <v>7413.1399999999985</v>
      </c>
      <c r="U12" s="855">
        <f t="shared" si="4"/>
        <v>12161.49</v>
      </c>
      <c r="W12" s="182"/>
      <c r="X12" s="873">
        <f t="shared" ref="X12:X75" si="10">X11-Y12</f>
        <v>68</v>
      </c>
      <c r="Y12" s="806"/>
      <c r="Z12" s="697"/>
      <c r="AA12" s="727"/>
      <c r="AB12" s="697">
        <f t="shared" si="2"/>
        <v>0</v>
      </c>
      <c r="AC12" s="695"/>
      <c r="AD12" s="696"/>
      <c r="AE12" s="731">
        <f t="shared" ref="AE12:AE75" si="11">AE11-AB12</f>
        <v>2025.9</v>
      </c>
      <c r="AF12" s="855">
        <f t="shared" si="5"/>
        <v>0</v>
      </c>
    </row>
    <row r="13" spans="1:32" x14ac:dyDescent="0.25">
      <c r="A13" s="182"/>
      <c r="B13" s="873">
        <f t="shared" si="6"/>
        <v>536</v>
      </c>
      <c r="C13" s="806">
        <v>1</v>
      </c>
      <c r="D13" s="697">
        <v>33.11</v>
      </c>
      <c r="E13" s="727">
        <v>44889</v>
      </c>
      <c r="F13" s="697">
        <f t="shared" ref="F13:F56" si="12">D13</f>
        <v>33.11</v>
      </c>
      <c r="G13" s="695" t="s">
        <v>300</v>
      </c>
      <c r="H13" s="696">
        <v>137</v>
      </c>
      <c r="I13" s="731">
        <f t="shared" si="7"/>
        <v>16619.849999999999</v>
      </c>
      <c r="J13" s="855">
        <f t="shared" si="3"/>
        <v>4536.07</v>
      </c>
      <c r="L13" s="182"/>
      <c r="M13" s="873">
        <f t="shared" si="8"/>
        <v>208</v>
      </c>
      <c r="N13" s="806">
        <v>35</v>
      </c>
      <c r="O13" s="697">
        <v>1000.13</v>
      </c>
      <c r="P13" s="727">
        <v>44921</v>
      </c>
      <c r="Q13" s="697">
        <f t="shared" si="1"/>
        <v>1000.13</v>
      </c>
      <c r="R13" s="695" t="s">
        <v>828</v>
      </c>
      <c r="S13" s="696">
        <v>137</v>
      </c>
      <c r="T13" s="731">
        <f t="shared" si="9"/>
        <v>6413.0099999999984</v>
      </c>
      <c r="U13" s="855">
        <f t="shared" si="4"/>
        <v>137017.81</v>
      </c>
      <c r="W13" s="182"/>
      <c r="X13" s="873">
        <f t="shared" si="10"/>
        <v>68</v>
      </c>
      <c r="Y13" s="806"/>
      <c r="Z13" s="697"/>
      <c r="AA13" s="727"/>
      <c r="AB13" s="697">
        <f t="shared" si="2"/>
        <v>0</v>
      </c>
      <c r="AC13" s="695"/>
      <c r="AD13" s="696"/>
      <c r="AE13" s="731">
        <f t="shared" si="11"/>
        <v>2025.9</v>
      </c>
      <c r="AF13" s="855">
        <f t="shared" si="5"/>
        <v>0</v>
      </c>
    </row>
    <row r="14" spans="1:32" x14ac:dyDescent="0.25">
      <c r="A14" s="82" t="s">
        <v>33</v>
      </c>
      <c r="B14" s="873">
        <f t="shared" si="6"/>
        <v>529</v>
      </c>
      <c r="C14" s="806">
        <v>7</v>
      </c>
      <c r="D14" s="697">
        <v>203.38</v>
      </c>
      <c r="E14" s="727">
        <v>44889</v>
      </c>
      <c r="F14" s="697">
        <f t="shared" si="12"/>
        <v>203.38</v>
      </c>
      <c r="G14" s="695" t="s">
        <v>301</v>
      </c>
      <c r="H14" s="696">
        <v>137</v>
      </c>
      <c r="I14" s="731">
        <f t="shared" si="7"/>
        <v>16416.469999999998</v>
      </c>
      <c r="J14" s="855">
        <f t="shared" si="3"/>
        <v>27863.059999999998</v>
      </c>
      <c r="L14" s="82" t="s">
        <v>33</v>
      </c>
      <c r="M14" s="873">
        <f t="shared" si="8"/>
        <v>173</v>
      </c>
      <c r="N14" s="806">
        <v>35</v>
      </c>
      <c r="O14" s="697">
        <v>1094.27</v>
      </c>
      <c r="P14" s="727">
        <v>44923</v>
      </c>
      <c r="Q14" s="697">
        <f t="shared" si="1"/>
        <v>1094.27</v>
      </c>
      <c r="R14" s="695" t="s">
        <v>805</v>
      </c>
      <c r="S14" s="696">
        <v>137</v>
      </c>
      <c r="T14" s="731">
        <f t="shared" si="9"/>
        <v>5318.739999999998</v>
      </c>
      <c r="U14" s="855">
        <f t="shared" si="4"/>
        <v>149914.99</v>
      </c>
      <c r="W14" s="82" t="s">
        <v>33</v>
      </c>
      <c r="X14" s="873">
        <f t="shared" si="10"/>
        <v>68</v>
      </c>
      <c r="Y14" s="806"/>
      <c r="Z14" s="697"/>
      <c r="AA14" s="727"/>
      <c r="AB14" s="697">
        <f t="shared" si="2"/>
        <v>0</v>
      </c>
      <c r="AC14" s="695"/>
      <c r="AD14" s="696"/>
      <c r="AE14" s="731">
        <f t="shared" si="11"/>
        <v>2025.9</v>
      </c>
      <c r="AF14" s="855">
        <f t="shared" si="5"/>
        <v>0</v>
      </c>
    </row>
    <row r="15" spans="1:32" x14ac:dyDescent="0.25">
      <c r="A15" s="73"/>
      <c r="B15" s="873">
        <f t="shared" si="6"/>
        <v>510</v>
      </c>
      <c r="C15" s="806">
        <v>19</v>
      </c>
      <c r="D15" s="697">
        <v>555.08000000000004</v>
      </c>
      <c r="E15" s="727">
        <v>44889</v>
      </c>
      <c r="F15" s="697">
        <f t="shared" si="12"/>
        <v>555.08000000000004</v>
      </c>
      <c r="G15" s="695" t="s">
        <v>302</v>
      </c>
      <c r="H15" s="696">
        <v>137</v>
      </c>
      <c r="I15" s="731">
        <f t="shared" si="7"/>
        <v>15861.389999999998</v>
      </c>
      <c r="J15" s="855">
        <f t="shared" si="3"/>
        <v>76045.960000000006</v>
      </c>
      <c r="L15" s="73"/>
      <c r="M15" s="873">
        <f t="shared" si="8"/>
        <v>171</v>
      </c>
      <c r="N15" s="806">
        <v>2</v>
      </c>
      <c r="O15" s="697">
        <v>67.59</v>
      </c>
      <c r="P15" s="727">
        <v>44924</v>
      </c>
      <c r="Q15" s="697">
        <f t="shared" si="1"/>
        <v>67.59</v>
      </c>
      <c r="R15" s="695" t="s">
        <v>846</v>
      </c>
      <c r="S15" s="696">
        <v>137</v>
      </c>
      <c r="T15" s="731">
        <f t="shared" si="9"/>
        <v>5251.1499999999978</v>
      </c>
      <c r="U15" s="855">
        <f t="shared" si="4"/>
        <v>9259.83</v>
      </c>
      <c r="W15" s="73"/>
      <c r="X15" s="873">
        <f t="shared" si="10"/>
        <v>68</v>
      </c>
      <c r="Y15" s="806"/>
      <c r="Z15" s="697"/>
      <c r="AA15" s="727"/>
      <c r="AB15" s="697">
        <f t="shared" si="2"/>
        <v>0</v>
      </c>
      <c r="AC15" s="695"/>
      <c r="AD15" s="696"/>
      <c r="AE15" s="731">
        <f t="shared" si="11"/>
        <v>2025.9</v>
      </c>
      <c r="AF15" s="855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43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73">
        <f t="shared" si="8"/>
        <v>141</v>
      </c>
      <c r="N16" s="806">
        <v>30</v>
      </c>
      <c r="O16" s="697">
        <v>903.35</v>
      </c>
      <c r="P16" s="727">
        <v>44925</v>
      </c>
      <c r="Q16" s="697">
        <f t="shared" si="1"/>
        <v>903.35</v>
      </c>
      <c r="R16" s="695" t="s">
        <v>852</v>
      </c>
      <c r="S16" s="696">
        <v>137</v>
      </c>
      <c r="T16" s="731">
        <f t="shared" si="9"/>
        <v>4347.7999999999975</v>
      </c>
      <c r="U16" s="855">
        <f t="shared" si="4"/>
        <v>123758.95</v>
      </c>
      <c r="W16" s="73"/>
      <c r="X16" s="873">
        <f t="shared" si="10"/>
        <v>68</v>
      </c>
      <c r="Y16" s="806"/>
      <c r="Z16" s="697"/>
      <c r="AA16" s="727"/>
      <c r="AB16" s="697">
        <f t="shared" si="2"/>
        <v>0</v>
      </c>
      <c r="AC16" s="695"/>
      <c r="AD16" s="696"/>
      <c r="AE16" s="731">
        <f t="shared" si="11"/>
        <v>2025.9</v>
      </c>
      <c r="AF16" s="855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73">
        <f t="shared" si="8"/>
        <v>106</v>
      </c>
      <c r="N17" s="806">
        <v>35</v>
      </c>
      <c r="O17" s="697">
        <v>1093.24</v>
      </c>
      <c r="P17" s="727">
        <v>44926</v>
      </c>
      <c r="Q17" s="697">
        <f t="shared" si="1"/>
        <v>1093.24</v>
      </c>
      <c r="R17" s="695" t="s">
        <v>865</v>
      </c>
      <c r="S17" s="696">
        <v>137</v>
      </c>
      <c r="T17" s="731">
        <f t="shared" si="9"/>
        <v>3254.5599999999977</v>
      </c>
      <c r="U17" s="855">
        <f t="shared" si="4"/>
        <v>149773.88</v>
      </c>
      <c r="X17" s="873">
        <f t="shared" si="10"/>
        <v>68</v>
      </c>
      <c r="Y17" s="806"/>
      <c r="Z17" s="697"/>
      <c r="AA17" s="727"/>
      <c r="AB17" s="697">
        <f t="shared" si="2"/>
        <v>0</v>
      </c>
      <c r="AC17" s="695"/>
      <c r="AD17" s="696"/>
      <c r="AE17" s="731">
        <f t="shared" si="11"/>
        <v>2025.9</v>
      </c>
      <c r="AF17" s="855">
        <f t="shared" si="5"/>
        <v>0</v>
      </c>
    </row>
    <row r="18" spans="1:32" x14ac:dyDescent="0.25">
      <c r="B18" s="812">
        <f t="shared" si="6"/>
        <v>464</v>
      </c>
      <c r="C18" s="806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09">
        <f t="shared" si="7"/>
        <v>14386.439999999997</v>
      </c>
      <c r="J18" s="17">
        <f t="shared" si="3"/>
        <v>133392.79</v>
      </c>
      <c r="M18" s="873">
        <f t="shared" si="8"/>
        <v>96</v>
      </c>
      <c r="N18" s="806">
        <v>10</v>
      </c>
      <c r="O18" s="697">
        <v>316.75</v>
      </c>
      <c r="P18" s="727">
        <v>44928</v>
      </c>
      <c r="Q18" s="697">
        <f t="shared" si="1"/>
        <v>316.75</v>
      </c>
      <c r="R18" s="695" t="s">
        <v>867</v>
      </c>
      <c r="S18" s="696">
        <v>137</v>
      </c>
      <c r="T18" s="731">
        <f t="shared" si="9"/>
        <v>2937.8099999999977</v>
      </c>
      <c r="U18" s="855">
        <f t="shared" si="4"/>
        <v>43394.75</v>
      </c>
      <c r="X18" s="873">
        <f t="shared" si="10"/>
        <v>68</v>
      </c>
      <c r="Y18" s="806"/>
      <c r="Z18" s="697"/>
      <c r="AA18" s="727"/>
      <c r="AB18" s="697">
        <f t="shared" si="2"/>
        <v>0</v>
      </c>
      <c r="AC18" s="695"/>
      <c r="AD18" s="696"/>
      <c r="AE18" s="731">
        <f t="shared" si="11"/>
        <v>2025.9</v>
      </c>
      <c r="AF18" s="855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6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73">
        <f t="shared" si="8"/>
        <v>61</v>
      </c>
      <c r="N19" s="806">
        <v>35</v>
      </c>
      <c r="O19" s="697">
        <v>1084.46</v>
      </c>
      <c r="P19" s="727">
        <v>44928</v>
      </c>
      <c r="Q19" s="697">
        <f t="shared" si="1"/>
        <v>1084.46</v>
      </c>
      <c r="R19" s="695" t="s">
        <v>869</v>
      </c>
      <c r="S19" s="696">
        <v>137</v>
      </c>
      <c r="T19" s="731">
        <f t="shared" si="9"/>
        <v>1853.3499999999976</v>
      </c>
      <c r="U19" s="855">
        <f t="shared" si="4"/>
        <v>148571.02000000002</v>
      </c>
      <c r="W19" s="122"/>
      <c r="X19" s="873">
        <f t="shared" si="10"/>
        <v>68</v>
      </c>
      <c r="Y19" s="806"/>
      <c r="Z19" s="697"/>
      <c r="AA19" s="727"/>
      <c r="AB19" s="697">
        <f t="shared" si="2"/>
        <v>0</v>
      </c>
      <c r="AC19" s="695"/>
      <c r="AD19" s="696"/>
      <c r="AE19" s="731">
        <f t="shared" si="11"/>
        <v>2025.9</v>
      </c>
      <c r="AF19" s="855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6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73">
        <f t="shared" si="8"/>
        <v>60</v>
      </c>
      <c r="N20" s="806">
        <v>1</v>
      </c>
      <c r="O20" s="697">
        <v>33.840000000000003</v>
      </c>
      <c r="P20" s="727">
        <v>44929</v>
      </c>
      <c r="Q20" s="697">
        <f t="shared" si="1"/>
        <v>33.840000000000003</v>
      </c>
      <c r="R20" s="695" t="s">
        <v>871</v>
      </c>
      <c r="S20" s="696">
        <v>137</v>
      </c>
      <c r="T20" s="731">
        <f t="shared" si="9"/>
        <v>1819.5099999999977</v>
      </c>
      <c r="U20" s="855">
        <f t="shared" si="4"/>
        <v>4636.0800000000008</v>
      </c>
      <c r="W20" s="122"/>
      <c r="X20" s="873">
        <f t="shared" si="10"/>
        <v>68</v>
      </c>
      <c r="Y20" s="806"/>
      <c r="Z20" s="697"/>
      <c r="AA20" s="727"/>
      <c r="AB20" s="697">
        <f t="shared" si="2"/>
        <v>0</v>
      </c>
      <c r="AC20" s="695"/>
      <c r="AD20" s="696"/>
      <c r="AE20" s="731">
        <f t="shared" si="11"/>
        <v>2025.9</v>
      </c>
      <c r="AF20" s="855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6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73">
        <f t="shared" si="8"/>
        <v>59</v>
      </c>
      <c r="N21" s="806">
        <v>1</v>
      </c>
      <c r="O21" s="697">
        <v>32.21</v>
      </c>
      <c r="P21" s="727">
        <v>44930</v>
      </c>
      <c r="Q21" s="697">
        <f t="shared" si="1"/>
        <v>32.21</v>
      </c>
      <c r="R21" s="695" t="s">
        <v>890</v>
      </c>
      <c r="S21" s="696">
        <v>137</v>
      </c>
      <c r="T21" s="731">
        <f t="shared" si="9"/>
        <v>1787.2999999999977</v>
      </c>
      <c r="U21" s="855">
        <f t="shared" si="4"/>
        <v>4412.7700000000004</v>
      </c>
      <c r="W21" s="122"/>
      <c r="X21" s="873">
        <f t="shared" si="10"/>
        <v>68</v>
      </c>
      <c r="Y21" s="806"/>
      <c r="Z21" s="697"/>
      <c r="AA21" s="727"/>
      <c r="AB21" s="697">
        <f t="shared" si="2"/>
        <v>0</v>
      </c>
      <c r="AC21" s="695"/>
      <c r="AD21" s="696"/>
      <c r="AE21" s="731">
        <f t="shared" si="11"/>
        <v>2025.9</v>
      </c>
      <c r="AF21" s="855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6">
        <v>44895</v>
      </c>
      <c r="F22" s="534">
        <f t="shared" si="12"/>
        <v>315.2</v>
      </c>
      <c r="G22" s="329" t="s">
        <v>578</v>
      </c>
      <c r="H22" s="1156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73">
        <f t="shared" si="8"/>
        <v>58</v>
      </c>
      <c r="N22" s="806">
        <v>1</v>
      </c>
      <c r="O22" s="697">
        <v>35.47</v>
      </c>
      <c r="P22" s="727">
        <v>44932</v>
      </c>
      <c r="Q22" s="697">
        <f t="shared" si="1"/>
        <v>35.47</v>
      </c>
      <c r="R22" s="695" t="s">
        <v>901</v>
      </c>
      <c r="S22" s="696">
        <v>137</v>
      </c>
      <c r="T22" s="731">
        <f t="shared" si="9"/>
        <v>1751.8299999999977</v>
      </c>
      <c r="U22" s="855">
        <f t="shared" si="4"/>
        <v>4859.3899999999994</v>
      </c>
      <c r="W22" s="122"/>
      <c r="X22" s="873">
        <f t="shared" si="10"/>
        <v>68</v>
      </c>
      <c r="Y22" s="806"/>
      <c r="Z22" s="697"/>
      <c r="AA22" s="727"/>
      <c r="AB22" s="697">
        <f t="shared" si="2"/>
        <v>0</v>
      </c>
      <c r="AC22" s="695"/>
      <c r="AD22" s="696"/>
      <c r="AE22" s="731">
        <f t="shared" si="11"/>
        <v>2025.9</v>
      </c>
      <c r="AF22" s="855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6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6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6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6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6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6">
        <v>44898</v>
      </c>
      <c r="F28" s="534">
        <f t="shared" si="12"/>
        <v>291.89</v>
      </c>
      <c r="G28" s="329" t="s">
        <v>607</v>
      </c>
      <c r="H28" s="1156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6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6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6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6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6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6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6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6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6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6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6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6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6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6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6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6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6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6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6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6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6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6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6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6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6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6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6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6"/>
      <c r="F56" s="1152">
        <f t="shared" si="12"/>
        <v>0</v>
      </c>
      <c r="G56" s="1153"/>
      <c r="H56" s="1154"/>
      <c r="I56" s="1155">
        <f t="shared" si="7"/>
        <v>82.2999999999995</v>
      </c>
      <c r="J56" s="1185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6"/>
      <c r="F57" s="1152">
        <v>82.3</v>
      </c>
      <c r="G57" s="1153"/>
      <c r="H57" s="1154"/>
      <c r="I57" s="1155">
        <f t="shared" si="7"/>
        <v>-4.9737991503207013E-13</v>
      </c>
      <c r="J57" s="1185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6"/>
      <c r="F58" s="1152">
        <v>0</v>
      </c>
      <c r="G58" s="1153"/>
      <c r="H58" s="1154"/>
      <c r="I58" s="1155">
        <f t="shared" si="7"/>
        <v>-4.9737991503207013E-13</v>
      </c>
      <c r="J58" s="1185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6"/>
      <c r="F59" s="1152">
        <f t="shared" ref="F59:F74" si="13">D59</f>
        <v>0</v>
      </c>
      <c r="G59" s="1153"/>
      <c r="H59" s="1154"/>
      <c r="I59" s="1155">
        <f t="shared" si="7"/>
        <v>-4.9737991503207013E-13</v>
      </c>
      <c r="J59" s="1185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6"/>
      <c r="F60" s="1152">
        <f t="shared" si="13"/>
        <v>0</v>
      </c>
      <c r="G60" s="1153"/>
      <c r="H60" s="1154"/>
      <c r="I60" s="1155">
        <f t="shared" si="7"/>
        <v>-4.9737991503207013E-13</v>
      </c>
      <c r="J60" s="1185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96" t="s">
        <v>11</v>
      </c>
      <c r="D84" s="1397"/>
      <c r="E84" s="57">
        <f>E5+E6-F79+E7+E4</f>
        <v>-2.9132252166164108E-13</v>
      </c>
      <c r="F84" s="73"/>
      <c r="N84" s="1396" t="s">
        <v>11</v>
      </c>
      <c r="O84" s="1397"/>
      <c r="P84" s="57">
        <f>P5+P6-Q79+P7+P4</f>
        <v>880.81000000000017</v>
      </c>
      <c r="Q84" s="73"/>
      <c r="Y84" s="1396" t="s">
        <v>11</v>
      </c>
      <c r="Z84" s="1397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2023-02-03T16:01:10Z</dcterms:modified>
</cp:coreProperties>
</file>