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<sst xmlns="http://schemas.openxmlformats.org/spreadsheetml/2006/main" count="3566" uniqueCount="566">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</sst>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2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40" fillId="0" borderId="111" xfId="0" applyFont="1" applyFill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110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66FFFF"/>
      <color rgb="FF3399FF"/>
      <color rgb="FFFF3399"/>
      <color rgb="FF00FF00"/>
      <color rgb="FF99FFCC"/>
      <color rgb="FF00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G139" activePane="bottomRight" state="frozen"/>
      <selection pane="topRight" activeCell="B1" sqref="B1"/>
      <selection pane="bottomLeft" activeCell="A3" sqref="A3"/>
      <selection pane="bottomRight" activeCell="O149" sqref="O149:O15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28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15" t="s">
        <v>26</v>
      </c>
      <c r="L1" s="646"/>
      <c r="M1" s="1217" t="s">
        <v>27</v>
      </c>
      <c r="N1" s="921"/>
      <c r="P1" s="97" t="s">
        <v>38</v>
      </c>
      <c r="Q1" s="1213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16"/>
      <c r="L2" s="647" t="s">
        <v>29</v>
      </c>
      <c r="M2" s="1218"/>
      <c r="N2" s="922" t="s">
        <v>29</v>
      </c>
      <c r="O2" s="387" t="s">
        <v>30</v>
      </c>
      <c r="P2" s="98" t="s">
        <v>39</v>
      </c>
      <c r="Q2" s="1214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1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7" t="str">
        <f>PIERNA!C4</f>
        <v>Seaboard</v>
      </c>
      <c r="D4" s="798" t="str">
        <f>PIERNA!D4</f>
        <v>PED. 90393224</v>
      </c>
      <c r="E4" s="799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7" t="s">
        <v>230</v>
      </c>
      <c r="K4" s="984">
        <v>11151</v>
      </c>
      <c r="L4" s="917" t="s">
        <v>233</v>
      </c>
      <c r="M4" s="759">
        <v>37120</v>
      </c>
      <c r="N4" s="774" t="s">
        <v>233</v>
      </c>
      <c r="O4" s="775">
        <v>2111044</v>
      </c>
      <c r="P4" s="1166">
        <v>5278</v>
      </c>
      <c r="Q4" s="911">
        <f>43549.97*19.45</f>
        <v>847046.91649999993</v>
      </c>
      <c r="R4" s="912" t="s">
        <v>563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2" t="s">
        <v>231</v>
      </c>
      <c r="K5" s="916">
        <v>12151</v>
      </c>
      <c r="L5" s="917" t="s">
        <v>233</v>
      </c>
      <c r="M5" s="759">
        <v>37120</v>
      </c>
      <c r="N5" s="774" t="s">
        <v>233</v>
      </c>
      <c r="O5" s="775">
        <v>2111045</v>
      </c>
      <c r="P5" s="1166">
        <v>5278</v>
      </c>
      <c r="Q5" s="911">
        <f>43741.62*19.45</f>
        <v>850774.50899999996</v>
      </c>
      <c r="R5" s="912" t="s">
        <v>563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5" t="s">
        <v>354</v>
      </c>
      <c r="K6" s="984">
        <v>12161</v>
      </c>
      <c r="L6" s="1053" t="s">
        <v>233</v>
      </c>
      <c r="M6" s="759">
        <v>37120</v>
      </c>
      <c r="N6" s="774" t="s">
        <v>389</v>
      </c>
      <c r="O6" s="778">
        <v>1211480</v>
      </c>
      <c r="P6" s="1165">
        <v>5336</v>
      </c>
      <c r="Q6" s="1051">
        <f>44062.9*19.3</f>
        <v>850413.97000000009</v>
      </c>
      <c r="R6" s="1052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4" t="s">
        <v>352</v>
      </c>
      <c r="K7" s="984">
        <v>9851</v>
      </c>
      <c r="L7" s="1053" t="s">
        <v>233</v>
      </c>
      <c r="M7" s="759">
        <v>37120</v>
      </c>
      <c r="N7" s="774" t="s">
        <v>389</v>
      </c>
      <c r="O7" s="778">
        <v>2111540</v>
      </c>
      <c r="P7" s="1165">
        <v>5452</v>
      </c>
      <c r="Q7" s="913">
        <f>45575.34*19.41</f>
        <v>884617.34939999995</v>
      </c>
      <c r="R7" s="912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2" t="s">
        <v>355</v>
      </c>
      <c r="K8" s="758">
        <v>12151</v>
      </c>
      <c r="L8" s="787" t="s">
        <v>388</v>
      </c>
      <c r="M8" s="759">
        <v>37120</v>
      </c>
      <c r="N8" s="780" t="s">
        <v>390</v>
      </c>
      <c r="O8" s="1072">
        <v>2111874</v>
      </c>
      <c r="P8" s="776">
        <v>0</v>
      </c>
      <c r="Q8" s="913">
        <f>40887.03*19.405</f>
        <v>793412.81715000002</v>
      </c>
      <c r="R8" s="915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2" t="s">
        <v>357</v>
      </c>
      <c r="K9" s="984">
        <v>12161</v>
      </c>
      <c r="L9" s="1053" t="s">
        <v>233</v>
      </c>
      <c r="M9" s="759">
        <v>37120</v>
      </c>
      <c r="N9" s="780" t="s">
        <v>390</v>
      </c>
      <c r="O9" s="782">
        <v>1213583</v>
      </c>
      <c r="P9" s="776"/>
      <c r="Q9" s="524">
        <f>43731.05*19.445</f>
        <v>850350.26725000003</v>
      </c>
      <c r="R9" s="783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60" t="s">
        <v>362</v>
      </c>
      <c r="K10" s="758"/>
      <c r="L10" s="787"/>
      <c r="M10" s="759"/>
      <c r="N10" s="780"/>
      <c r="O10" s="782" t="s">
        <v>358</v>
      </c>
      <c r="P10" s="776">
        <v>12</v>
      </c>
      <c r="Q10" s="524">
        <f>134+65000</f>
        <v>65134</v>
      </c>
      <c r="R10" s="783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4" t="s">
        <v>361</v>
      </c>
      <c r="K11" s="758">
        <v>11151</v>
      </c>
      <c r="L11" s="781" t="s">
        <v>390</v>
      </c>
      <c r="M11" s="759">
        <v>27840</v>
      </c>
      <c r="N11" s="780" t="s">
        <v>394</v>
      </c>
      <c r="O11" s="785">
        <v>2111873</v>
      </c>
      <c r="P11" s="776"/>
      <c r="Q11" s="911">
        <f>40942.64*19.405</f>
        <v>794491.92920000001</v>
      </c>
      <c r="R11" s="914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2" t="s">
        <v>351</v>
      </c>
      <c r="K12" s="758">
        <v>11151</v>
      </c>
      <c r="L12" s="781" t="s">
        <v>391</v>
      </c>
      <c r="M12" s="759">
        <v>37120</v>
      </c>
      <c r="N12" s="780" t="s">
        <v>392</v>
      </c>
      <c r="O12" s="785">
        <v>2113851</v>
      </c>
      <c r="P12" s="776"/>
      <c r="Q12" s="911">
        <f>43121.86*19.335</f>
        <v>833761.16310000001</v>
      </c>
      <c r="R12" s="914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08" t="s">
        <v>363</v>
      </c>
      <c r="K13" s="758">
        <v>11151</v>
      </c>
      <c r="L13" s="781" t="s">
        <v>392</v>
      </c>
      <c r="M13" s="759">
        <v>37120</v>
      </c>
      <c r="N13" s="780" t="s">
        <v>386</v>
      </c>
      <c r="O13" s="785">
        <v>1219005</v>
      </c>
      <c r="P13" s="776"/>
      <c r="Q13" s="386">
        <f>42254.91*19.79</f>
        <v>836224.66890000005</v>
      </c>
      <c r="R13" s="783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4" t="s">
        <v>364</v>
      </c>
      <c r="K14" s="758">
        <v>12001</v>
      </c>
      <c r="L14" s="781" t="s">
        <v>386</v>
      </c>
      <c r="M14" s="759">
        <v>37120</v>
      </c>
      <c r="N14" s="780" t="s">
        <v>393</v>
      </c>
      <c r="O14" s="782">
        <v>2113852</v>
      </c>
      <c r="P14" s="776"/>
      <c r="Q14" s="386">
        <f>41091.73*19.185</f>
        <v>788344.84005</v>
      </c>
      <c r="R14" s="786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1" t="s">
        <v>365</v>
      </c>
      <c r="K15" s="758">
        <v>12543</v>
      </c>
      <c r="L15" s="781" t="s">
        <v>392</v>
      </c>
      <c r="M15" s="759">
        <v>37120</v>
      </c>
      <c r="N15" s="787" t="s">
        <v>386</v>
      </c>
      <c r="O15" s="788">
        <v>1220853</v>
      </c>
      <c r="P15" s="776"/>
      <c r="Q15" s="386">
        <f>41553.06*19.88</f>
        <v>826074.83279999986</v>
      </c>
      <c r="R15" s="789" t="s">
        <v>489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0" t="s">
        <v>366</v>
      </c>
      <c r="K16" s="758">
        <v>11151</v>
      </c>
      <c r="L16" s="781" t="s">
        <v>393</v>
      </c>
      <c r="M16" s="759">
        <v>37120</v>
      </c>
      <c r="N16" s="787" t="s">
        <v>394</v>
      </c>
      <c r="O16" s="785">
        <v>2114514</v>
      </c>
      <c r="P16" s="776"/>
      <c r="Q16" s="524">
        <f>40672.07*19.8</f>
        <v>805306.98600000003</v>
      </c>
      <c r="R16" s="783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19" t="s">
        <v>367</v>
      </c>
      <c r="K17" s="758">
        <v>9851</v>
      </c>
      <c r="L17" s="781" t="s">
        <v>393</v>
      </c>
      <c r="M17" s="759">
        <v>37120</v>
      </c>
      <c r="N17" s="787" t="s">
        <v>394</v>
      </c>
      <c r="O17" s="785">
        <v>2114320</v>
      </c>
      <c r="P17" s="776"/>
      <c r="Q17" s="911">
        <f>41349.55*19.335</f>
        <v>799493.54925000004</v>
      </c>
      <c r="R17" s="914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4" t="s">
        <v>424</v>
      </c>
      <c r="K18" s="758">
        <v>12001</v>
      </c>
      <c r="L18" s="781" t="s">
        <v>393</v>
      </c>
      <c r="M18" s="759">
        <v>37120</v>
      </c>
      <c r="N18" s="787" t="s">
        <v>488</v>
      </c>
      <c r="O18" s="775">
        <v>2114513</v>
      </c>
      <c r="P18" s="776"/>
      <c r="Q18" s="524">
        <f>40564.53*19.445</f>
        <v>788777.28584999999</v>
      </c>
      <c r="R18" s="786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4" t="s">
        <v>425</v>
      </c>
      <c r="K19" s="758">
        <v>12161</v>
      </c>
      <c r="L19" s="781" t="s">
        <v>393</v>
      </c>
      <c r="M19" s="759">
        <v>27840</v>
      </c>
      <c r="N19" s="780" t="s">
        <v>497</v>
      </c>
      <c r="O19" s="782">
        <v>2114512</v>
      </c>
      <c r="P19" s="731"/>
      <c r="Q19" s="524">
        <f>40576.27*19.445</f>
        <v>789005.57014999993</v>
      </c>
      <c r="R19" s="774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2" t="s">
        <v>426</v>
      </c>
      <c r="K20" s="758">
        <v>11151</v>
      </c>
      <c r="L20" s="781" t="s">
        <v>394</v>
      </c>
      <c r="M20" s="759">
        <v>37120</v>
      </c>
      <c r="N20" s="780" t="s">
        <v>394</v>
      </c>
      <c r="O20" s="782">
        <v>1220782</v>
      </c>
      <c r="P20" s="776"/>
      <c r="Q20" s="524">
        <f>41547.21*19.56</f>
        <v>812663.42759999994</v>
      </c>
      <c r="R20" s="774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2" t="s">
        <v>430</v>
      </c>
      <c r="K21" s="758">
        <v>12151</v>
      </c>
      <c r="L21" s="781" t="s">
        <v>493</v>
      </c>
      <c r="M21" s="759">
        <v>37120</v>
      </c>
      <c r="N21" s="780" t="s">
        <v>493</v>
      </c>
      <c r="O21" s="785">
        <v>2116427</v>
      </c>
      <c r="P21" s="776"/>
      <c r="Q21" s="524">
        <f>42604.72*19.74</f>
        <v>841017.17279999994</v>
      </c>
      <c r="R21" s="774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4" t="s">
        <v>431</v>
      </c>
      <c r="K22" s="758">
        <v>12151</v>
      </c>
      <c r="L22" s="781" t="s">
        <v>493</v>
      </c>
      <c r="M22" s="759">
        <v>37120</v>
      </c>
      <c r="N22" s="780" t="s">
        <v>493</v>
      </c>
      <c r="O22" s="785">
        <v>2116428</v>
      </c>
      <c r="P22" s="792"/>
      <c r="Q22" s="524">
        <f>42500.53*19.74</f>
        <v>838960.46219999995</v>
      </c>
      <c r="R22" s="774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2" t="s">
        <v>432</v>
      </c>
      <c r="K23" s="758">
        <v>9851</v>
      </c>
      <c r="L23" s="781" t="s">
        <v>493</v>
      </c>
      <c r="M23" s="759">
        <v>37120</v>
      </c>
      <c r="N23" s="780" t="s">
        <v>493</v>
      </c>
      <c r="O23" s="775">
        <v>2116429</v>
      </c>
      <c r="P23" s="776"/>
      <c r="Q23" s="524">
        <f>42921.39*19.81</f>
        <v>850272.73589999997</v>
      </c>
      <c r="R23" s="774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4" t="s">
        <v>433</v>
      </c>
      <c r="K24" s="758">
        <v>11001</v>
      </c>
      <c r="L24" s="781" t="s">
        <v>493</v>
      </c>
      <c r="M24" s="759">
        <v>37120</v>
      </c>
      <c r="N24" s="780" t="s">
        <v>494</v>
      </c>
      <c r="O24" s="782">
        <v>1231770</v>
      </c>
      <c r="P24" s="776"/>
      <c r="Q24" s="524">
        <f>42032.13*19.825</f>
        <v>833286.97724999988</v>
      </c>
      <c r="R24" s="774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2" t="s">
        <v>434</v>
      </c>
      <c r="K25" s="758">
        <v>12151</v>
      </c>
      <c r="L25" s="781" t="s">
        <v>493</v>
      </c>
      <c r="M25" s="759">
        <v>37120</v>
      </c>
      <c r="N25" s="780" t="s">
        <v>494</v>
      </c>
      <c r="O25" s="782">
        <v>1231769</v>
      </c>
      <c r="P25" s="792"/>
      <c r="Q25" s="524">
        <f>41171.97*19.84</f>
        <v>816851.8848</v>
      </c>
      <c r="R25" s="777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4" t="s">
        <v>436</v>
      </c>
      <c r="K26" s="758">
        <v>9851</v>
      </c>
      <c r="L26" s="773" t="s">
        <v>494</v>
      </c>
      <c r="M26" s="759">
        <v>37120</v>
      </c>
      <c r="N26" s="774" t="s">
        <v>496</v>
      </c>
      <c r="O26" s="782">
        <v>1233100</v>
      </c>
      <c r="P26" s="776"/>
      <c r="Q26" s="524">
        <f>43530.26*19.785</f>
        <v>861246.19410000008</v>
      </c>
      <c r="R26" s="774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4" t="s">
        <v>437</v>
      </c>
      <c r="K27" s="758">
        <v>12001</v>
      </c>
      <c r="L27" s="773" t="s">
        <v>493</v>
      </c>
      <c r="M27" s="759">
        <v>37120</v>
      </c>
      <c r="N27" s="774" t="s">
        <v>494</v>
      </c>
      <c r="O27" s="782">
        <v>2116430</v>
      </c>
      <c r="P27" s="792"/>
      <c r="Q27" s="524">
        <f>43046.01*19.72</f>
        <v>848867.31720000005</v>
      </c>
      <c r="R27" s="774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4" t="s">
        <v>438</v>
      </c>
      <c r="K28" s="758"/>
      <c r="L28" s="773"/>
      <c r="M28" s="759">
        <v>27840</v>
      </c>
      <c r="N28" s="774" t="s">
        <v>553</v>
      </c>
      <c r="O28" s="782">
        <v>2116432</v>
      </c>
      <c r="P28" s="776"/>
      <c r="Q28" s="524">
        <f>44213.17*19.69</f>
        <v>870557.3173</v>
      </c>
      <c r="R28" s="777" t="s">
        <v>387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1" t="s">
        <v>439</v>
      </c>
      <c r="K29" s="696">
        <v>12001</v>
      </c>
      <c r="L29" s="773" t="s">
        <v>496</v>
      </c>
      <c r="M29" s="759">
        <v>37120</v>
      </c>
      <c r="N29" s="774" t="s">
        <v>497</v>
      </c>
      <c r="O29" s="775">
        <v>2117525</v>
      </c>
      <c r="P29" s="776"/>
      <c r="Q29" s="524">
        <f>42368.24*19.79</f>
        <v>838467.46959999995</v>
      </c>
      <c r="R29" s="777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2" t="s">
        <v>440</v>
      </c>
      <c r="K30" s="758">
        <v>12001</v>
      </c>
      <c r="L30" s="773" t="s">
        <v>495</v>
      </c>
      <c r="M30" s="759">
        <v>27840</v>
      </c>
      <c r="N30" s="774" t="s">
        <v>553</v>
      </c>
      <c r="O30" s="775">
        <v>2116431</v>
      </c>
      <c r="P30" s="776"/>
      <c r="Q30" s="524">
        <f>44053.78*19.69</f>
        <v>867418.92820000008</v>
      </c>
      <c r="R30" s="777" t="s">
        <v>387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2" t="s">
        <v>441</v>
      </c>
      <c r="K31" s="758">
        <v>12161</v>
      </c>
      <c r="L31" s="773" t="s">
        <v>496</v>
      </c>
      <c r="M31" s="759">
        <v>37120</v>
      </c>
      <c r="N31" s="774" t="s">
        <v>497</v>
      </c>
      <c r="O31" s="775">
        <v>2117526</v>
      </c>
      <c r="P31" s="776"/>
      <c r="Q31" s="524">
        <f>42267.19*19.88</f>
        <v>840271.73719999997</v>
      </c>
      <c r="R31" s="777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2" t="str">
        <f>PIERNA!KG5</f>
        <v>PED. 91307670</v>
      </c>
      <c r="E32" s="943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2" t="s">
        <v>447</v>
      </c>
      <c r="K32" s="758">
        <v>12161</v>
      </c>
      <c r="L32" s="773" t="s">
        <v>553</v>
      </c>
      <c r="M32" s="759">
        <v>37120</v>
      </c>
      <c r="N32" s="774" t="s">
        <v>554</v>
      </c>
      <c r="O32" s="775">
        <v>2118200</v>
      </c>
      <c r="P32" s="776"/>
      <c r="Q32" s="524">
        <f>41167.67*19.88</f>
        <v>818413.27959999989</v>
      </c>
      <c r="R32" s="777" t="s">
        <v>489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2" t="str">
        <f>PIERNA!KQ5</f>
        <v>PED. 91354477</v>
      </c>
      <c r="E33" s="943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2" t="s">
        <v>448</v>
      </c>
      <c r="K33" s="696">
        <v>11151</v>
      </c>
      <c r="L33" s="773" t="s">
        <v>553</v>
      </c>
      <c r="M33" s="759">
        <v>37120</v>
      </c>
      <c r="N33" s="774" t="s">
        <v>554</v>
      </c>
      <c r="O33" s="775">
        <v>1238364</v>
      </c>
      <c r="P33" s="793"/>
      <c r="Q33" s="524">
        <f>41312.79*19.71</f>
        <v>814275.09090000007</v>
      </c>
      <c r="R33" s="777" t="s">
        <v>492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2" t="s">
        <v>449</v>
      </c>
      <c r="K34" s="758">
        <v>12001</v>
      </c>
      <c r="L34" s="773" t="s">
        <v>554</v>
      </c>
      <c r="M34" s="759">
        <v>37120</v>
      </c>
      <c r="N34" s="774" t="s">
        <v>555</v>
      </c>
      <c r="O34" s="778">
        <v>2118754</v>
      </c>
      <c r="P34" s="776"/>
      <c r="Q34" s="525">
        <f>41098.92*19.88</f>
        <v>817046.52959999989</v>
      </c>
      <c r="R34" s="779" t="s">
        <v>489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2" t="s">
        <v>450</v>
      </c>
      <c r="K35" s="758">
        <v>11151</v>
      </c>
      <c r="L35" s="773" t="s">
        <v>554</v>
      </c>
      <c r="M35" s="759">
        <v>37120</v>
      </c>
      <c r="N35" s="774" t="s">
        <v>555</v>
      </c>
      <c r="O35" s="778">
        <v>1239758</v>
      </c>
      <c r="P35" s="793"/>
      <c r="Q35" s="386">
        <f>40653.15*19.67</f>
        <v>799647.46050000004</v>
      </c>
      <c r="R35" s="777" t="s">
        <v>460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2" t="s">
        <v>451</v>
      </c>
      <c r="K36" s="758">
        <v>11151</v>
      </c>
      <c r="L36" s="773" t="s">
        <v>555</v>
      </c>
      <c r="M36" s="759">
        <v>37120</v>
      </c>
      <c r="N36" s="780" t="s">
        <v>556</v>
      </c>
      <c r="O36" s="778">
        <v>2118201</v>
      </c>
      <c r="P36" s="793"/>
      <c r="Q36" s="386">
        <f>40458.59*19.62</f>
        <v>793797.53579999995</v>
      </c>
      <c r="R36" s="774" t="s">
        <v>490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2" t="s">
        <v>452</v>
      </c>
      <c r="K37" s="758">
        <v>10101</v>
      </c>
      <c r="L37" s="773" t="s">
        <v>554</v>
      </c>
      <c r="M37" s="759">
        <v>37120</v>
      </c>
      <c r="N37" s="774" t="s">
        <v>555</v>
      </c>
      <c r="O37" s="782">
        <v>2118756</v>
      </c>
      <c r="P37" s="776"/>
      <c r="Q37" s="524">
        <f>41169.63*19.62</f>
        <v>807748.14060000004</v>
      </c>
      <c r="R37" s="774" t="s">
        <v>462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4" t="s">
        <v>453</v>
      </c>
      <c r="K38" s="758">
        <v>10101</v>
      </c>
      <c r="L38" s="795" t="s">
        <v>555</v>
      </c>
      <c r="M38" s="759">
        <v>37120</v>
      </c>
      <c r="N38" s="774" t="s">
        <v>556</v>
      </c>
      <c r="O38" s="782">
        <v>1243711</v>
      </c>
      <c r="P38" s="776"/>
      <c r="Q38" s="524">
        <f>39717.88*19.495</f>
        <v>774300.07059999998</v>
      </c>
      <c r="R38" s="777" t="s">
        <v>543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6" t="s">
        <v>454</v>
      </c>
      <c r="K39" s="386">
        <v>12161</v>
      </c>
      <c r="L39" s="795" t="s">
        <v>556</v>
      </c>
      <c r="M39" s="759">
        <v>37120</v>
      </c>
      <c r="N39" s="774" t="s">
        <v>557</v>
      </c>
      <c r="O39" s="775">
        <v>2120376</v>
      </c>
      <c r="P39" s="776"/>
      <c r="Q39" s="524">
        <f>40079.81*19.84</f>
        <v>795183.43039999995</v>
      </c>
      <c r="R39" s="777" t="s">
        <v>491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>
        <v>12001</v>
      </c>
      <c r="L40" s="773" t="s">
        <v>556</v>
      </c>
      <c r="M40" s="759">
        <v>37120</v>
      </c>
      <c r="N40" s="774" t="s">
        <v>557</v>
      </c>
      <c r="O40" s="775">
        <v>2120377</v>
      </c>
      <c r="P40" s="776"/>
      <c r="Q40" s="524">
        <f>40329.65*19.84</f>
        <v>800140.25600000005</v>
      </c>
      <c r="R40" s="777" t="s">
        <v>491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>
        <v>12161</v>
      </c>
      <c r="L41" s="773" t="s">
        <v>554</v>
      </c>
      <c r="M41" s="759">
        <v>27840</v>
      </c>
      <c r="N41" s="774" t="s">
        <v>558</v>
      </c>
      <c r="O41" s="775">
        <v>2118755</v>
      </c>
      <c r="P41" s="776"/>
      <c r="Q41" s="524">
        <f>41623.36*19.62</f>
        <v>816650.3232000001</v>
      </c>
      <c r="R41" s="777" t="s">
        <v>462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>
        <v>12151</v>
      </c>
      <c r="L42" s="773" t="s">
        <v>555</v>
      </c>
      <c r="M42" s="759">
        <v>27840</v>
      </c>
      <c r="N42" s="774" t="s">
        <v>558</v>
      </c>
      <c r="O42" s="775">
        <v>2118757</v>
      </c>
      <c r="P42" s="776"/>
      <c r="Q42" s="524">
        <f>41001.07*19.825</f>
        <v>812846.21274999995</v>
      </c>
      <c r="R42" s="777" t="s">
        <v>464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>
        <v>11151</v>
      </c>
      <c r="L43" s="773" t="s">
        <v>557</v>
      </c>
      <c r="M43" s="759">
        <v>37120</v>
      </c>
      <c r="N43" s="774" t="s">
        <v>557</v>
      </c>
      <c r="O43" s="775">
        <v>2120378</v>
      </c>
      <c r="P43" s="776"/>
      <c r="Q43" s="524">
        <f>39456.7*19.785</f>
        <v>780650.80949999997</v>
      </c>
      <c r="R43" s="777" t="s">
        <v>459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564</v>
      </c>
      <c r="K44" s="382">
        <v>11151</v>
      </c>
      <c r="L44" s="594" t="s">
        <v>555</v>
      </c>
      <c r="M44" s="759">
        <v>27840</v>
      </c>
      <c r="N44" s="780" t="s">
        <v>558</v>
      </c>
      <c r="O44" s="385">
        <v>2119673</v>
      </c>
      <c r="P44" s="384"/>
      <c r="Q44" s="386">
        <f>41440.77*19.825</f>
        <v>821563.26524999994</v>
      </c>
      <c r="R44" s="1164" t="s">
        <v>464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533</v>
      </c>
      <c r="K45" s="382">
        <v>12001</v>
      </c>
      <c r="L45" s="594" t="s">
        <v>559</v>
      </c>
      <c r="M45" s="382">
        <v>37120</v>
      </c>
      <c r="N45" s="595" t="s">
        <v>560</v>
      </c>
      <c r="O45" s="385">
        <v>2121338</v>
      </c>
      <c r="P45" s="384"/>
      <c r="Q45" s="386">
        <f>41121.55*19.755</f>
        <v>812356.22025000001</v>
      </c>
      <c r="R45" s="1164" t="s">
        <v>552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534</v>
      </c>
      <c r="K46" s="382">
        <v>12151</v>
      </c>
      <c r="L46" s="594" t="s">
        <v>559</v>
      </c>
      <c r="M46" s="382">
        <v>37120</v>
      </c>
      <c r="N46" s="595" t="s">
        <v>560</v>
      </c>
      <c r="O46" s="385">
        <v>2121710</v>
      </c>
      <c r="P46" s="384"/>
      <c r="Q46" s="386">
        <f>41897.13*19.755</f>
        <v>827677.80314999993</v>
      </c>
      <c r="R46" s="1164" t="s">
        <v>548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535</v>
      </c>
      <c r="K47" s="382">
        <v>11151</v>
      </c>
      <c r="L47" s="594" t="s">
        <v>559</v>
      </c>
      <c r="M47" s="581">
        <v>37120</v>
      </c>
      <c r="N47" s="595" t="s">
        <v>560</v>
      </c>
      <c r="O47" s="388">
        <v>1251040</v>
      </c>
      <c r="P47" s="384"/>
      <c r="Q47" s="386">
        <f>41038.39*19.385</f>
        <v>795529.19015000004</v>
      </c>
      <c r="R47" s="1164" t="s">
        <v>545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540</v>
      </c>
      <c r="K48" s="382">
        <v>12161</v>
      </c>
      <c r="L48" s="594" t="s">
        <v>560</v>
      </c>
      <c r="M48" s="582">
        <v>37120</v>
      </c>
      <c r="N48" s="595" t="s">
        <v>561</v>
      </c>
      <c r="O48" s="385">
        <v>2122567</v>
      </c>
      <c r="P48" s="384"/>
      <c r="Q48" s="386">
        <f>39019.09*19.4</f>
        <v>756970.3459999999</v>
      </c>
      <c r="R48" s="1164" t="s">
        <v>543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541</v>
      </c>
      <c r="K49" s="382">
        <v>16951</v>
      </c>
      <c r="L49" s="594" t="s">
        <v>561</v>
      </c>
      <c r="M49" s="582">
        <v>37120</v>
      </c>
      <c r="N49" s="595" t="s">
        <v>562</v>
      </c>
      <c r="O49" s="385">
        <v>2122566</v>
      </c>
      <c r="P49" s="384"/>
      <c r="Q49" s="386">
        <f>39410.18*19.755</f>
        <v>778548.10589999997</v>
      </c>
      <c r="R49" s="1164" t="s">
        <v>548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116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116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4"/>
      <c r="P98" s="804"/>
      <c r="Q98" s="899"/>
      <c r="R98" s="811"/>
      <c r="S98" s="65"/>
      <c r="T98" s="170"/>
    </row>
    <row r="99" spans="1:20" s="152" customFormat="1" ht="26.25" customHeight="1" x14ac:dyDescent="0.25">
      <c r="A99" s="100">
        <v>61</v>
      </c>
      <c r="B99" s="901" t="s">
        <v>353</v>
      </c>
      <c r="C99" s="803" t="s">
        <v>71</v>
      </c>
      <c r="D99" s="1038"/>
      <c r="E99" s="1046">
        <v>44893</v>
      </c>
      <c r="F99" s="1040">
        <v>2810.63</v>
      </c>
      <c r="G99" s="803">
        <v>94</v>
      </c>
      <c r="H99" s="1041">
        <v>2810.63</v>
      </c>
      <c r="I99" s="467">
        <f>H99-F99</f>
        <v>0</v>
      </c>
      <c r="J99" s="968"/>
      <c r="K99" s="759"/>
      <c r="L99" s="773"/>
      <c r="M99" s="759"/>
      <c r="N99" s="969"/>
      <c r="O99" s="770"/>
      <c r="P99" s="763"/>
      <c r="Q99" s="1042"/>
      <c r="R99" s="104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4" t="s">
        <v>178</v>
      </c>
      <c r="D100" s="1045"/>
      <c r="E100" s="1047">
        <v>44894</v>
      </c>
      <c r="F100" s="1069">
        <v>248.57</v>
      </c>
      <c r="G100" s="1070">
        <v>21</v>
      </c>
      <c r="H100" s="1048">
        <v>248.57</v>
      </c>
      <c r="I100" s="467">
        <f>H100-F100</f>
        <v>0</v>
      </c>
      <c r="J100" s="968"/>
      <c r="K100" s="759"/>
      <c r="L100" s="773"/>
      <c r="M100" s="759"/>
      <c r="N100" s="969"/>
      <c r="O100" s="1090" t="s">
        <v>382</v>
      </c>
      <c r="P100" s="763"/>
      <c r="Q100" s="523">
        <v>21128.45</v>
      </c>
      <c r="R100" s="1095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3" t="s">
        <v>468</v>
      </c>
      <c r="C101" s="1121" t="s">
        <v>484</v>
      </c>
      <c r="D101" s="1045" t="s">
        <v>485</v>
      </c>
      <c r="E101" s="1047">
        <v>44896</v>
      </c>
      <c r="F101" s="1069">
        <f>74.1+62.32+77.38+71.36</f>
        <v>285.15999999999997</v>
      </c>
      <c r="G101" s="1070"/>
      <c r="H101" s="1048">
        <v>285.16000000000003</v>
      </c>
      <c r="I101" s="467">
        <f t="shared" ref="I101:I102" si="18">H101-F101</f>
        <v>0</v>
      </c>
      <c r="J101" s="968"/>
      <c r="K101" s="759"/>
      <c r="L101" s="773"/>
      <c r="M101" s="759"/>
      <c r="N101" s="969"/>
      <c r="O101" s="1113" t="s">
        <v>486</v>
      </c>
      <c r="P101" s="1101"/>
      <c r="Q101" s="1104">
        <f>74.1*38+62.32*78+77.38*90+71.36*110</f>
        <v>22490.559999999998</v>
      </c>
      <c r="R101" s="1122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19" t="s">
        <v>80</v>
      </c>
      <c r="C102" s="907" t="s">
        <v>179</v>
      </c>
      <c r="D102" s="900"/>
      <c r="E102" s="902">
        <v>44897</v>
      </c>
      <c r="F102" s="904">
        <v>1004.87</v>
      </c>
      <c r="G102" s="900">
        <v>84</v>
      </c>
      <c r="H102" s="904">
        <v>1004.87</v>
      </c>
      <c r="I102" s="467">
        <f t="shared" si="18"/>
        <v>0</v>
      </c>
      <c r="J102" s="971"/>
      <c r="K102" s="759"/>
      <c r="L102" s="972"/>
      <c r="M102" s="759"/>
      <c r="N102" s="1075"/>
      <c r="O102" s="1221" t="s">
        <v>356</v>
      </c>
      <c r="P102" s="1097"/>
      <c r="Q102" s="1094">
        <v>99482.13</v>
      </c>
      <c r="R102" s="1254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20"/>
      <c r="C103" s="1049" t="s">
        <v>178</v>
      </c>
      <c r="D103" s="1038"/>
      <c r="E103" s="1039">
        <v>44897</v>
      </c>
      <c r="F103" s="1040">
        <v>106.18</v>
      </c>
      <c r="G103" s="803">
        <v>9</v>
      </c>
      <c r="H103" s="1041">
        <v>106.18</v>
      </c>
      <c r="I103" s="467">
        <f t="shared" ref="I103:I134" si="21">H103-F103</f>
        <v>0</v>
      </c>
      <c r="J103" s="970"/>
      <c r="K103" s="973"/>
      <c r="L103" s="974"/>
      <c r="M103" s="759"/>
      <c r="N103" s="1075"/>
      <c r="O103" s="1222"/>
      <c r="P103" s="1097"/>
      <c r="Q103" s="1094">
        <v>9025.2999999999993</v>
      </c>
      <c r="R103" s="1255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8" t="s">
        <v>468</v>
      </c>
      <c r="C104" s="1112" t="s">
        <v>474</v>
      </c>
      <c r="D104" s="1038" t="s">
        <v>469</v>
      </c>
      <c r="E104" s="1039">
        <v>44897</v>
      </c>
      <c r="F104" s="1040">
        <v>7423.12</v>
      </c>
      <c r="G104" s="803">
        <v>8</v>
      </c>
      <c r="H104" s="1041">
        <v>7423.12</v>
      </c>
      <c r="I104" s="467">
        <f t="shared" si="21"/>
        <v>0</v>
      </c>
      <c r="J104" s="970"/>
      <c r="K104" s="973"/>
      <c r="L104" s="974"/>
      <c r="M104" s="759"/>
      <c r="N104" s="1075"/>
      <c r="O104" s="1106" t="s">
        <v>470</v>
      </c>
      <c r="P104" s="1097"/>
      <c r="Q104" s="1094">
        <v>181867</v>
      </c>
      <c r="R104" s="1107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50" t="s">
        <v>97</v>
      </c>
      <c r="C105" s="900" t="s">
        <v>359</v>
      </c>
      <c r="D105" s="900"/>
      <c r="E105" s="902">
        <v>44898</v>
      </c>
      <c r="F105" s="904">
        <v>5008.4799999999996</v>
      </c>
      <c r="G105" s="900">
        <v>184</v>
      </c>
      <c r="H105" s="904">
        <v>5008.4799999999996</v>
      </c>
      <c r="I105" s="467">
        <f t="shared" si="21"/>
        <v>0</v>
      </c>
      <c r="J105" s="971"/>
      <c r="K105" s="759"/>
      <c r="L105" s="972"/>
      <c r="M105" s="759"/>
      <c r="N105" s="977"/>
      <c r="O105" s="1098" t="s">
        <v>456</v>
      </c>
      <c r="P105" s="1086" t="s">
        <v>457</v>
      </c>
      <c r="Q105" s="526">
        <v>443250.48</v>
      </c>
      <c r="R105" s="1096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8" t="s">
        <v>177</v>
      </c>
      <c r="C106" s="900" t="s">
        <v>359</v>
      </c>
      <c r="D106" s="920"/>
      <c r="E106" s="902">
        <v>44900</v>
      </c>
      <c r="F106" s="904">
        <v>9016.44</v>
      </c>
      <c r="G106" s="900">
        <v>331</v>
      </c>
      <c r="H106" s="904">
        <v>9016.44</v>
      </c>
      <c r="I106" s="467">
        <f t="shared" si="21"/>
        <v>0</v>
      </c>
      <c r="J106" s="971"/>
      <c r="K106" s="759"/>
      <c r="L106" s="972"/>
      <c r="M106" s="759"/>
      <c r="N106" s="977"/>
      <c r="O106" s="764" t="s">
        <v>360</v>
      </c>
      <c r="P106" s="761"/>
      <c r="Q106" s="526">
        <v>775413.84</v>
      </c>
      <c r="R106" s="769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37" t="s">
        <v>371</v>
      </c>
      <c r="C107" s="1049" t="s">
        <v>43</v>
      </c>
      <c r="D107" s="1038"/>
      <c r="E107" s="1039">
        <v>44900</v>
      </c>
      <c r="F107" s="1040">
        <v>1502.74</v>
      </c>
      <c r="G107" s="803">
        <v>331</v>
      </c>
      <c r="H107" s="1041">
        <v>1502.74</v>
      </c>
      <c r="I107" s="467">
        <f t="shared" si="21"/>
        <v>0</v>
      </c>
      <c r="J107" s="968"/>
      <c r="K107" s="759"/>
      <c r="L107" s="972"/>
      <c r="M107" s="759"/>
      <c r="N107" s="976"/>
      <c r="O107" s="1240" t="s">
        <v>374</v>
      </c>
      <c r="P107" s="978"/>
      <c r="Q107" s="526">
        <v>66120.56</v>
      </c>
      <c r="R107" s="1234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38"/>
      <c r="C108" s="1057" t="s">
        <v>372</v>
      </c>
      <c r="D108" s="373"/>
      <c r="E108" s="902">
        <v>44900</v>
      </c>
      <c r="F108" s="904">
        <v>150</v>
      </c>
      <c r="G108" s="900">
        <v>15</v>
      </c>
      <c r="H108" s="904">
        <v>150</v>
      </c>
      <c r="I108" s="467">
        <f t="shared" si="21"/>
        <v>0</v>
      </c>
      <c r="J108" s="968"/>
      <c r="K108" s="759"/>
      <c r="L108" s="972"/>
      <c r="M108" s="759"/>
      <c r="N108" s="976"/>
      <c r="O108" s="1241"/>
      <c r="P108" s="978"/>
      <c r="Q108" s="526">
        <v>12750</v>
      </c>
      <c r="R108" s="1235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38"/>
      <c r="C109" s="907" t="s">
        <v>75</v>
      </c>
      <c r="D109" s="900"/>
      <c r="E109" s="902">
        <v>44900</v>
      </c>
      <c r="F109" s="904">
        <v>5</v>
      </c>
      <c r="G109" s="900">
        <v>1</v>
      </c>
      <c r="H109" s="904">
        <v>5</v>
      </c>
      <c r="I109" s="910">
        <f t="shared" si="21"/>
        <v>0</v>
      </c>
      <c r="J109" s="968"/>
      <c r="K109" s="759"/>
      <c r="L109" s="972"/>
      <c r="M109" s="759"/>
      <c r="N109" s="976"/>
      <c r="O109" s="1241"/>
      <c r="P109" s="759"/>
      <c r="Q109" s="526">
        <v>1500</v>
      </c>
      <c r="R109" s="1235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39"/>
      <c r="C110" s="907" t="s">
        <v>373</v>
      </c>
      <c r="D110" s="900"/>
      <c r="E110" s="902">
        <v>44900</v>
      </c>
      <c r="F110" s="904">
        <v>20</v>
      </c>
      <c r="G110" s="900">
        <v>1</v>
      </c>
      <c r="H110" s="904">
        <v>20</v>
      </c>
      <c r="I110" s="409">
        <f t="shared" si="21"/>
        <v>0</v>
      </c>
      <c r="J110" s="968"/>
      <c r="K110" s="759"/>
      <c r="L110" s="972"/>
      <c r="M110" s="759"/>
      <c r="N110" s="976"/>
      <c r="O110" s="1242"/>
      <c r="P110" s="759"/>
      <c r="Q110" s="526">
        <v>4600</v>
      </c>
      <c r="R110" s="1236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20" t="s">
        <v>468</v>
      </c>
      <c r="C111" s="907" t="s">
        <v>481</v>
      </c>
      <c r="D111" s="1111" t="s">
        <v>482</v>
      </c>
      <c r="E111" s="1118">
        <v>44901</v>
      </c>
      <c r="F111" s="904">
        <v>23628</v>
      </c>
      <c r="G111" s="900"/>
      <c r="H111" s="904">
        <v>23628</v>
      </c>
      <c r="I111" s="467">
        <f t="shared" si="21"/>
        <v>0</v>
      </c>
      <c r="J111" s="968"/>
      <c r="K111" s="759"/>
      <c r="L111" s="972"/>
      <c r="M111" s="759"/>
      <c r="N111" s="976"/>
      <c r="O111" s="1091" t="s">
        <v>483</v>
      </c>
      <c r="P111" s="1119"/>
      <c r="Q111" s="526">
        <v>23628</v>
      </c>
      <c r="R111" s="1089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9" t="s">
        <v>180</v>
      </c>
      <c r="C112" s="918" t="s">
        <v>181</v>
      </c>
      <c r="D112" s="755"/>
      <c r="E112" s="812">
        <v>44902</v>
      </c>
      <c r="F112" s="903">
        <v>1984.8</v>
      </c>
      <c r="G112" s="679">
        <v>5</v>
      </c>
      <c r="H112" s="906">
        <v>1984.8</v>
      </c>
      <c r="I112" s="467">
        <f t="shared" ref="I112:I113" si="28">H112-F112</f>
        <v>0</v>
      </c>
      <c r="J112" s="968"/>
      <c r="K112" s="759"/>
      <c r="L112" s="972"/>
      <c r="M112" s="759">
        <v>4176</v>
      </c>
      <c r="N112" s="976" t="s">
        <v>547</v>
      </c>
      <c r="O112" s="1073" t="s">
        <v>379</v>
      </c>
      <c r="P112" s="1088"/>
      <c r="Q112" s="526">
        <f>150000+42336</f>
        <v>192336</v>
      </c>
      <c r="R112" s="769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6" customFormat="1" ht="43.5" customHeight="1" thickBot="1" x14ac:dyDescent="0.3">
      <c r="A113" s="100">
        <v>75</v>
      </c>
      <c r="B113" s="1117" t="s">
        <v>468</v>
      </c>
      <c r="C113" s="1049" t="s">
        <v>478</v>
      </c>
      <c r="D113" s="1038" t="s">
        <v>479</v>
      </c>
      <c r="E113" s="1039">
        <v>44902</v>
      </c>
      <c r="F113" s="1040">
        <v>272</v>
      </c>
      <c r="G113" s="803"/>
      <c r="H113" s="1041">
        <v>272</v>
      </c>
      <c r="I113" s="467">
        <f t="shared" si="28"/>
        <v>0</v>
      </c>
      <c r="J113" s="968"/>
      <c r="K113" s="759"/>
      <c r="L113" s="972"/>
      <c r="M113" s="759"/>
      <c r="N113" s="1075"/>
      <c r="O113" s="1113" t="s">
        <v>480</v>
      </c>
      <c r="P113" s="1114"/>
      <c r="Q113" s="1087">
        <v>34000</v>
      </c>
      <c r="R113" s="1115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23" t="s">
        <v>422</v>
      </c>
      <c r="C114" s="907" t="s">
        <v>77</v>
      </c>
      <c r="D114" s="900"/>
      <c r="E114" s="560">
        <v>44900</v>
      </c>
      <c r="F114" s="904">
        <v>1109.3900000000001</v>
      </c>
      <c r="G114" s="900">
        <v>40</v>
      </c>
      <c r="H114" s="904">
        <v>1109.3900000000001</v>
      </c>
      <c r="I114" s="467">
        <f t="shared" si="21"/>
        <v>0</v>
      </c>
      <c r="J114" s="968"/>
      <c r="K114" s="759"/>
      <c r="L114" s="972"/>
      <c r="M114" s="759"/>
      <c r="N114" s="1075"/>
      <c r="O114" s="1226">
        <v>19343</v>
      </c>
      <c r="P114" s="1246" t="s">
        <v>457</v>
      </c>
      <c r="Q114" s="1087">
        <v>99845.1</v>
      </c>
      <c r="R114" s="1243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24"/>
      <c r="C115" s="907" t="s">
        <v>423</v>
      </c>
      <c r="D115" s="900"/>
      <c r="E115" s="560">
        <v>44900</v>
      </c>
      <c r="F115" s="904">
        <v>3050.42</v>
      </c>
      <c r="G115" s="900">
        <v>115</v>
      </c>
      <c r="H115" s="904">
        <v>3050.42</v>
      </c>
      <c r="I115" s="467">
        <f t="shared" si="21"/>
        <v>0</v>
      </c>
      <c r="J115" s="968"/>
      <c r="K115" s="759"/>
      <c r="L115" s="975"/>
      <c r="M115" s="759"/>
      <c r="N115" s="1076"/>
      <c r="O115" s="1227"/>
      <c r="P115" s="1247"/>
      <c r="Q115" s="1087">
        <v>222680.66</v>
      </c>
      <c r="R115" s="1244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25"/>
      <c r="C116" s="907" t="s">
        <v>395</v>
      </c>
      <c r="D116" s="900"/>
      <c r="E116" s="560">
        <v>44900</v>
      </c>
      <c r="F116" s="904">
        <v>2944.1</v>
      </c>
      <c r="G116" s="900">
        <v>125</v>
      </c>
      <c r="H116" s="904">
        <v>2944.1</v>
      </c>
      <c r="I116" s="467">
        <f t="shared" si="21"/>
        <v>0</v>
      </c>
      <c r="J116" s="968"/>
      <c r="K116" s="759"/>
      <c r="L116" s="975"/>
      <c r="M116" s="759"/>
      <c r="N116" s="1076"/>
      <c r="O116" s="1228"/>
      <c r="P116" s="1248"/>
      <c r="Q116" s="1087">
        <v>247304.4</v>
      </c>
      <c r="R116" s="1245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8" t="s">
        <v>468</v>
      </c>
      <c r="C117" s="907" t="s">
        <v>476</v>
      </c>
      <c r="D117" s="1111" t="s">
        <v>475</v>
      </c>
      <c r="E117" s="560">
        <v>44902</v>
      </c>
      <c r="F117" s="904">
        <f>89.34+101.98+78.24+11.36+78.9+43.92+2.5+90.96</f>
        <v>497.20000000000005</v>
      </c>
      <c r="G117" s="900"/>
      <c r="H117" s="904">
        <v>497.2</v>
      </c>
      <c r="I117" s="467">
        <f t="shared" si="21"/>
        <v>0</v>
      </c>
      <c r="J117" s="968"/>
      <c r="K117" s="759"/>
      <c r="L117" s="975"/>
      <c r="M117" s="759"/>
      <c r="N117" s="1076"/>
      <c r="O117" s="1109" t="s">
        <v>477</v>
      </c>
      <c r="P117" s="1110"/>
      <c r="Q117" s="1087">
        <f>89.34*80+101.98*90+78.24*110+11.36*90+78.9*90+43.92*90+2.5*80+90.96*78</f>
        <v>44302.880000000005</v>
      </c>
      <c r="R117" s="1092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8" t="s">
        <v>468</v>
      </c>
      <c r="C118" s="907" t="s">
        <v>473</v>
      </c>
      <c r="D118" s="1111" t="s">
        <v>472</v>
      </c>
      <c r="E118" s="560">
        <v>44903</v>
      </c>
      <c r="F118" s="904">
        <f>14.78+87.72+20.76+112.18+123.34+78.74</f>
        <v>437.52</v>
      </c>
      <c r="G118" s="900"/>
      <c r="H118" s="904">
        <v>437.52</v>
      </c>
      <c r="I118" s="467">
        <f t="shared" si="21"/>
        <v>0</v>
      </c>
      <c r="J118" s="968"/>
      <c r="K118" s="759"/>
      <c r="L118" s="975"/>
      <c r="M118" s="759"/>
      <c r="N118" s="1076"/>
      <c r="O118" s="1109" t="s">
        <v>471</v>
      </c>
      <c r="P118" s="1110"/>
      <c r="Q118" s="1087">
        <f>14.78*90+87.72*80+20.76*80+112.18*90+123.34*90+78.74*110</f>
        <v>39866.800000000003</v>
      </c>
      <c r="R118" s="1092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8" t="s">
        <v>422</v>
      </c>
      <c r="C119" s="907" t="s">
        <v>427</v>
      </c>
      <c r="D119" s="920"/>
      <c r="E119" s="1079">
        <v>44905</v>
      </c>
      <c r="F119" s="904">
        <v>2835.98</v>
      </c>
      <c r="G119" s="900">
        <v>120</v>
      </c>
      <c r="H119" s="904">
        <v>2835.98</v>
      </c>
      <c r="I119" s="467">
        <f t="shared" si="21"/>
        <v>0</v>
      </c>
      <c r="J119" s="968"/>
      <c r="K119" s="759"/>
      <c r="L119" s="975"/>
      <c r="M119" s="759"/>
      <c r="N119" s="977"/>
      <c r="O119" s="1077">
        <v>19336</v>
      </c>
      <c r="P119" s="1093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50" t="s">
        <v>371</v>
      </c>
      <c r="C120" s="900" t="s">
        <v>428</v>
      </c>
      <c r="D120" s="900"/>
      <c r="E120" s="902">
        <v>44907</v>
      </c>
      <c r="F120" s="904">
        <v>150</v>
      </c>
      <c r="G120" s="900">
        <v>15</v>
      </c>
      <c r="H120" s="904">
        <v>150</v>
      </c>
      <c r="I120" s="467">
        <f t="shared" si="21"/>
        <v>0</v>
      </c>
      <c r="J120" s="968"/>
      <c r="K120" s="759"/>
      <c r="L120" s="972"/>
      <c r="M120" s="759"/>
      <c r="N120" s="976"/>
      <c r="O120" s="771" t="s">
        <v>429</v>
      </c>
      <c r="P120" s="898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1" t="s">
        <v>97</v>
      </c>
      <c r="C121" s="900" t="s">
        <v>435</v>
      </c>
      <c r="D121" s="920"/>
      <c r="E121" s="1085">
        <v>44909</v>
      </c>
      <c r="F121" s="904">
        <v>5032.8</v>
      </c>
      <c r="G121" s="900">
        <v>166</v>
      </c>
      <c r="H121" s="904">
        <v>5029.8</v>
      </c>
      <c r="I121" s="705">
        <f t="shared" si="21"/>
        <v>-3</v>
      </c>
      <c r="J121" s="968"/>
      <c r="K121" s="759"/>
      <c r="L121" s="972"/>
      <c r="M121" s="759"/>
      <c r="N121" s="976"/>
      <c r="O121" s="1102" t="s">
        <v>546</v>
      </c>
      <c r="P121" s="1086" t="s">
        <v>457</v>
      </c>
      <c r="Q121" s="526">
        <v>624067.19999999995</v>
      </c>
      <c r="R121" s="1105" t="s">
        <v>545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29" t="s">
        <v>180</v>
      </c>
      <c r="C122" s="1080" t="s">
        <v>442</v>
      </c>
      <c r="D122" s="1082"/>
      <c r="E122" s="1232">
        <v>44914</v>
      </c>
      <c r="F122" s="1084">
        <v>59.25</v>
      </c>
      <c r="G122" s="900"/>
      <c r="H122" s="904">
        <v>59.25</v>
      </c>
      <c r="I122" s="705">
        <f t="shared" si="21"/>
        <v>0</v>
      </c>
      <c r="J122" s="968"/>
      <c r="K122" s="759"/>
      <c r="L122" s="972"/>
      <c r="M122" s="759"/>
      <c r="N122" s="1075"/>
      <c r="O122" s="1256" t="s">
        <v>466</v>
      </c>
      <c r="P122" s="1099"/>
      <c r="Q122" s="1094">
        <v>8235.75</v>
      </c>
      <c r="R122" s="1259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30"/>
      <c r="C123" s="907" t="s">
        <v>443</v>
      </c>
      <c r="D123" s="1083"/>
      <c r="E123" s="1233"/>
      <c r="F123" s="1084">
        <v>70.45</v>
      </c>
      <c r="G123" s="900"/>
      <c r="H123" s="904">
        <v>70.45</v>
      </c>
      <c r="I123" s="105">
        <f t="shared" si="21"/>
        <v>0</v>
      </c>
      <c r="J123" s="968"/>
      <c r="K123" s="759"/>
      <c r="L123" s="972"/>
      <c r="M123" s="759"/>
      <c r="N123" s="1075"/>
      <c r="O123" s="1257"/>
      <c r="P123" s="1100"/>
      <c r="Q123" s="1104">
        <v>9792.5499999999993</v>
      </c>
      <c r="R123" s="1260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30"/>
      <c r="C124" s="907" t="s">
        <v>443</v>
      </c>
      <c r="D124" s="1083"/>
      <c r="E124" s="1233"/>
      <c r="F124" s="1084">
        <v>38.5</v>
      </c>
      <c r="G124" s="900"/>
      <c r="H124" s="904">
        <v>38.5</v>
      </c>
      <c r="I124" s="105">
        <f t="shared" si="21"/>
        <v>0</v>
      </c>
      <c r="J124" s="968"/>
      <c r="K124" s="759"/>
      <c r="L124" s="972"/>
      <c r="M124" s="759"/>
      <c r="N124" s="1075"/>
      <c r="O124" s="1257"/>
      <c r="P124" s="1101"/>
      <c r="Q124" s="1104">
        <v>5197.5</v>
      </c>
      <c r="R124" s="1260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30"/>
      <c r="C125" s="907" t="s">
        <v>444</v>
      </c>
      <c r="D125" s="1083"/>
      <c r="E125" s="1233"/>
      <c r="F125" s="1084">
        <v>60.9</v>
      </c>
      <c r="G125" s="900"/>
      <c r="H125" s="904">
        <v>60.9</v>
      </c>
      <c r="I125" s="105">
        <f t="shared" si="21"/>
        <v>0</v>
      </c>
      <c r="J125" s="968"/>
      <c r="K125" s="759"/>
      <c r="L125" s="972"/>
      <c r="M125" s="759"/>
      <c r="N125" s="1075"/>
      <c r="O125" s="1257"/>
      <c r="P125" s="1101"/>
      <c r="Q125" s="1104">
        <v>8160.6</v>
      </c>
      <c r="R125" s="1260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30"/>
      <c r="C126" s="907" t="s">
        <v>445</v>
      </c>
      <c r="D126" s="1083"/>
      <c r="E126" s="1233"/>
      <c r="F126" s="1084">
        <v>105.55</v>
      </c>
      <c r="G126" s="900"/>
      <c r="H126" s="904">
        <v>105.55</v>
      </c>
      <c r="I126" s="105">
        <f t="shared" si="21"/>
        <v>0</v>
      </c>
      <c r="J126" s="968"/>
      <c r="K126" s="759"/>
      <c r="L126" s="972"/>
      <c r="M126" s="759"/>
      <c r="N126" s="1075"/>
      <c r="O126" s="1257"/>
      <c r="P126" s="1101"/>
      <c r="Q126" s="1104">
        <v>13615.95</v>
      </c>
      <c r="R126" s="1260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31"/>
      <c r="C127" s="907" t="s">
        <v>446</v>
      </c>
      <c r="D127" s="1083"/>
      <c r="E127" s="1233"/>
      <c r="F127" s="1084">
        <v>120</v>
      </c>
      <c r="G127" s="900"/>
      <c r="H127" s="904">
        <v>120</v>
      </c>
      <c r="I127" s="105">
        <f t="shared" si="21"/>
        <v>0</v>
      </c>
      <c r="J127" s="968"/>
      <c r="K127" s="759"/>
      <c r="L127" s="972"/>
      <c r="M127" s="759"/>
      <c r="N127" s="1075"/>
      <c r="O127" s="1258"/>
      <c r="P127" s="1101"/>
      <c r="Q127" s="1104">
        <v>9480</v>
      </c>
      <c r="R127" s="1261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199" t="s">
        <v>80</v>
      </c>
      <c r="C128" s="907" t="s">
        <v>179</v>
      </c>
      <c r="D128" s="1083"/>
      <c r="E128" s="1202">
        <v>44911</v>
      </c>
      <c r="F128" s="1084">
        <v>1008.29</v>
      </c>
      <c r="G128" s="900">
        <v>82</v>
      </c>
      <c r="H128" s="904">
        <v>1008.29</v>
      </c>
      <c r="I128" s="105">
        <f t="shared" si="21"/>
        <v>0</v>
      </c>
      <c r="J128" s="968"/>
      <c r="K128" s="759"/>
      <c r="L128" s="972"/>
      <c r="M128" s="759"/>
      <c r="N128" s="1075"/>
      <c r="O128" s="1205" t="s">
        <v>514</v>
      </c>
      <c r="P128" s="1101"/>
      <c r="Q128" s="1104">
        <v>99820.71</v>
      </c>
      <c r="R128" s="1249" t="s">
        <v>549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00"/>
      <c r="C129" s="1136" t="s">
        <v>515</v>
      </c>
      <c r="D129" s="1137"/>
      <c r="E129" s="1203"/>
      <c r="F129" s="1138">
        <v>503.78</v>
      </c>
      <c r="G129" s="679">
        <v>42</v>
      </c>
      <c r="H129" s="906">
        <v>503.78</v>
      </c>
      <c r="I129" s="105">
        <f t="shared" si="21"/>
        <v>0</v>
      </c>
      <c r="J129" s="968"/>
      <c r="K129" s="759"/>
      <c r="L129" s="972"/>
      <c r="M129" s="759"/>
      <c r="N129" s="1075"/>
      <c r="O129" s="1206"/>
      <c r="P129" s="1101"/>
      <c r="Q129" s="1104">
        <v>47859.1</v>
      </c>
      <c r="R129" s="1250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01"/>
      <c r="C130" s="1136" t="s">
        <v>178</v>
      </c>
      <c r="D130" s="1137"/>
      <c r="E130" s="1204"/>
      <c r="F130" s="1138">
        <v>508.54</v>
      </c>
      <c r="G130" s="679">
        <v>43</v>
      </c>
      <c r="H130" s="906">
        <v>508.54</v>
      </c>
      <c r="I130" s="105">
        <f t="shared" si="21"/>
        <v>0</v>
      </c>
      <c r="J130" s="968"/>
      <c r="K130" s="759"/>
      <c r="L130" s="972"/>
      <c r="M130" s="759"/>
      <c r="N130" s="1075"/>
      <c r="O130" s="1207"/>
      <c r="P130" s="1101"/>
      <c r="Q130" s="1104">
        <v>43225.9</v>
      </c>
      <c r="R130" s="1251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08" t="s">
        <v>371</v>
      </c>
      <c r="C131" s="1136" t="s">
        <v>43</v>
      </c>
      <c r="D131" s="1140"/>
      <c r="E131" s="1209">
        <v>44914</v>
      </c>
      <c r="F131" s="1138">
        <v>1003.34</v>
      </c>
      <c r="G131" s="679">
        <v>22</v>
      </c>
      <c r="H131" s="903">
        <v>1003.34</v>
      </c>
      <c r="I131" s="105">
        <f t="shared" si="21"/>
        <v>0</v>
      </c>
      <c r="J131" s="968"/>
      <c r="K131" s="759"/>
      <c r="L131" s="972"/>
      <c r="M131" s="759"/>
      <c r="N131" s="1075"/>
      <c r="O131" s="1211" t="s">
        <v>516</v>
      </c>
      <c r="P131" s="1101"/>
      <c r="Q131" s="1364"/>
      <c r="R131" s="1365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185"/>
      <c r="C132" s="1136" t="s">
        <v>428</v>
      </c>
      <c r="D132" s="1141"/>
      <c r="E132" s="1210"/>
      <c r="F132" s="1138">
        <v>150</v>
      </c>
      <c r="G132" s="679">
        <v>15</v>
      </c>
      <c r="H132" s="903">
        <v>150</v>
      </c>
      <c r="I132" s="105">
        <f t="shared" si="21"/>
        <v>0</v>
      </c>
      <c r="J132" s="968"/>
      <c r="K132" s="759"/>
      <c r="L132" s="972"/>
      <c r="M132" s="759"/>
      <c r="N132" s="1075"/>
      <c r="O132" s="1212"/>
      <c r="P132" s="1101"/>
      <c r="Q132" s="1364"/>
      <c r="R132" s="1366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9" t="s">
        <v>517</v>
      </c>
      <c r="C133" s="801" t="s">
        <v>518</v>
      </c>
      <c r="D133" s="678"/>
      <c r="E133" s="812">
        <v>44915</v>
      </c>
      <c r="F133" s="903">
        <v>1063.33</v>
      </c>
      <c r="G133" s="679">
        <v>52</v>
      </c>
      <c r="H133" s="903">
        <v>1085.3399999999999</v>
      </c>
      <c r="I133" s="105">
        <f t="shared" si="21"/>
        <v>22.009999999999991</v>
      </c>
      <c r="J133" s="968"/>
      <c r="K133" s="759"/>
      <c r="L133" s="972"/>
      <c r="M133" s="759"/>
      <c r="N133" s="976"/>
      <c r="O133" s="1098">
        <v>1666</v>
      </c>
      <c r="P133" s="1163" t="s">
        <v>457</v>
      </c>
      <c r="Q133" s="523">
        <v>150992.85999999999</v>
      </c>
      <c r="R133" s="760" t="s">
        <v>543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43" t="s">
        <v>80</v>
      </c>
      <c r="C134" s="801" t="s">
        <v>81</v>
      </c>
      <c r="D134" s="692"/>
      <c r="E134" s="677">
        <v>44916</v>
      </c>
      <c r="F134" s="903">
        <v>511.68</v>
      </c>
      <c r="G134" s="679">
        <v>29</v>
      </c>
      <c r="H134" s="903">
        <v>511.68</v>
      </c>
      <c r="I134" s="105">
        <f t="shared" si="21"/>
        <v>0</v>
      </c>
      <c r="J134" s="441"/>
      <c r="K134" s="382"/>
      <c r="L134" s="649"/>
      <c r="M134" s="382"/>
      <c r="N134" s="979"/>
      <c r="O134" s="1147" t="s">
        <v>519</v>
      </c>
      <c r="P134" s="762"/>
      <c r="Q134" s="523">
        <v>18420.48</v>
      </c>
      <c r="R134" s="760" t="s">
        <v>550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171" t="s">
        <v>97</v>
      </c>
      <c r="C135" s="1136" t="s">
        <v>520</v>
      </c>
      <c r="D135" s="678"/>
      <c r="E135" s="756">
        <v>44916</v>
      </c>
      <c r="F135" s="903">
        <v>524.9</v>
      </c>
      <c r="G135" s="679">
        <v>17</v>
      </c>
      <c r="H135" s="903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6"/>
      <c r="O135" s="1173" t="s">
        <v>544</v>
      </c>
      <c r="P135" s="1262" t="s">
        <v>457</v>
      </c>
      <c r="Q135" s="523">
        <v>44616.5</v>
      </c>
      <c r="R135" s="1252" t="s">
        <v>545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172"/>
      <c r="C136" s="1142" t="s">
        <v>521</v>
      </c>
      <c r="D136" s="526"/>
      <c r="E136" s="756">
        <v>44916</v>
      </c>
      <c r="F136" s="1145">
        <v>255.24</v>
      </c>
      <c r="G136" s="275">
        <v>10</v>
      </c>
      <c r="H136" s="905">
        <v>255.24</v>
      </c>
      <c r="I136" s="467">
        <f t="shared" si="44"/>
        <v>0</v>
      </c>
      <c r="J136" s="505"/>
      <c r="K136" s="382"/>
      <c r="L136" s="649"/>
      <c r="M136" s="382"/>
      <c r="N136" s="923"/>
      <c r="O136" s="1174"/>
      <c r="P136" s="1263"/>
      <c r="Q136" s="526">
        <v>20674.439999999999</v>
      </c>
      <c r="R136" s="1253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4" t="s">
        <v>177</v>
      </c>
      <c r="C137" s="801" t="s">
        <v>101</v>
      </c>
      <c r="D137" s="373"/>
      <c r="E137" s="756">
        <v>44917</v>
      </c>
      <c r="F137" s="905">
        <v>3945.8</v>
      </c>
      <c r="G137" s="575">
        <v>4</v>
      </c>
      <c r="H137" s="905">
        <v>3945.8</v>
      </c>
      <c r="I137" s="340">
        <f t="shared" si="44"/>
        <v>0</v>
      </c>
      <c r="J137" s="442"/>
      <c r="K137" s="382"/>
      <c r="L137" s="649"/>
      <c r="M137" s="382"/>
      <c r="N137" s="979"/>
      <c r="O137" s="1148" t="s">
        <v>522</v>
      </c>
      <c r="P137" s="763"/>
      <c r="Q137" s="523">
        <v>97855.84</v>
      </c>
      <c r="R137" s="765" t="s">
        <v>551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43" t="s">
        <v>526</v>
      </c>
      <c r="C138" s="800" t="s">
        <v>527</v>
      </c>
      <c r="D138" s="626"/>
      <c r="E138" s="1153">
        <v>44919</v>
      </c>
      <c r="F138" s="905">
        <v>5020</v>
      </c>
      <c r="G138" s="575">
        <v>220</v>
      </c>
      <c r="H138" s="905">
        <v>5020</v>
      </c>
      <c r="I138" s="340">
        <f t="shared" si="44"/>
        <v>0</v>
      </c>
      <c r="J138" s="442"/>
      <c r="K138" s="382"/>
      <c r="L138" s="649"/>
      <c r="M138" s="382"/>
      <c r="N138" s="979"/>
      <c r="O138" s="1155">
        <v>383278</v>
      </c>
      <c r="P138" s="763"/>
      <c r="Q138" s="1364"/>
      <c r="R138" s="1367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175" t="s">
        <v>97</v>
      </c>
      <c r="C139" s="1136" t="s">
        <v>435</v>
      </c>
      <c r="D139" s="1150"/>
      <c r="E139" s="1178">
        <v>44919</v>
      </c>
      <c r="F139" s="1152">
        <v>3952.07</v>
      </c>
      <c r="G139" s="575">
        <v>130</v>
      </c>
      <c r="H139" s="905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6"/>
      <c r="O139" s="1181"/>
      <c r="P139" s="1100"/>
      <c r="Q139" s="1364"/>
      <c r="R139" s="1367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176"/>
      <c r="C140" s="1136" t="s">
        <v>520</v>
      </c>
      <c r="D140" s="1151"/>
      <c r="E140" s="1179"/>
      <c r="F140" s="1152">
        <v>495.17</v>
      </c>
      <c r="G140" s="575">
        <v>17</v>
      </c>
      <c r="H140" s="905">
        <v>495.17</v>
      </c>
      <c r="I140" s="105">
        <f t="shared" si="47"/>
        <v>0</v>
      </c>
      <c r="J140" s="441"/>
      <c r="K140" s="382"/>
      <c r="L140" s="649"/>
      <c r="M140" s="382"/>
      <c r="N140" s="1146"/>
      <c r="O140" s="1182"/>
      <c r="P140" s="1100"/>
      <c r="Q140" s="1364"/>
      <c r="R140" s="1367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177"/>
      <c r="C141" s="1136" t="s">
        <v>528</v>
      </c>
      <c r="D141" s="1151"/>
      <c r="E141" s="1180"/>
      <c r="F141" s="1152">
        <v>495.07</v>
      </c>
      <c r="G141" s="575">
        <v>20</v>
      </c>
      <c r="H141" s="905">
        <v>495.07</v>
      </c>
      <c r="I141" s="105">
        <f t="shared" si="47"/>
        <v>0</v>
      </c>
      <c r="J141" s="441"/>
      <c r="K141" s="382"/>
      <c r="L141" s="649"/>
      <c r="M141" s="382"/>
      <c r="N141" s="1146"/>
      <c r="O141" s="1183"/>
      <c r="P141" s="1100"/>
      <c r="Q141" s="1364"/>
      <c r="R141" s="1367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7" t="s">
        <v>177</v>
      </c>
      <c r="C142" s="801" t="s">
        <v>101</v>
      </c>
      <c r="D142" s="693"/>
      <c r="E142" s="1154">
        <v>44921</v>
      </c>
      <c r="F142" s="905">
        <v>3696.3</v>
      </c>
      <c r="G142" s="575">
        <v>4</v>
      </c>
      <c r="H142" s="905">
        <v>3696.3</v>
      </c>
      <c r="I142" s="105">
        <f t="shared" si="47"/>
        <v>0</v>
      </c>
      <c r="J142" s="441"/>
      <c r="K142" s="382"/>
      <c r="L142" s="649"/>
      <c r="M142" s="382"/>
      <c r="N142" s="979"/>
      <c r="O142" s="1156" t="s">
        <v>529</v>
      </c>
      <c r="P142" s="762"/>
      <c r="Q142" s="1364"/>
      <c r="R142" s="1367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188" t="s">
        <v>422</v>
      </c>
      <c r="C143" s="1136" t="s">
        <v>530</v>
      </c>
      <c r="D143" s="693"/>
      <c r="E143" s="1193">
        <v>44921</v>
      </c>
      <c r="F143" s="905">
        <v>1531.83</v>
      </c>
      <c r="G143" s="575">
        <v>59</v>
      </c>
      <c r="H143" s="905">
        <v>1531.83</v>
      </c>
      <c r="I143" s="105">
        <f t="shared" si="47"/>
        <v>0</v>
      </c>
      <c r="J143" s="441"/>
      <c r="K143" s="382"/>
      <c r="L143" s="649"/>
      <c r="M143" s="382"/>
      <c r="N143" s="1146"/>
      <c r="O143" s="1190"/>
      <c r="P143" s="1100"/>
      <c r="Q143" s="1364"/>
      <c r="R143" s="1367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189"/>
      <c r="C144" s="1136" t="s">
        <v>102</v>
      </c>
      <c r="D144" s="693"/>
      <c r="E144" s="1194"/>
      <c r="F144" s="905">
        <v>1291.1099999999999</v>
      </c>
      <c r="G144" s="575">
        <v>44</v>
      </c>
      <c r="H144" s="905">
        <v>1291.1099999999999</v>
      </c>
      <c r="I144" s="105">
        <f t="shared" si="47"/>
        <v>0</v>
      </c>
      <c r="J144" s="441"/>
      <c r="K144" s="382"/>
      <c r="L144" s="649"/>
      <c r="M144" s="382"/>
      <c r="N144" s="1146"/>
      <c r="O144" s="1191"/>
      <c r="P144" s="1100"/>
      <c r="Q144" s="1364"/>
      <c r="R144" s="1367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185"/>
      <c r="C145" s="1136" t="s">
        <v>508</v>
      </c>
      <c r="D145" s="373"/>
      <c r="E145" s="1195"/>
      <c r="F145" s="905">
        <v>577.23</v>
      </c>
      <c r="G145" s="575">
        <v>19</v>
      </c>
      <c r="H145" s="905">
        <v>577.23</v>
      </c>
      <c r="I145" s="105">
        <f t="shared" si="47"/>
        <v>0</v>
      </c>
      <c r="J145" s="441"/>
      <c r="K145" s="382"/>
      <c r="L145" s="649"/>
      <c r="M145" s="382"/>
      <c r="N145" s="1146"/>
      <c r="O145" s="1192"/>
      <c r="P145" s="1101"/>
      <c r="Q145" s="1364"/>
      <c r="R145" s="1367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7" t="s">
        <v>531</v>
      </c>
      <c r="C146" s="1168" t="s">
        <v>532</v>
      </c>
      <c r="D146" s="693"/>
      <c r="E146" s="560">
        <v>44921</v>
      </c>
      <c r="F146" s="905">
        <v>18568</v>
      </c>
      <c r="G146" s="575">
        <v>620</v>
      </c>
      <c r="H146" s="905">
        <v>18568</v>
      </c>
      <c r="I146" s="105">
        <f t="shared" si="47"/>
        <v>0</v>
      </c>
      <c r="J146" s="1169" t="s">
        <v>565</v>
      </c>
      <c r="K146" s="382">
        <v>11151</v>
      </c>
      <c r="L146" s="649" t="s">
        <v>556</v>
      </c>
      <c r="M146" s="382">
        <v>27840</v>
      </c>
      <c r="N146" s="979" t="s">
        <v>559</v>
      </c>
      <c r="O146" s="1170">
        <v>2119827</v>
      </c>
      <c r="P146" s="762"/>
      <c r="Q146" s="523">
        <f>43391.95*19.84</f>
        <v>860896.28799999994</v>
      </c>
      <c r="R146" s="765" t="s">
        <v>491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188" t="s">
        <v>97</v>
      </c>
      <c r="C147" s="1136" t="s">
        <v>520</v>
      </c>
      <c r="D147" s="693"/>
      <c r="E147" s="1159">
        <v>44924</v>
      </c>
      <c r="F147" s="905">
        <v>1028.68</v>
      </c>
      <c r="G147" s="575">
        <v>35</v>
      </c>
      <c r="H147" s="905">
        <v>1028.68</v>
      </c>
      <c r="I147" s="105">
        <f t="shared" si="47"/>
        <v>0</v>
      </c>
      <c r="J147" s="441"/>
      <c r="K147" s="382"/>
      <c r="L147" s="649"/>
      <c r="M147" s="382"/>
      <c r="N147" s="1146"/>
      <c r="O147" s="1160"/>
      <c r="P147" s="1100"/>
      <c r="Q147" s="1364"/>
      <c r="R147" s="1367"/>
      <c r="S147" s="65"/>
      <c r="T147" s="170"/>
    </row>
    <row r="148" spans="1:20" s="152" customFormat="1" ht="30.75" customHeight="1" thickBot="1" x14ac:dyDescent="0.3">
      <c r="A148" s="100">
        <v>110</v>
      </c>
      <c r="B148" s="1198"/>
      <c r="C148" s="1136" t="s">
        <v>537</v>
      </c>
      <c r="D148" s="693"/>
      <c r="E148" s="1159">
        <v>44924</v>
      </c>
      <c r="F148" s="905">
        <v>978.48</v>
      </c>
      <c r="G148" s="575">
        <v>35</v>
      </c>
      <c r="H148" s="905">
        <v>978.48</v>
      </c>
      <c r="I148" s="105">
        <f t="shared" si="47"/>
        <v>0</v>
      </c>
      <c r="J148" s="441"/>
      <c r="K148" s="382"/>
      <c r="L148" s="649"/>
      <c r="M148" s="382"/>
      <c r="N148" s="1146"/>
      <c r="O148" s="1160"/>
      <c r="P148" s="1100"/>
      <c r="Q148" s="1364"/>
      <c r="R148" s="1367"/>
      <c r="S148" s="65"/>
      <c r="T148" s="170"/>
    </row>
    <row r="149" spans="1:20" s="152" customFormat="1" ht="24" customHeight="1" x14ac:dyDescent="0.25">
      <c r="A149" s="100">
        <v>111</v>
      </c>
      <c r="B149" s="1196" t="s">
        <v>371</v>
      </c>
      <c r="C149" s="1136" t="s">
        <v>43</v>
      </c>
      <c r="D149" s="693"/>
      <c r="E149" s="1193">
        <v>44925</v>
      </c>
      <c r="F149" s="905">
        <v>1502.74</v>
      </c>
      <c r="G149" s="575">
        <v>331</v>
      </c>
      <c r="H149" s="905">
        <v>1502.74</v>
      </c>
      <c r="I149" s="105">
        <f t="shared" si="47"/>
        <v>0</v>
      </c>
      <c r="J149" s="443"/>
      <c r="K149" s="382"/>
      <c r="L149" s="649"/>
      <c r="M149" s="382"/>
      <c r="N149" s="1158"/>
      <c r="O149" s="1181" t="s">
        <v>536</v>
      </c>
      <c r="P149" s="1101"/>
      <c r="Q149" s="523">
        <v>66120.56</v>
      </c>
      <c r="R149" s="1252" t="s">
        <v>545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197"/>
      <c r="C150" s="1136" t="s">
        <v>372</v>
      </c>
      <c r="D150" s="373"/>
      <c r="E150" s="1195"/>
      <c r="F150" s="905">
        <v>100</v>
      </c>
      <c r="G150" s="575">
        <v>10</v>
      </c>
      <c r="H150" s="905">
        <v>100</v>
      </c>
      <c r="I150" s="105">
        <f t="shared" si="47"/>
        <v>0</v>
      </c>
      <c r="J150" s="576"/>
      <c r="K150" s="382"/>
      <c r="L150" s="649"/>
      <c r="M150" s="382"/>
      <c r="N150" s="1158"/>
      <c r="O150" s="1183"/>
      <c r="P150" s="1101"/>
      <c r="Q150" s="523">
        <v>8500</v>
      </c>
      <c r="R150" s="1253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184" t="s">
        <v>422</v>
      </c>
      <c r="C151" s="1136" t="s">
        <v>71</v>
      </c>
      <c r="D151" s="373"/>
      <c r="E151" s="757">
        <v>44925</v>
      </c>
      <c r="F151" s="905">
        <v>5922.77</v>
      </c>
      <c r="G151" s="575">
        <v>205</v>
      </c>
      <c r="H151" s="905">
        <v>5922.77</v>
      </c>
      <c r="I151" s="105">
        <f t="shared" si="47"/>
        <v>0</v>
      </c>
      <c r="J151" s="576"/>
      <c r="K151" s="382"/>
      <c r="L151" s="649"/>
      <c r="M151" s="382"/>
      <c r="N151" s="1158"/>
      <c r="O151" s="1186"/>
      <c r="P151" s="1101"/>
      <c r="Q151" s="1364"/>
      <c r="R151" s="1367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185"/>
      <c r="C152" s="1136" t="s">
        <v>542</v>
      </c>
      <c r="D152" s="373"/>
      <c r="E152" s="757">
        <v>44925</v>
      </c>
      <c r="F152" s="905">
        <v>713.92</v>
      </c>
      <c r="G152" s="575">
        <v>27</v>
      </c>
      <c r="H152" s="905">
        <v>713.92</v>
      </c>
      <c r="I152" s="105">
        <f t="shared" si="47"/>
        <v>0</v>
      </c>
      <c r="J152" s="576"/>
      <c r="K152" s="382"/>
      <c r="L152" s="649"/>
      <c r="M152" s="382"/>
      <c r="N152" s="1158"/>
      <c r="O152" s="1187"/>
      <c r="P152" s="1101"/>
      <c r="Q152" s="1364"/>
      <c r="R152" s="1367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9"/>
      <c r="C153" s="801"/>
      <c r="D153" s="373"/>
      <c r="E153" s="757"/>
      <c r="F153" s="905"/>
      <c r="G153" s="575"/>
      <c r="H153" s="905"/>
      <c r="I153" s="105">
        <f t="shared" si="47"/>
        <v>0</v>
      </c>
      <c r="J153" s="576"/>
      <c r="K153" s="382"/>
      <c r="L153" s="649"/>
      <c r="M153" s="382"/>
      <c r="N153" s="649"/>
      <c r="O153" s="1103"/>
      <c r="P153" s="763"/>
      <c r="Q153" s="523"/>
      <c r="R153" s="76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1"/>
      <c r="C154" s="801"/>
      <c r="D154" s="693"/>
      <c r="E154" s="560"/>
      <c r="F154" s="905"/>
      <c r="G154" s="575"/>
      <c r="H154" s="905"/>
      <c r="I154" s="105">
        <f t="shared" ref="I154" si="48">H154-F154</f>
        <v>0</v>
      </c>
      <c r="J154" s="441"/>
      <c r="K154" s="382"/>
      <c r="L154" s="649"/>
      <c r="M154" s="382"/>
      <c r="N154" s="979"/>
      <c r="O154" s="767"/>
      <c r="P154" s="762"/>
      <c r="Q154" s="523"/>
      <c r="R154" s="76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2"/>
      <c r="C155" s="801"/>
      <c r="D155" s="373"/>
      <c r="E155" s="560"/>
      <c r="F155" s="905"/>
      <c r="G155" s="575"/>
      <c r="H155" s="905"/>
      <c r="I155" s="409">
        <f t="shared" si="47"/>
        <v>0</v>
      </c>
      <c r="J155" s="443"/>
      <c r="K155" s="382"/>
      <c r="L155" s="649"/>
      <c r="M155" s="382"/>
      <c r="N155" s="649"/>
      <c r="O155" s="766"/>
      <c r="P155" s="763"/>
      <c r="Q155" s="523"/>
      <c r="R155" s="76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1"/>
      <c r="C156" s="801"/>
      <c r="D156" s="373"/>
      <c r="E156" s="560"/>
      <c r="F156" s="905"/>
      <c r="G156" s="575"/>
      <c r="H156" s="905"/>
      <c r="I156" s="105">
        <f t="shared" si="47"/>
        <v>0</v>
      </c>
      <c r="J156" s="443"/>
      <c r="K156" s="382"/>
      <c r="L156" s="649"/>
      <c r="M156" s="382"/>
      <c r="N156" s="649"/>
      <c r="O156" s="767"/>
      <c r="P156" s="763"/>
      <c r="Q156" s="523"/>
      <c r="R156" s="76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1"/>
      <c r="C157" s="801"/>
      <c r="D157" s="373"/>
      <c r="E157" s="560"/>
      <c r="F157" s="556"/>
      <c r="G157" s="575"/>
      <c r="H157" s="905"/>
      <c r="I157" s="105">
        <f t="shared" si="47"/>
        <v>0</v>
      </c>
      <c r="J157" s="443"/>
      <c r="K157" s="382"/>
      <c r="L157" s="649"/>
      <c r="M157" s="382"/>
      <c r="N157" s="649"/>
      <c r="O157" s="767"/>
      <c r="P157" s="763"/>
      <c r="Q157" s="523"/>
      <c r="R157" s="76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1"/>
      <c r="C158" s="801"/>
      <c r="D158" s="373"/>
      <c r="E158" s="560"/>
      <c r="F158" s="556"/>
      <c r="G158" s="575"/>
      <c r="H158" s="905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1"/>
      <c r="C159" s="801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1"/>
      <c r="C160" s="801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3"/>
      <c r="C161" s="801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1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2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3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0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0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3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4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4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4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4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4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4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4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5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5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5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5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5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5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5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5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5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5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5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5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5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5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5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6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954492.36000000045</v>
      </c>
      <c r="I194" s="468">
        <f>PIERNA!I37</f>
        <v>74.990000000001601</v>
      </c>
      <c r="J194" s="46"/>
      <c r="K194" s="164">
        <f>SUM(K5:K193)</f>
        <v>512266</v>
      </c>
      <c r="L194" s="652"/>
      <c r="M194" s="164">
        <f>SUM(M5:M193)</f>
        <v>1600336</v>
      </c>
      <c r="N194" s="927"/>
      <c r="O194" s="391"/>
      <c r="P194" s="117"/>
      <c r="Q194" s="532">
        <f>SUM(Q5:Q193)</f>
        <v>40992052.420400001</v>
      </c>
      <c r="R194" s="666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28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R128:R130"/>
    <mergeCell ref="R149:R150"/>
    <mergeCell ref="R102:R103"/>
    <mergeCell ref="O122:O127"/>
    <mergeCell ref="R122:R127"/>
    <mergeCell ref="P135:P136"/>
    <mergeCell ref="R135:R136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  <mergeCell ref="B128:B130"/>
    <mergeCell ref="E128:E130"/>
    <mergeCell ref="O128:O130"/>
    <mergeCell ref="B131:B132"/>
    <mergeCell ref="E131:E132"/>
    <mergeCell ref="O131:O132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35:B136"/>
    <mergeCell ref="O135:O136"/>
    <mergeCell ref="B139:B141"/>
    <mergeCell ref="E139:E141"/>
    <mergeCell ref="O139:O14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7" t="s">
        <v>52</v>
      </c>
      <c r="B5" s="1288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87"/>
      <c r="B6" s="1288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87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4475.93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4475.93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4475.93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4475.93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4475.93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4475.93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4475.93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4475.93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4475.93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4475.93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4475.93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4475.93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4475.93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4475.93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4475.93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4475.93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4475.93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4475.93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4475.93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4475.93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4475.93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4475.93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4475.93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4475.93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4475.93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-116</v>
      </c>
    </row>
    <row r="39" spans="1:9" ht="15.75" thickBot="1" x14ac:dyDescent="0.3"/>
    <row r="40" spans="1:9" ht="15.75" thickBot="1" x14ac:dyDescent="0.3">
      <c r="C40" s="1277" t="s">
        <v>11</v>
      </c>
      <c r="D40" s="1278"/>
      <c r="E40" s="57">
        <f>E5+E6-F35+E7</f>
        <v>4475.93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9" t="s">
        <v>144</v>
      </c>
      <c r="B1" s="1279"/>
      <c r="C1" s="1279"/>
      <c r="D1" s="1279"/>
      <c r="E1" s="1279"/>
      <c r="F1" s="1279"/>
      <c r="G1" s="1279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87"/>
      <c r="B5" s="1289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87"/>
      <c r="B6" s="1289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7" t="s">
        <v>11</v>
      </c>
      <c r="D40" s="12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75" t="s">
        <v>323</v>
      </c>
      <c r="B1" s="1275"/>
      <c r="C1" s="1275"/>
      <c r="D1" s="1275"/>
      <c r="E1" s="1275"/>
      <c r="F1" s="1275"/>
      <c r="G1" s="1275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90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80" t="s">
        <v>52</v>
      </c>
      <c r="B5" s="1291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80"/>
      <c r="B6" s="1291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4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3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8">
        <v>106</v>
      </c>
      <c r="E14" s="839">
        <v>44869</v>
      </c>
      <c r="F14" s="838">
        <f t="shared" si="0"/>
        <v>106</v>
      </c>
      <c r="G14" s="840" t="s">
        <v>242</v>
      </c>
      <c r="H14" s="841">
        <v>86</v>
      </c>
      <c r="I14" s="60">
        <f t="shared" si="2"/>
        <v>1621.08</v>
      </c>
    </row>
    <row r="15" spans="1:9" x14ac:dyDescent="0.25">
      <c r="A15" s="73"/>
      <c r="B15" s="844">
        <f t="shared" si="1"/>
        <v>61</v>
      </c>
      <c r="C15" s="15">
        <v>4</v>
      </c>
      <c r="D15" s="838">
        <v>102.73</v>
      </c>
      <c r="E15" s="839">
        <v>44877</v>
      </c>
      <c r="F15" s="838">
        <f t="shared" si="0"/>
        <v>102.73</v>
      </c>
      <c r="G15" s="840" t="s">
        <v>270</v>
      </c>
      <c r="H15" s="841">
        <v>86</v>
      </c>
      <c r="I15" s="843">
        <f t="shared" si="2"/>
        <v>1518.35</v>
      </c>
    </row>
    <row r="16" spans="1:9" x14ac:dyDescent="0.25">
      <c r="B16" s="235">
        <f t="shared" si="1"/>
        <v>61</v>
      </c>
      <c r="C16" s="15"/>
      <c r="D16" s="537"/>
      <c r="E16" s="998"/>
      <c r="F16" s="994">
        <f t="shared" si="0"/>
        <v>0</v>
      </c>
      <c r="G16" s="995"/>
      <c r="H16" s="996"/>
      <c r="I16" s="736">
        <f t="shared" si="2"/>
        <v>1518.35</v>
      </c>
    </row>
    <row r="17" spans="1:9" x14ac:dyDescent="0.25">
      <c r="B17" s="235">
        <f t="shared" si="1"/>
        <v>61</v>
      </c>
      <c r="C17" s="15"/>
      <c r="D17" s="537"/>
      <c r="E17" s="998"/>
      <c r="F17" s="994">
        <f t="shared" si="0"/>
        <v>0</v>
      </c>
      <c r="G17" s="995"/>
      <c r="H17" s="996"/>
      <c r="I17" s="736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7"/>
      <c r="E18" s="998"/>
      <c r="F18" s="994">
        <f t="shared" si="0"/>
        <v>0</v>
      </c>
      <c r="G18" s="995"/>
      <c r="H18" s="996"/>
      <c r="I18" s="736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7"/>
      <c r="E19" s="998"/>
      <c r="F19" s="994">
        <f t="shared" si="0"/>
        <v>0</v>
      </c>
      <c r="G19" s="995"/>
      <c r="H19" s="996"/>
      <c r="I19" s="736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7"/>
      <c r="E20" s="998"/>
      <c r="F20" s="994">
        <f t="shared" si="0"/>
        <v>0</v>
      </c>
      <c r="G20" s="995"/>
      <c r="H20" s="996"/>
      <c r="I20" s="736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7"/>
      <c r="E21" s="998"/>
      <c r="F21" s="994">
        <f t="shared" si="0"/>
        <v>0</v>
      </c>
      <c r="G21" s="995"/>
      <c r="H21" s="996"/>
      <c r="I21" s="736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7"/>
      <c r="E22" s="998"/>
      <c r="F22" s="994">
        <f t="shared" si="0"/>
        <v>0</v>
      </c>
      <c r="G22" s="995"/>
      <c r="H22" s="996"/>
      <c r="I22" s="736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7"/>
      <c r="E23" s="998"/>
      <c r="F23" s="994">
        <f t="shared" si="0"/>
        <v>0</v>
      </c>
      <c r="G23" s="995"/>
      <c r="H23" s="996"/>
      <c r="I23" s="736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7"/>
      <c r="E24" s="998"/>
      <c r="F24" s="994">
        <f t="shared" si="0"/>
        <v>0</v>
      </c>
      <c r="G24" s="995"/>
      <c r="H24" s="996"/>
      <c r="I24" s="736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7"/>
      <c r="E25" s="998"/>
      <c r="F25" s="994">
        <f t="shared" si="0"/>
        <v>0</v>
      </c>
      <c r="G25" s="995"/>
      <c r="H25" s="996"/>
      <c r="I25" s="736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7"/>
      <c r="E26" s="998"/>
      <c r="F26" s="994">
        <f t="shared" si="0"/>
        <v>0</v>
      </c>
      <c r="G26" s="995"/>
      <c r="H26" s="996"/>
      <c r="I26" s="736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7"/>
      <c r="E27" s="998"/>
      <c r="F27" s="994">
        <v>0</v>
      </c>
      <c r="G27" s="995"/>
      <c r="H27" s="996"/>
      <c r="I27" s="736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77" t="s">
        <v>11</v>
      </c>
      <c r="D40" s="1278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80"/>
      <c r="B5" s="1292"/>
      <c r="C5" s="234"/>
      <c r="D5" s="134"/>
      <c r="E5" s="78"/>
      <c r="F5" s="62"/>
      <c r="G5" s="5"/>
      <c r="H5" t="s">
        <v>41</v>
      </c>
    </row>
    <row r="6" spans="1:9" ht="15.75" x14ac:dyDescent="0.25">
      <c r="A6" s="1280"/>
      <c r="B6" s="1292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7" t="s">
        <v>11</v>
      </c>
      <c r="D40" s="12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75" t="s">
        <v>324</v>
      </c>
      <c r="B1" s="1275"/>
      <c r="C1" s="1275"/>
      <c r="D1" s="1275"/>
      <c r="E1" s="1275"/>
      <c r="F1" s="1275"/>
      <c r="G1" s="1275"/>
      <c r="H1" s="11">
        <v>1</v>
      </c>
      <c r="K1" s="1279" t="s">
        <v>340</v>
      </c>
      <c r="L1" s="1279"/>
      <c r="M1" s="1279"/>
      <c r="N1" s="1279"/>
      <c r="O1" s="1279"/>
      <c r="P1" s="1279"/>
      <c r="Q1" s="127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87" t="s">
        <v>80</v>
      </c>
      <c r="B5" s="1292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  <c r="K5" s="1287" t="s">
        <v>80</v>
      </c>
      <c r="L5" s="1292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87"/>
      <c r="B6" s="1293"/>
      <c r="C6" s="156">
        <v>40</v>
      </c>
      <c r="D6" s="149">
        <v>44873</v>
      </c>
      <c r="E6" s="132">
        <v>513.49</v>
      </c>
      <c r="F6" s="73">
        <v>28</v>
      </c>
      <c r="K6" s="1287"/>
      <c r="L6" s="1293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0"/>
      <c r="N10" s="702"/>
      <c r="O10" s="845"/>
      <c r="P10" s="737">
        <f t="shared" si="1"/>
        <v>0</v>
      </c>
      <c r="Q10" s="700"/>
      <c r="R10" s="701"/>
      <c r="S10" s="846">
        <f>S9-P10</f>
        <v>511.68</v>
      </c>
    </row>
    <row r="11" spans="1:19" ht="15" customHeight="1" x14ac:dyDescent="0.25">
      <c r="A11" s="55" t="s">
        <v>33</v>
      </c>
      <c r="B11" s="986">
        <f t="shared" si="2"/>
        <v>29</v>
      </c>
      <c r="C11" s="987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5">
        <f t="shared" ref="I11:I34" si="4">I10-F11</f>
        <v>533.27</v>
      </c>
      <c r="K11" s="55" t="s">
        <v>33</v>
      </c>
      <c r="L11" s="535">
        <f t="shared" si="3"/>
        <v>29</v>
      </c>
      <c r="M11" s="987"/>
      <c r="N11" s="702"/>
      <c r="O11" s="845"/>
      <c r="P11" s="737">
        <f t="shared" si="1"/>
        <v>0</v>
      </c>
      <c r="Q11" s="700"/>
      <c r="R11" s="701"/>
      <c r="S11" s="846">
        <f t="shared" ref="S11:S34" si="5">S10-P11</f>
        <v>511.68</v>
      </c>
    </row>
    <row r="12" spans="1:19" ht="15" customHeight="1" x14ac:dyDescent="0.25">
      <c r="A12" s="19"/>
      <c r="B12" s="536">
        <f t="shared" si="2"/>
        <v>29</v>
      </c>
      <c r="C12" s="15"/>
      <c r="D12" s="537"/>
      <c r="E12" s="741"/>
      <c r="F12" s="742">
        <f t="shared" si="0"/>
        <v>0</v>
      </c>
      <c r="G12" s="330"/>
      <c r="H12" s="331"/>
      <c r="I12" s="214">
        <f t="shared" si="4"/>
        <v>533.27</v>
      </c>
      <c r="K12" s="19"/>
      <c r="L12" s="535">
        <f t="shared" si="3"/>
        <v>29</v>
      </c>
      <c r="M12" s="820"/>
      <c r="N12" s="994"/>
      <c r="O12" s="999"/>
      <c r="P12" s="1000">
        <f t="shared" si="1"/>
        <v>0</v>
      </c>
      <c r="Q12" s="995"/>
      <c r="R12" s="996"/>
      <c r="S12" s="846">
        <f t="shared" si="5"/>
        <v>511.68</v>
      </c>
    </row>
    <row r="13" spans="1:19" ht="15" customHeight="1" x14ac:dyDescent="0.25">
      <c r="B13" s="536">
        <f t="shared" si="2"/>
        <v>29</v>
      </c>
      <c r="C13" s="15"/>
      <c r="D13" s="537"/>
      <c r="E13" s="741"/>
      <c r="F13" s="742">
        <f t="shared" si="0"/>
        <v>0</v>
      </c>
      <c r="G13" s="330"/>
      <c r="H13" s="331"/>
      <c r="I13" s="214">
        <f t="shared" si="4"/>
        <v>533.27</v>
      </c>
      <c r="L13" s="535">
        <f t="shared" si="3"/>
        <v>29</v>
      </c>
      <c r="M13" s="820"/>
      <c r="N13" s="994"/>
      <c r="O13" s="999"/>
      <c r="P13" s="1000">
        <f t="shared" si="1"/>
        <v>0</v>
      </c>
      <c r="Q13" s="995"/>
      <c r="R13" s="996"/>
      <c r="S13" s="846">
        <f t="shared" si="5"/>
        <v>511.68</v>
      </c>
    </row>
    <row r="14" spans="1:19" ht="15" customHeight="1" x14ac:dyDescent="0.25">
      <c r="B14" s="536">
        <f t="shared" si="2"/>
        <v>29</v>
      </c>
      <c r="C14" s="53"/>
      <c r="D14" s="537"/>
      <c r="E14" s="741"/>
      <c r="F14" s="742">
        <f t="shared" si="0"/>
        <v>0</v>
      </c>
      <c r="G14" s="330"/>
      <c r="H14" s="331"/>
      <c r="I14" s="214">
        <f t="shared" si="4"/>
        <v>533.27</v>
      </c>
      <c r="L14" s="535">
        <f t="shared" si="3"/>
        <v>29</v>
      </c>
      <c r="M14" s="987"/>
      <c r="N14" s="994"/>
      <c r="O14" s="999"/>
      <c r="P14" s="1000">
        <f t="shared" si="1"/>
        <v>0</v>
      </c>
      <c r="Q14" s="995"/>
      <c r="R14" s="996"/>
      <c r="S14" s="846">
        <f t="shared" si="5"/>
        <v>511.68</v>
      </c>
    </row>
    <row r="15" spans="1:19" ht="15" customHeight="1" x14ac:dyDescent="0.25">
      <c r="B15" s="536">
        <f t="shared" si="2"/>
        <v>29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533.27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29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533.27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29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533.27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29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533.27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29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533.27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29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533.27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29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533.27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29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533.27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29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533.27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29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533.27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29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533.27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29</v>
      </c>
      <c r="C26" s="15"/>
      <c r="D26" s="537"/>
      <c r="E26" s="999"/>
      <c r="F26" s="1000">
        <f>D26</f>
        <v>0</v>
      </c>
      <c r="G26" s="995"/>
      <c r="H26" s="996"/>
      <c r="I26" s="846">
        <f t="shared" si="4"/>
        <v>533.27</v>
      </c>
      <c r="L26" s="536">
        <f t="shared" si="3"/>
        <v>29</v>
      </c>
      <c r="M26" s="15"/>
      <c r="N26" s="537"/>
      <c r="O26" s="999"/>
      <c r="P26" s="1000">
        <f>N26</f>
        <v>0</v>
      </c>
      <c r="Q26" s="995"/>
      <c r="R26" s="996"/>
      <c r="S26" s="846">
        <f t="shared" si="5"/>
        <v>511.68</v>
      </c>
    </row>
    <row r="27" spans="1:19" ht="15" customHeight="1" x14ac:dyDescent="0.25">
      <c r="B27" s="536">
        <f t="shared" si="2"/>
        <v>29</v>
      </c>
      <c r="C27" s="15"/>
      <c r="D27" s="537">
        <v>0</v>
      </c>
      <c r="E27" s="999"/>
      <c r="F27" s="1000">
        <f t="shared" si="6"/>
        <v>0</v>
      </c>
      <c r="G27" s="995"/>
      <c r="H27" s="996"/>
      <c r="I27" s="846">
        <f t="shared" si="4"/>
        <v>533.27</v>
      </c>
      <c r="L27" s="536">
        <f t="shared" si="3"/>
        <v>29</v>
      </c>
      <c r="M27" s="15"/>
      <c r="N27" s="537">
        <v>0</v>
      </c>
      <c r="O27" s="999"/>
      <c r="P27" s="1000">
        <f t="shared" ref="P27:P35" si="7">N27</f>
        <v>0</v>
      </c>
      <c r="Q27" s="995"/>
      <c r="R27" s="996"/>
      <c r="S27" s="846">
        <f t="shared" si="5"/>
        <v>511.68</v>
      </c>
    </row>
    <row r="28" spans="1:19" ht="15" customHeight="1" x14ac:dyDescent="0.25">
      <c r="A28" s="47"/>
      <c r="B28" s="536">
        <f t="shared" si="2"/>
        <v>29</v>
      </c>
      <c r="C28" s="15"/>
      <c r="D28" s="537">
        <v>0</v>
      </c>
      <c r="E28" s="999"/>
      <c r="F28" s="1000">
        <f t="shared" si="6"/>
        <v>0</v>
      </c>
      <c r="G28" s="995"/>
      <c r="H28" s="996"/>
      <c r="I28" s="846">
        <f t="shared" si="4"/>
        <v>533.27</v>
      </c>
      <c r="K28" s="47"/>
      <c r="L28" s="536">
        <f t="shared" si="3"/>
        <v>29</v>
      </c>
      <c r="M28" s="15"/>
      <c r="N28" s="537">
        <v>0</v>
      </c>
      <c r="O28" s="999"/>
      <c r="P28" s="1000">
        <f t="shared" si="7"/>
        <v>0</v>
      </c>
      <c r="Q28" s="995"/>
      <c r="R28" s="996"/>
      <c r="S28" s="846">
        <f t="shared" si="5"/>
        <v>511.68</v>
      </c>
    </row>
    <row r="29" spans="1:19" ht="15" customHeight="1" x14ac:dyDescent="0.25">
      <c r="A29" s="47"/>
      <c r="B29" s="536">
        <f t="shared" si="2"/>
        <v>29</v>
      </c>
      <c r="C29" s="15"/>
      <c r="D29" s="537">
        <v>0</v>
      </c>
      <c r="E29" s="999"/>
      <c r="F29" s="1000">
        <f t="shared" si="6"/>
        <v>0</v>
      </c>
      <c r="G29" s="995"/>
      <c r="H29" s="996"/>
      <c r="I29" s="846">
        <f t="shared" si="4"/>
        <v>533.27</v>
      </c>
      <c r="K29" s="47"/>
      <c r="L29" s="536">
        <f t="shared" si="3"/>
        <v>29</v>
      </c>
      <c r="M29" s="15"/>
      <c r="N29" s="537">
        <v>0</v>
      </c>
      <c r="O29" s="999"/>
      <c r="P29" s="1000">
        <f t="shared" si="7"/>
        <v>0</v>
      </c>
      <c r="Q29" s="995"/>
      <c r="R29" s="996"/>
      <c r="S29" s="846">
        <f t="shared" si="5"/>
        <v>511.68</v>
      </c>
    </row>
    <row r="30" spans="1:19" ht="15" customHeight="1" x14ac:dyDescent="0.25">
      <c r="A30" s="47"/>
      <c r="B30" s="536">
        <f t="shared" si="2"/>
        <v>29</v>
      </c>
      <c r="C30" s="15"/>
      <c r="D30" s="537">
        <v>0</v>
      </c>
      <c r="E30" s="999"/>
      <c r="F30" s="1000">
        <f t="shared" si="6"/>
        <v>0</v>
      </c>
      <c r="G30" s="995"/>
      <c r="H30" s="996"/>
      <c r="I30" s="846">
        <f t="shared" si="4"/>
        <v>533.27</v>
      </c>
      <c r="K30" s="47"/>
      <c r="L30" s="536">
        <f t="shared" si="3"/>
        <v>29</v>
      </c>
      <c r="M30" s="15"/>
      <c r="N30" s="537">
        <v>0</v>
      </c>
      <c r="O30" s="999"/>
      <c r="P30" s="1000">
        <f t="shared" si="7"/>
        <v>0</v>
      </c>
      <c r="Q30" s="995"/>
      <c r="R30" s="996"/>
      <c r="S30" s="846">
        <f t="shared" si="5"/>
        <v>511.68</v>
      </c>
    </row>
    <row r="31" spans="1:19" ht="15" customHeight="1" x14ac:dyDescent="0.25">
      <c r="A31" s="47"/>
      <c r="B31" s="536">
        <f t="shared" si="2"/>
        <v>29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533.27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29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533.27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29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533.27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29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533.27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29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70" t="s">
        <v>21</v>
      </c>
      <c r="E38" s="1271"/>
      <c r="F38" s="141">
        <f>E4+E5-F36+E6</f>
        <v>533.27</v>
      </c>
      <c r="L38" s="534"/>
      <c r="N38" s="1270" t="s">
        <v>21</v>
      </c>
      <c r="O38" s="1271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29</v>
      </c>
      <c r="K39" s="125"/>
      <c r="N39" s="1124" t="s">
        <v>4</v>
      </c>
      <c r="O39" s="1125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80"/>
      <c r="B5" s="1294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80"/>
      <c r="B6" s="1295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70" t="s">
        <v>21</v>
      </c>
      <c r="E42" s="1271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80" t="s">
        <v>97</v>
      </c>
      <c r="B5" s="1296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80"/>
      <c r="B6" s="1297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70" t="s">
        <v>21</v>
      </c>
      <c r="E31" s="1271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8" t="s">
        <v>85</v>
      </c>
      <c r="C4" s="128"/>
      <c r="D4" s="134"/>
      <c r="E4" s="180"/>
      <c r="F4" s="137"/>
      <c r="G4" s="38"/>
    </row>
    <row r="5" spans="1:15" ht="15.75" x14ac:dyDescent="0.25">
      <c r="A5" s="1280"/>
      <c r="B5" s="1296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70" t="s">
        <v>21</v>
      </c>
      <c r="E31" s="1271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70" t="s">
        <v>21</v>
      </c>
      <c r="E31" s="1271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4"/>
      <c r="B1" s="1264"/>
      <c r="C1" s="1264"/>
      <c r="D1" s="1264"/>
      <c r="E1" s="1264"/>
      <c r="F1" s="1264"/>
      <c r="G1" s="12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7" t="s">
        <v>95</v>
      </c>
      <c r="B5" s="1299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7"/>
      <c r="B6" s="12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70" t="s">
        <v>21</v>
      </c>
      <c r="E32" s="127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31" zoomScaleNormal="100" workbookViewId="0">
      <selection activeCell="RH6" sqref="RH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66" t="s">
        <v>319</v>
      </c>
      <c r="L1" s="1266"/>
      <c r="M1" s="1266"/>
      <c r="N1" s="1266"/>
      <c r="O1" s="1266"/>
      <c r="P1" s="1266"/>
      <c r="Q1" s="1266"/>
      <c r="R1" s="269">
        <f>I1+1</f>
        <v>1</v>
      </c>
      <c r="S1" s="269"/>
      <c r="U1" s="1264" t="str">
        <f>K1</f>
        <v>ENTRADA DEL MES DE    DICIEMBRE    2022</v>
      </c>
      <c r="V1" s="1264"/>
      <c r="W1" s="1264"/>
      <c r="X1" s="1264"/>
      <c r="Y1" s="1264"/>
      <c r="Z1" s="1264"/>
      <c r="AA1" s="1264"/>
      <c r="AB1" s="269">
        <f>R1+1</f>
        <v>2</v>
      </c>
      <c r="AC1" s="395"/>
      <c r="AE1" s="1264" t="str">
        <f>U1</f>
        <v>ENTRADA DEL MES DE    DICIEMBRE    2022</v>
      </c>
      <c r="AF1" s="1264"/>
      <c r="AG1" s="1264"/>
      <c r="AH1" s="1264"/>
      <c r="AI1" s="1264"/>
      <c r="AJ1" s="1264"/>
      <c r="AK1" s="1264"/>
      <c r="AL1" s="269">
        <f>AB1+1</f>
        <v>3</v>
      </c>
      <c r="AM1" s="269"/>
      <c r="AO1" s="1264" t="str">
        <f>AE1</f>
        <v>ENTRADA DEL MES DE    DICIEMBRE    2022</v>
      </c>
      <c r="AP1" s="1264"/>
      <c r="AQ1" s="1264"/>
      <c r="AR1" s="1264"/>
      <c r="AS1" s="1264"/>
      <c r="AT1" s="1264"/>
      <c r="AU1" s="1264"/>
      <c r="AV1" s="269">
        <f>AL1+1</f>
        <v>4</v>
      </c>
      <c r="AW1" s="395"/>
      <c r="AY1" s="1264" t="str">
        <f>AO1</f>
        <v>ENTRADA DEL MES DE    DICIEMBRE    2022</v>
      </c>
      <c r="AZ1" s="1264"/>
      <c r="BA1" s="1264"/>
      <c r="BB1" s="1264"/>
      <c r="BC1" s="1264"/>
      <c r="BD1" s="1264"/>
      <c r="BE1" s="1264"/>
      <c r="BF1" s="269">
        <f>AV1+1</f>
        <v>5</v>
      </c>
      <c r="BG1" s="411"/>
      <c r="BI1" s="1264" t="str">
        <f>AY1</f>
        <v>ENTRADA DEL MES DE    DICIEMBRE    2022</v>
      </c>
      <c r="BJ1" s="1264"/>
      <c r="BK1" s="1264"/>
      <c r="BL1" s="1264"/>
      <c r="BM1" s="1264"/>
      <c r="BN1" s="1264"/>
      <c r="BO1" s="1264"/>
      <c r="BP1" s="269">
        <f>BF1+1</f>
        <v>6</v>
      </c>
      <c r="BQ1" s="395"/>
      <c r="BS1" s="1264" t="str">
        <f>BI1</f>
        <v>ENTRADA DEL MES DE    DICIEMBRE    2022</v>
      </c>
      <c r="BT1" s="1264"/>
      <c r="BU1" s="1264"/>
      <c r="BV1" s="1264"/>
      <c r="BW1" s="1264"/>
      <c r="BX1" s="1264"/>
      <c r="BY1" s="1264"/>
      <c r="BZ1" s="269">
        <f>BP1+1</f>
        <v>7</v>
      </c>
      <c r="CC1" s="1264" t="str">
        <f>BS1</f>
        <v>ENTRADA DEL MES DE    DICIEMBRE    2022</v>
      </c>
      <c r="CD1" s="1264"/>
      <c r="CE1" s="1264"/>
      <c r="CF1" s="1264"/>
      <c r="CG1" s="1264"/>
      <c r="CH1" s="1264"/>
      <c r="CI1" s="1264"/>
      <c r="CJ1" s="269">
        <f>BZ1+1</f>
        <v>8</v>
      </c>
      <c r="CM1" s="1264" t="str">
        <f>CC1</f>
        <v>ENTRADA DEL MES DE    DICIEMBRE    2022</v>
      </c>
      <c r="CN1" s="1264"/>
      <c r="CO1" s="1264"/>
      <c r="CP1" s="1264"/>
      <c r="CQ1" s="1264"/>
      <c r="CR1" s="1264"/>
      <c r="CS1" s="1264"/>
      <c r="CT1" s="269">
        <f>CJ1+1</f>
        <v>9</v>
      </c>
      <c r="CU1" s="395"/>
      <c r="CW1" s="1264" t="str">
        <f>CM1</f>
        <v>ENTRADA DEL MES DE    DICIEMBRE    2022</v>
      </c>
      <c r="CX1" s="1264"/>
      <c r="CY1" s="1264"/>
      <c r="CZ1" s="1264"/>
      <c r="DA1" s="1264"/>
      <c r="DB1" s="1264"/>
      <c r="DC1" s="1264"/>
      <c r="DD1" s="269">
        <f>CT1+1</f>
        <v>10</v>
      </c>
      <c r="DE1" s="395"/>
      <c r="DG1" s="1264" t="str">
        <f>CW1</f>
        <v>ENTRADA DEL MES DE    DICIEMBRE    2022</v>
      </c>
      <c r="DH1" s="1264"/>
      <c r="DI1" s="1264"/>
      <c r="DJ1" s="1264"/>
      <c r="DK1" s="1264"/>
      <c r="DL1" s="1264"/>
      <c r="DM1" s="1264"/>
      <c r="DN1" s="269">
        <f>DD1+1</f>
        <v>11</v>
      </c>
      <c r="DO1" s="395"/>
      <c r="DQ1" s="1264" t="str">
        <f>DG1</f>
        <v>ENTRADA DEL MES DE    DICIEMBRE    2022</v>
      </c>
      <c r="DR1" s="1264"/>
      <c r="DS1" s="1264"/>
      <c r="DT1" s="1264"/>
      <c r="DU1" s="1264"/>
      <c r="DV1" s="1264"/>
      <c r="DW1" s="1264"/>
      <c r="DX1" s="269">
        <f>DN1+1</f>
        <v>12</v>
      </c>
      <c r="EA1" s="1264" t="str">
        <f>DQ1</f>
        <v>ENTRADA DEL MES DE    DICIEMBRE    2022</v>
      </c>
      <c r="EB1" s="1264"/>
      <c r="EC1" s="1264"/>
      <c r="ED1" s="1264"/>
      <c r="EE1" s="1264"/>
      <c r="EF1" s="1264"/>
      <c r="EG1" s="1264"/>
      <c r="EH1" s="269">
        <f>DX1+1</f>
        <v>13</v>
      </c>
      <c r="EI1" s="395"/>
      <c r="EK1" s="1264" t="str">
        <f>EA1</f>
        <v>ENTRADA DEL MES DE    DICIEMBRE    2022</v>
      </c>
      <c r="EL1" s="1264"/>
      <c r="EM1" s="1264"/>
      <c r="EN1" s="1264"/>
      <c r="EO1" s="1264"/>
      <c r="EP1" s="1264"/>
      <c r="EQ1" s="1264"/>
      <c r="ER1" s="269">
        <f>EH1+1</f>
        <v>14</v>
      </c>
      <c r="ES1" s="395"/>
      <c r="EU1" s="1264" t="str">
        <f>EK1</f>
        <v>ENTRADA DEL MES DE    DICIEMBRE    2022</v>
      </c>
      <c r="EV1" s="1264"/>
      <c r="EW1" s="1264"/>
      <c r="EX1" s="1264"/>
      <c r="EY1" s="1264"/>
      <c r="EZ1" s="1264"/>
      <c r="FA1" s="1264"/>
      <c r="FB1" s="269">
        <f>ER1+1</f>
        <v>15</v>
      </c>
      <c r="FC1" s="395"/>
      <c r="FE1" s="1264" t="str">
        <f>EU1</f>
        <v>ENTRADA DEL MES DE    DICIEMBRE    2022</v>
      </c>
      <c r="FF1" s="1264"/>
      <c r="FG1" s="1264"/>
      <c r="FH1" s="1264"/>
      <c r="FI1" s="1264"/>
      <c r="FJ1" s="1264"/>
      <c r="FK1" s="1264"/>
      <c r="FL1" s="269">
        <f>FB1+1</f>
        <v>16</v>
      </c>
      <c r="FM1" s="395"/>
      <c r="FO1" s="1264" t="str">
        <f>FE1</f>
        <v>ENTRADA DEL MES DE    DICIEMBRE    2022</v>
      </c>
      <c r="FP1" s="1264"/>
      <c r="FQ1" s="1264"/>
      <c r="FR1" s="1264"/>
      <c r="FS1" s="1264"/>
      <c r="FT1" s="1264"/>
      <c r="FU1" s="1264"/>
      <c r="FV1" s="269">
        <f>FL1+1</f>
        <v>17</v>
      </c>
      <c r="FW1" s="395"/>
      <c r="FY1" s="1264" t="str">
        <f>FO1</f>
        <v>ENTRADA DEL MES DE    DICIEMBRE    2022</v>
      </c>
      <c r="FZ1" s="1264"/>
      <c r="GA1" s="1264"/>
      <c r="GB1" s="1264"/>
      <c r="GC1" s="1264"/>
      <c r="GD1" s="1264"/>
      <c r="GE1" s="1264"/>
      <c r="GF1" s="269">
        <f>FV1+1</f>
        <v>18</v>
      </c>
      <c r="GG1" s="395"/>
      <c r="GH1" s="75" t="s">
        <v>37</v>
      </c>
      <c r="GI1" s="1264" t="str">
        <f>FY1</f>
        <v>ENTRADA DEL MES DE    DICIEMBRE    2022</v>
      </c>
      <c r="GJ1" s="1264"/>
      <c r="GK1" s="1264"/>
      <c r="GL1" s="1264"/>
      <c r="GM1" s="1264"/>
      <c r="GN1" s="1264"/>
      <c r="GO1" s="1264"/>
      <c r="GP1" s="269">
        <f>GF1+1</f>
        <v>19</v>
      </c>
      <c r="GQ1" s="395"/>
      <c r="GS1" s="1264" t="str">
        <f>GI1</f>
        <v>ENTRADA DEL MES DE    DICIEMBRE    2022</v>
      </c>
      <c r="GT1" s="1264"/>
      <c r="GU1" s="1264"/>
      <c r="GV1" s="1264"/>
      <c r="GW1" s="1264"/>
      <c r="GX1" s="1264"/>
      <c r="GY1" s="1264"/>
      <c r="GZ1" s="269">
        <f>GP1+1</f>
        <v>20</v>
      </c>
      <c r="HA1" s="395"/>
      <c r="HC1" s="1264" t="str">
        <f>GS1</f>
        <v>ENTRADA DEL MES DE    DICIEMBRE    2022</v>
      </c>
      <c r="HD1" s="1264"/>
      <c r="HE1" s="1264"/>
      <c r="HF1" s="1264"/>
      <c r="HG1" s="1264"/>
      <c r="HH1" s="1264"/>
      <c r="HI1" s="1264"/>
      <c r="HJ1" s="269">
        <f>GZ1+1</f>
        <v>21</v>
      </c>
      <c r="HK1" s="395"/>
      <c r="HM1" s="1264" t="str">
        <f>HC1</f>
        <v>ENTRADA DEL MES DE    DICIEMBRE    2022</v>
      </c>
      <c r="HN1" s="1264"/>
      <c r="HO1" s="1264"/>
      <c r="HP1" s="1264"/>
      <c r="HQ1" s="1264"/>
      <c r="HR1" s="1264"/>
      <c r="HS1" s="1264"/>
      <c r="HT1" s="269">
        <f>HJ1+1</f>
        <v>22</v>
      </c>
      <c r="HU1" s="395"/>
      <c r="HW1" s="1264" t="str">
        <f>HM1</f>
        <v>ENTRADA DEL MES DE    DICIEMBRE    2022</v>
      </c>
      <c r="HX1" s="1264"/>
      <c r="HY1" s="1264"/>
      <c r="HZ1" s="1264"/>
      <c r="IA1" s="1264"/>
      <c r="IB1" s="1264"/>
      <c r="IC1" s="1264"/>
      <c r="ID1" s="269">
        <f>HT1+1</f>
        <v>23</v>
      </c>
      <c r="IE1" s="395"/>
      <c r="IG1" s="1264" t="str">
        <f>HW1</f>
        <v>ENTRADA DEL MES DE    DICIEMBRE    2022</v>
      </c>
      <c r="IH1" s="1264"/>
      <c r="II1" s="1264"/>
      <c r="IJ1" s="1264"/>
      <c r="IK1" s="1264"/>
      <c r="IL1" s="1264"/>
      <c r="IM1" s="1264"/>
      <c r="IN1" s="269">
        <f>ID1+1</f>
        <v>24</v>
      </c>
      <c r="IO1" s="395"/>
      <c r="IQ1" s="1264" t="str">
        <f>IG1</f>
        <v>ENTRADA DEL MES DE    DICIEMBRE    2022</v>
      </c>
      <c r="IR1" s="1264"/>
      <c r="IS1" s="1264"/>
      <c r="IT1" s="1264"/>
      <c r="IU1" s="1264"/>
      <c r="IV1" s="1264"/>
      <c r="IW1" s="1264"/>
      <c r="IX1" s="269">
        <f>IN1+1</f>
        <v>25</v>
      </c>
      <c r="IY1" s="395"/>
      <c r="JA1" s="1264" t="str">
        <f>IQ1</f>
        <v>ENTRADA DEL MES DE    DICIEMBRE    2022</v>
      </c>
      <c r="JB1" s="1264"/>
      <c r="JC1" s="1264"/>
      <c r="JD1" s="1264"/>
      <c r="JE1" s="1264"/>
      <c r="JF1" s="1264"/>
      <c r="JG1" s="1264"/>
      <c r="JH1" s="269">
        <f>IX1+1</f>
        <v>26</v>
      </c>
      <c r="JI1" s="395"/>
      <c r="JK1" s="1274" t="str">
        <f>JA1</f>
        <v>ENTRADA DEL MES DE    DICIEMBRE    2022</v>
      </c>
      <c r="JL1" s="1274"/>
      <c r="JM1" s="1274"/>
      <c r="JN1" s="1274"/>
      <c r="JO1" s="1274"/>
      <c r="JP1" s="1274"/>
      <c r="JQ1" s="1274"/>
      <c r="JR1" s="269">
        <f>JH1+1</f>
        <v>27</v>
      </c>
      <c r="JS1" s="395"/>
      <c r="JU1" s="1264" t="str">
        <f>JK1</f>
        <v>ENTRADA DEL MES DE    DICIEMBRE    2022</v>
      </c>
      <c r="JV1" s="1264"/>
      <c r="JW1" s="1264"/>
      <c r="JX1" s="1264"/>
      <c r="JY1" s="1264"/>
      <c r="JZ1" s="1264"/>
      <c r="KA1" s="1264"/>
      <c r="KB1" s="269">
        <f>JR1+1</f>
        <v>28</v>
      </c>
      <c r="KC1" s="395"/>
      <c r="KE1" s="1264" t="str">
        <f>JU1</f>
        <v>ENTRADA DEL MES DE    DICIEMBRE    2022</v>
      </c>
      <c r="KF1" s="1264"/>
      <c r="KG1" s="1264"/>
      <c r="KH1" s="1264"/>
      <c r="KI1" s="1264"/>
      <c r="KJ1" s="1264"/>
      <c r="KK1" s="1264"/>
      <c r="KL1" s="269">
        <f>KB1+1</f>
        <v>29</v>
      </c>
      <c r="KM1" s="395"/>
      <c r="KO1" s="1264" t="str">
        <f>KE1</f>
        <v>ENTRADA DEL MES DE    DICIEMBRE    2022</v>
      </c>
      <c r="KP1" s="1264"/>
      <c r="KQ1" s="1264"/>
      <c r="KR1" s="1264"/>
      <c r="KS1" s="1264"/>
      <c r="KT1" s="1264"/>
      <c r="KU1" s="1264"/>
      <c r="KV1" s="269">
        <f>KL1+1</f>
        <v>30</v>
      </c>
      <c r="KW1" s="395"/>
      <c r="KY1" s="1264" t="str">
        <f>KO1</f>
        <v>ENTRADA DEL MES DE    DICIEMBRE    2022</v>
      </c>
      <c r="KZ1" s="1264"/>
      <c r="LA1" s="1264"/>
      <c r="LB1" s="1264"/>
      <c r="LC1" s="1264"/>
      <c r="LD1" s="1264"/>
      <c r="LE1" s="1264"/>
      <c r="LF1" s="269">
        <f>KV1+1</f>
        <v>31</v>
      </c>
      <c r="LG1" s="395"/>
      <c r="LI1" s="1264" t="str">
        <f>KY1</f>
        <v>ENTRADA DEL MES DE    DICIEMBRE    2022</v>
      </c>
      <c r="LJ1" s="1264"/>
      <c r="LK1" s="1264"/>
      <c r="LL1" s="1264"/>
      <c r="LM1" s="1264"/>
      <c r="LN1" s="1264"/>
      <c r="LO1" s="1264"/>
      <c r="LP1" s="269">
        <f>LF1+1</f>
        <v>32</v>
      </c>
      <c r="LQ1" s="395"/>
      <c r="LS1" s="1264" t="str">
        <f>LI1</f>
        <v>ENTRADA DEL MES DE    DICIEMBRE    2022</v>
      </c>
      <c r="LT1" s="1264"/>
      <c r="LU1" s="1264"/>
      <c r="LV1" s="1264"/>
      <c r="LW1" s="1264"/>
      <c r="LX1" s="1264"/>
      <c r="LY1" s="1264"/>
      <c r="LZ1" s="269">
        <f>LP1+1</f>
        <v>33</v>
      </c>
      <c r="MC1" s="1264" t="str">
        <f>LS1</f>
        <v>ENTRADA DEL MES DE    DICIEMBRE    2022</v>
      </c>
      <c r="MD1" s="1264"/>
      <c r="ME1" s="1264"/>
      <c r="MF1" s="1264"/>
      <c r="MG1" s="1264"/>
      <c r="MH1" s="1264"/>
      <c r="MI1" s="1264"/>
      <c r="MJ1" s="269">
        <f>LZ1+1</f>
        <v>34</v>
      </c>
      <c r="MK1" s="269"/>
      <c r="MM1" s="1264" t="str">
        <f>MC1</f>
        <v>ENTRADA DEL MES DE    DICIEMBRE    2022</v>
      </c>
      <c r="MN1" s="1264"/>
      <c r="MO1" s="1264"/>
      <c r="MP1" s="1264"/>
      <c r="MQ1" s="1264"/>
      <c r="MR1" s="1264"/>
      <c r="MS1" s="1264"/>
      <c r="MT1" s="269">
        <f>MJ1+1</f>
        <v>35</v>
      </c>
      <c r="MU1" s="269"/>
      <c r="MW1" s="1264" t="str">
        <f>MM1</f>
        <v>ENTRADA DEL MES DE    DICIEMBRE    2022</v>
      </c>
      <c r="MX1" s="1264"/>
      <c r="MY1" s="1264"/>
      <c r="MZ1" s="1264"/>
      <c r="NA1" s="1264"/>
      <c r="NB1" s="1264"/>
      <c r="NC1" s="1264"/>
      <c r="ND1" s="269">
        <f>MT1+1</f>
        <v>36</v>
      </c>
      <c r="NE1" s="269"/>
      <c r="NG1" s="1264" t="str">
        <f>MW1</f>
        <v>ENTRADA DEL MES DE    DICIEMBRE    2022</v>
      </c>
      <c r="NH1" s="1264"/>
      <c r="NI1" s="1264"/>
      <c r="NJ1" s="1264"/>
      <c r="NK1" s="1264"/>
      <c r="NL1" s="1264"/>
      <c r="NM1" s="1264"/>
      <c r="NN1" s="269">
        <f>ND1+1</f>
        <v>37</v>
      </c>
      <c r="NO1" s="269"/>
      <c r="NQ1" s="1264" t="str">
        <f>NG1</f>
        <v>ENTRADA DEL MES DE    DICIEMBRE    2022</v>
      </c>
      <c r="NR1" s="1264"/>
      <c r="NS1" s="1264"/>
      <c r="NT1" s="1264"/>
      <c r="NU1" s="1264"/>
      <c r="NV1" s="1264"/>
      <c r="NW1" s="1264"/>
      <c r="NX1" s="269">
        <f>NN1+1</f>
        <v>38</v>
      </c>
      <c r="NY1" s="269"/>
      <c r="OA1" s="1264" t="str">
        <f>NQ1</f>
        <v>ENTRADA DEL MES DE    DICIEMBRE    2022</v>
      </c>
      <c r="OB1" s="1264"/>
      <c r="OC1" s="1264"/>
      <c r="OD1" s="1264"/>
      <c r="OE1" s="1264"/>
      <c r="OF1" s="1264"/>
      <c r="OG1" s="1264"/>
      <c r="OH1" s="269">
        <f>NX1+1</f>
        <v>39</v>
      </c>
      <c r="OI1" s="269"/>
      <c r="OK1" s="1264" t="str">
        <f>OA1</f>
        <v>ENTRADA DEL MES DE    DICIEMBRE    2022</v>
      </c>
      <c r="OL1" s="1264"/>
      <c r="OM1" s="1264"/>
      <c r="ON1" s="1264"/>
      <c r="OO1" s="1264"/>
      <c r="OP1" s="1264"/>
      <c r="OQ1" s="1264"/>
      <c r="OR1" s="269">
        <f>OH1+1</f>
        <v>40</v>
      </c>
      <c r="OS1" s="269"/>
      <c r="OU1" s="1264" t="str">
        <f>OK1</f>
        <v>ENTRADA DEL MES DE    DICIEMBRE    2022</v>
      </c>
      <c r="OV1" s="1264"/>
      <c r="OW1" s="1264"/>
      <c r="OX1" s="1264"/>
      <c r="OY1" s="1264"/>
      <c r="OZ1" s="1264"/>
      <c r="PA1" s="1264"/>
      <c r="PB1" s="269">
        <f>OR1+1</f>
        <v>41</v>
      </c>
      <c r="PC1" s="269"/>
      <c r="PE1" s="1264" t="str">
        <f>OU1</f>
        <v>ENTRADA DEL MES DE    DICIEMBRE    2022</v>
      </c>
      <c r="PF1" s="1264"/>
      <c r="PG1" s="1264"/>
      <c r="PH1" s="1264"/>
      <c r="PI1" s="1264"/>
      <c r="PJ1" s="1264"/>
      <c r="PK1" s="1264"/>
      <c r="PL1" s="269">
        <f>PB1+1</f>
        <v>42</v>
      </c>
      <c r="PM1" s="269"/>
      <c r="PO1" s="1264" t="str">
        <f>PE1</f>
        <v>ENTRADA DEL MES DE    DICIEMBRE    2022</v>
      </c>
      <c r="PP1" s="1264"/>
      <c r="PQ1" s="1264"/>
      <c r="PR1" s="1264"/>
      <c r="PS1" s="1264"/>
      <c r="PT1" s="1264"/>
      <c r="PU1" s="1264"/>
      <c r="PV1" s="269">
        <f>PL1+1</f>
        <v>43</v>
      </c>
      <c r="PX1" s="1264" t="str">
        <f>PO1</f>
        <v>ENTRADA DEL MES DE    DICIEMBRE    2022</v>
      </c>
      <c r="PY1" s="1264"/>
      <c r="PZ1" s="1264"/>
      <c r="QA1" s="1264"/>
      <c r="QB1" s="1264"/>
      <c r="QC1" s="1264"/>
      <c r="QD1" s="1264"/>
      <c r="QE1" s="269">
        <f>PV1+1</f>
        <v>44</v>
      </c>
      <c r="QG1" s="1264" t="str">
        <f>PX1</f>
        <v>ENTRADA DEL MES DE    DICIEMBRE    2022</v>
      </c>
      <c r="QH1" s="1264"/>
      <c r="QI1" s="1264"/>
      <c r="QJ1" s="1264"/>
      <c r="QK1" s="1264"/>
      <c r="QL1" s="1264"/>
      <c r="QM1" s="1264"/>
      <c r="QN1" s="269">
        <f>QE1+1</f>
        <v>45</v>
      </c>
      <c r="QP1" s="1264" t="str">
        <f>QG1</f>
        <v>ENTRADA DEL MES DE    DICIEMBRE    2022</v>
      </c>
      <c r="QQ1" s="1264"/>
      <c r="QR1" s="1264"/>
      <c r="QS1" s="1264"/>
      <c r="QT1" s="1264"/>
      <c r="QU1" s="1264"/>
      <c r="QV1" s="1264"/>
      <c r="QW1" s="269">
        <f>QN1+1</f>
        <v>46</v>
      </c>
      <c r="QY1" s="1264" t="str">
        <f>QP1</f>
        <v>ENTRADA DEL MES DE    DICIEMBRE    2022</v>
      </c>
      <c r="QZ1" s="1264"/>
      <c r="RA1" s="1264"/>
      <c r="RB1" s="1264"/>
      <c r="RC1" s="1264"/>
      <c r="RD1" s="1264"/>
      <c r="RE1" s="1264"/>
      <c r="RF1" s="269">
        <f>QW1+1</f>
        <v>47</v>
      </c>
      <c r="RH1" s="1264" t="str">
        <f>QY1</f>
        <v>ENTRADA DEL MES DE    DICIEMBRE    2022</v>
      </c>
      <c r="RI1" s="1264"/>
      <c r="RJ1" s="1264"/>
      <c r="RK1" s="1264"/>
      <c r="RL1" s="1264"/>
      <c r="RM1" s="1264"/>
      <c r="RN1" s="1264"/>
      <c r="RO1" s="269">
        <f>RF1+1</f>
        <v>48</v>
      </c>
      <c r="RQ1" s="1264" t="str">
        <f>RH1</f>
        <v>ENTRADA DEL MES DE    DICIEMBRE    2022</v>
      </c>
      <c r="RR1" s="1264"/>
      <c r="RS1" s="1264"/>
      <c r="RT1" s="1264"/>
      <c r="RU1" s="1264"/>
      <c r="RV1" s="1264"/>
      <c r="RW1" s="1264"/>
      <c r="RX1" s="269">
        <f>RO1+1</f>
        <v>49</v>
      </c>
      <c r="RZ1" s="1264" t="str">
        <f>RQ1</f>
        <v>ENTRADA DEL MES DE    DICIEMBRE    2022</v>
      </c>
      <c r="SA1" s="1264"/>
      <c r="SB1" s="1264"/>
      <c r="SC1" s="1264"/>
      <c r="SD1" s="1264"/>
      <c r="SE1" s="1264"/>
      <c r="SF1" s="1264"/>
      <c r="SG1" s="269">
        <f>RX1+1</f>
        <v>50</v>
      </c>
      <c r="SI1" s="1264" t="str">
        <f>RZ1</f>
        <v>ENTRADA DEL MES DE    DICIEMBRE    2022</v>
      </c>
      <c r="SJ1" s="1264"/>
      <c r="SK1" s="1264"/>
      <c r="SL1" s="1264"/>
      <c r="SM1" s="1264"/>
      <c r="SN1" s="1264"/>
      <c r="SO1" s="1264"/>
      <c r="SP1" s="269">
        <f>SG1+1</f>
        <v>51</v>
      </c>
      <c r="SR1" s="1264" t="str">
        <f>SI1</f>
        <v>ENTRADA DEL MES DE    DICIEMBRE    2022</v>
      </c>
      <c r="SS1" s="1264"/>
      <c r="ST1" s="1264"/>
      <c r="SU1" s="1264"/>
      <c r="SV1" s="1264"/>
      <c r="SW1" s="1264"/>
      <c r="SX1" s="1264"/>
      <c r="SY1" s="269">
        <f>SP1+1</f>
        <v>52</v>
      </c>
      <c r="TA1" s="1264" t="str">
        <f>SR1</f>
        <v>ENTRADA DEL MES DE    DICIEMBRE    2022</v>
      </c>
      <c r="TB1" s="1264"/>
      <c r="TC1" s="1264"/>
      <c r="TD1" s="1264"/>
      <c r="TE1" s="1264"/>
      <c r="TF1" s="1264"/>
      <c r="TG1" s="1264"/>
      <c r="TH1" s="269">
        <f>SY1+1</f>
        <v>53</v>
      </c>
      <c r="TJ1" s="1264" t="str">
        <f>TA1</f>
        <v>ENTRADA DEL MES DE    DICIEMBRE    2022</v>
      </c>
      <c r="TK1" s="1264"/>
      <c r="TL1" s="1264"/>
      <c r="TM1" s="1264"/>
      <c r="TN1" s="1264"/>
      <c r="TO1" s="1264"/>
      <c r="TP1" s="1264"/>
      <c r="TQ1" s="269">
        <f>TH1+1</f>
        <v>54</v>
      </c>
      <c r="TS1" s="1264" t="str">
        <f>TJ1</f>
        <v>ENTRADA DEL MES DE    DICIEMBRE    2022</v>
      </c>
      <c r="TT1" s="1264"/>
      <c r="TU1" s="1264"/>
      <c r="TV1" s="1264"/>
      <c r="TW1" s="1264"/>
      <c r="TX1" s="1264"/>
      <c r="TY1" s="1264"/>
      <c r="TZ1" s="269">
        <f>TQ1+1</f>
        <v>55</v>
      </c>
      <c r="UB1" s="1264" t="str">
        <f>TS1</f>
        <v>ENTRADA DEL MES DE    DICIEMBRE    2022</v>
      </c>
      <c r="UC1" s="1264"/>
      <c r="UD1" s="1264"/>
      <c r="UE1" s="1264"/>
      <c r="UF1" s="1264"/>
      <c r="UG1" s="1264"/>
      <c r="UH1" s="1264"/>
      <c r="UI1" s="269">
        <f>TZ1+1</f>
        <v>56</v>
      </c>
      <c r="UK1" s="1264" t="str">
        <f>UB1</f>
        <v>ENTRADA DEL MES DE    DICIEMBRE    2022</v>
      </c>
      <c r="UL1" s="1264"/>
      <c r="UM1" s="1264"/>
      <c r="UN1" s="1264"/>
      <c r="UO1" s="1264"/>
      <c r="UP1" s="1264"/>
      <c r="UQ1" s="1264"/>
      <c r="UR1" s="269">
        <f>UI1+1</f>
        <v>57</v>
      </c>
      <c r="UT1" s="1264" t="str">
        <f>UK1</f>
        <v>ENTRADA DEL MES DE    DICIEMBRE    2022</v>
      </c>
      <c r="UU1" s="1264"/>
      <c r="UV1" s="1264"/>
      <c r="UW1" s="1264"/>
      <c r="UX1" s="1264"/>
      <c r="UY1" s="1264"/>
      <c r="UZ1" s="1264"/>
      <c r="VA1" s="269">
        <f>UR1+1</f>
        <v>58</v>
      </c>
      <c r="VC1" s="1264" t="str">
        <f>UT1</f>
        <v>ENTRADA DEL MES DE    DICIEMBRE    2022</v>
      </c>
      <c r="VD1" s="1264"/>
      <c r="VE1" s="1264"/>
      <c r="VF1" s="1264"/>
      <c r="VG1" s="1264"/>
      <c r="VH1" s="1264"/>
      <c r="VI1" s="1264"/>
      <c r="VJ1" s="269">
        <f>VA1+1</f>
        <v>59</v>
      </c>
      <c r="VL1" s="1264" t="str">
        <f>VC1</f>
        <v>ENTRADA DEL MES DE    DICIEMBRE    2022</v>
      </c>
      <c r="VM1" s="1264"/>
      <c r="VN1" s="1264"/>
      <c r="VO1" s="1264"/>
      <c r="VP1" s="1264"/>
      <c r="VQ1" s="1264"/>
      <c r="VR1" s="1264"/>
      <c r="VS1" s="269">
        <f>VJ1+1</f>
        <v>60</v>
      </c>
      <c r="VU1" s="1264" t="str">
        <f>VL1</f>
        <v>ENTRADA DEL MES DE    DICIEMBRE    2022</v>
      </c>
      <c r="VV1" s="1264"/>
      <c r="VW1" s="1264"/>
      <c r="VX1" s="1264"/>
      <c r="VY1" s="1264"/>
      <c r="VZ1" s="1264"/>
      <c r="WA1" s="1264"/>
      <c r="WB1" s="269">
        <f>VS1+1</f>
        <v>61</v>
      </c>
      <c r="WD1" s="1264" t="str">
        <f>VU1</f>
        <v>ENTRADA DEL MES DE    DICIEMBRE    2022</v>
      </c>
      <c r="WE1" s="1264"/>
      <c r="WF1" s="1264"/>
      <c r="WG1" s="1264"/>
      <c r="WH1" s="1264"/>
      <c r="WI1" s="1264"/>
      <c r="WJ1" s="1264"/>
      <c r="WK1" s="269">
        <f>WB1+1</f>
        <v>62</v>
      </c>
      <c r="WM1" s="1264" t="str">
        <f>WD1</f>
        <v>ENTRADA DEL MES DE    DICIEMBRE    2022</v>
      </c>
      <c r="WN1" s="1264"/>
      <c r="WO1" s="1264"/>
      <c r="WP1" s="1264"/>
      <c r="WQ1" s="1264"/>
      <c r="WR1" s="1264"/>
      <c r="WS1" s="1264"/>
      <c r="WT1" s="269">
        <f>WK1+1</f>
        <v>63</v>
      </c>
      <c r="WV1" s="1264" t="str">
        <f>WM1</f>
        <v>ENTRADA DEL MES DE    DICIEMBRE    2022</v>
      </c>
      <c r="WW1" s="1264"/>
      <c r="WX1" s="1264"/>
      <c r="WY1" s="1264"/>
      <c r="WZ1" s="1264"/>
      <c r="XA1" s="1264"/>
      <c r="XB1" s="1264"/>
      <c r="XC1" s="269">
        <f>WT1+1</f>
        <v>64</v>
      </c>
      <c r="XE1" s="1264" t="str">
        <f>WV1</f>
        <v>ENTRADA DEL MES DE    DICIEMBRE    2022</v>
      </c>
      <c r="XF1" s="1264"/>
      <c r="XG1" s="1264"/>
      <c r="XH1" s="1264"/>
      <c r="XI1" s="1264"/>
      <c r="XJ1" s="1264"/>
      <c r="XK1" s="1264"/>
      <c r="XL1" s="269">
        <f>XC1+1</f>
        <v>65</v>
      </c>
      <c r="XN1" s="1264" t="str">
        <f>XE1</f>
        <v>ENTRADA DEL MES DE    DICIEMBRE    2022</v>
      </c>
      <c r="XO1" s="1264"/>
      <c r="XP1" s="1264"/>
      <c r="XQ1" s="1264"/>
      <c r="XR1" s="1264"/>
      <c r="XS1" s="1264"/>
      <c r="XT1" s="1264"/>
      <c r="XU1" s="269">
        <f>XL1+1</f>
        <v>66</v>
      </c>
      <c r="XW1" s="1264" t="str">
        <f>XN1</f>
        <v>ENTRADA DEL MES DE    DICIEMBRE    2022</v>
      </c>
      <c r="XX1" s="1264"/>
      <c r="XY1" s="1264"/>
      <c r="XZ1" s="1264"/>
      <c r="YA1" s="1264"/>
      <c r="YB1" s="1264"/>
      <c r="YC1" s="1264"/>
      <c r="YD1" s="269">
        <f>XU1+1</f>
        <v>67</v>
      </c>
      <c r="YF1" s="1264" t="str">
        <f>XW1</f>
        <v>ENTRADA DEL MES DE    DICIEMBRE    2022</v>
      </c>
      <c r="YG1" s="1264"/>
      <c r="YH1" s="1264"/>
      <c r="YI1" s="1264"/>
      <c r="YJ1" s="1264"/>
      <c r="YK1" s="1264"/>
      <c r="YL1" s="1264"/>
      <c r="YM1" s="269">
        <f>YD1+1</f>
        <v>68</v>
      </c>
      <c r="YO1" s="1264" t="str">
        <f>YF1</f>
        <v>ENTRADA DEL MES DE    DICIEMBRE    2022</v>
      </c>
      <c r="YP1" s="1264"/>
      <c r="YQ1" s="1264"/>
      <c r="YR1" s="1264"/>
      <c r="YS1" s="1264"/>
      <c r="YT1" s="1264"/>
      <c r="YU1" s="1264"/>
      <c r="YV1" s="269">
        <f>YM1+1</f>
        <v>69</v>
      </c>
      <c r="YX1" s="1264" t="str">
        <f>YO1</f>
        <v>ENTRADA DEL MES DE    DICIEMBRE    2022</v>
      </c>
      <c r="YY1" s="1264"/>
      <c r="YZ1" s="1264"/>
      <c r="ZA1" s="1264"/>
      <c r="ZB1" s="1264"/>
      <c r="ZC1" s="1264"/>
      <c r="ZD1" s="1264"/>
      <c r="ZE1" s="269">
        <f>YV1+1</f>
        <v>70</v>
      </c>
      <c r="ZG1" s="1264" t="str">
        <f>YX1</f>
        <v>ENTRADA DEL MES DE    DICIEMBRE    2022</v>
      </c>
      <c r="ZH1" s="1264"/>
      <c r="ZI1" s="1264"/>
      <c r="ZJ1" s="1264"/>
      <c r="ZK1" s="1264"/>
      <c r="ZL1" s="1264"/>
      <c r="ZM1" s="1264"/>
      <c r="ZN1" s="269">
        <f>ZE1+1</f>
        <v>71</v>
      </c>
      <c r="ZP1" s="1264" t="str">
        <f>ZG1</f>
        <v>ENTRADA DEL MES DE    DICIEMBRE    2022</v>
      </c>
      <c r="ZQ1" s="1264"/>
      <c r="ZR1" s="1264"/>
      <c r="ZS1" s="1264"/>
      <c r="ZT1" s="1264"/>
      <c r="ZU1" s="1264"/>
      <c r="ZV1" s="1264"/>
      <c r="ZW1" s="269">
        <f>ZN1+1</f>
        <v>72</v>
      </c>
      <c r="ZY1" s="1264" t="str">
        <f>ZP1</f>
        <v>ENTRADA DEL MES DE    DICIEMBRE    2022</v>
      </c>
      <c r="ZZ1" s="1264"/>
      <c r="AAA1" s="1264"/>
      <c r="AAB1" s="1264"/>
      <c r="AAC1" s="1264"/>
      <c r="AAD1" s="1264"/>
      <c r="AAE1" s="1264"/>
      <c r="AAF1" s="269">
        <f>ZW1+1</f>
        <v>73</v>
      </c>
      <c r="AAH1" s="1264" t="str">
        <f>ZY1</f>
        <v>ENTRADA DEL MES DE    DICIEMBRE    2022</v>
      </c>
      <c r="AAI1" s="1264"/>
      <c r="AAJ1" s="1264"/>
      <c r="AAK1" s="1264"/>
      <c r="AAL1" s="1264"/>
      <c r="AAM1" s="1264"/>
      <c r="AAN1" s="1264"/>
      <c r="AAO1" s="269">
        <f>AAF1+1</f>
        <v>74</v>
      </c>
      <c r="AAQ1" s="1264" t="str">
        <f>AAH1</f>
        <v>ENTRADA DEL MES DE    DICIEMBRE    2022</v>
      </c>
      <c r="AAR1" s="1264"/>
      <c r="AAS1" s="1264"/>
      <c r="AAT1" s="1264"/>
      <c r="AAU1" s="1264"/>
      <c r="AAV1" s="1264"/>
      <c r="AAW1" s="1264"/>
      <c r="AAX1" s="269">
        <f>AAO1+1</f>
        <v>75</v>
      </c>
      <c r="AAZ1" s="1264" t="str">
        <f>AAQ1</f>
        <v>ENTRADA DEL MES DE    DICIEMBRE    2022</v>
      </c>
      <c r="ABA1" s="1264"/>
      <c r="ABB1" s="1264"/>
      <c r="ABC1" s="1264"/>
      <c r="ABD1" s="1264"/>
      <c r="ABE1" s="1264"/>
      <c r="ABF1" s="1264"/>
      <c r="ABG1" s="269">
        <f>AAX1+1</f>
        <v>76</v>
      </c>
      <c r="ABI1" s="1264" t="str">
        <f>AAZ1</f>
        <v>ENTRADA DEL MES DE    DICIEMBRE    2022</v>
      </c>
      <c r="ABJ1" s="1264"/>
      <c r="ABK1" s="1264"/>
      <c r="ABL1" s="1264"/>
      <c r="ABM1" s="1264"/>
      <c r="ABN1" s="1264"/>
      <c r="ABO1" s="1264"/>
      <c r="ABP1" s="269">
        <f>ABG1+1</f>
        <v>77</v>
      </c>
      <c r="ABR1" s="1264" t="str">
        <f>ABI1</f>
        <v>ENTRADA DEL MES DE    DICIEMBRE    2022</v>
      </c>
      <c r="ABS1" s="1264"/>
      <c r="ABT1" s="1264"/>
      <c r="ABU1" s="1264"/>
      <c r="ABV1" s="1264"/>
      <c r="ABW1" s="1264"/>
      <c r="ABX1" s="1264"/>
      <c r="ABY1" s="269">
        <f>ABP1+1</f>
        <v>78</v>
      </c>
      <c r="ACA1" s="1264" t="str">
        <f>ABR1</f>
        <v>ENTRADA DEL MES DE    DICIEMBRE    2022</v>
      </c>
      <c r="ACB1" s="1264"/>
      <c r="ACC1" s="1264"/>
      <c r="ACD1" s="1264"/>
      <c r="ACE1" s="1264"/>
      <c r="ACF1" s="1264"/>
      <c r="ACG1" s="1264"/>
      <c r="ACH1" s="269">
        <f>ABY1+1</f>
        <v>79</v>
      </c>
      <c r="ACJ1" s="1264" t="str">
        <f>ACA1</f>
        <v>ENTRADA DEL MES DE    DICIEMBRE    2022</v>
      </c>
      <c r="ACK1" s="1264"/>
      <c r="ACL1" s="1264"/>
      <c r="ACM1" s="1264"/>
      <c r="ACN1" s="1264"/>
      <c r="ACO1" s="1264"/>
      <c r="ACP1" s="1264"/>
      <c r="ACQ1" s="269">
        <f>ACH1+1</f>
        <v>80</v>
      </c>
      <c r="ACS1" s="1264" t="str">
        <f>ACJ1</f>
        <v>ENTRADA DEL MES DE    DICIEMBRE    2022</v>
      </c>
      <c r="ACT1" s="1264"/>
      <c r="ACU1" s="1264"/>
      <c r="ACV1" s="1264"/>
      <c r="ACW1" s="1264"/>
      <c r="ACX1" s="1264"/>
      <c r="ACY1" s="1264"/>
      <c r="ACZ1" s="269">
        <f>ACQ1+1</f>
        <v>81</v>
      </c>
      <c r="ADB1" s="1264" t="str">
        <f>ACS1</f>
        <v>ENTRADA DEL MES DE    DICIEMBRE    2022</v>
      </c>
      <c r="ADC1" s="1264"/>
      <c r="ADD1" s="1264"/>
      <c r="ADE1" s="1264"/>
      <c r="ADF1" s="1264"/>
      <c r="ADG1" s="1264"/>
      <c r="ADH1" s="1264"/>
      <c r="ADI1" s="269">
        <f>ACZ1+1</f>
        <v>82</v>
      </c>
      <c r="ADK1" s="1264" t="str">
        <f>ADB1</f>
        <v>ENTRADA DEL MES DE    DICIEMBRE    2022</v>
      </c>
      <c r="ADL1" s="1264"/>
      <c r="ADM1" s="1264"/>
      <c r="ADN1" s="1264"/>
      <c r="ADO1" s="1264"/>
      <c r="ADP1" s="1264"/>
      <c r="ADQ1" s="1264"/>
      <c r="ADR1" s="269">
        <f>ADI1+1</f>
        <v>83</v>
      </c>
      <c r="ADT1" s="1264" t="str">
        <f>ADK1</f>
        <v>ENTRADA DEL MES DE    DICIEMBRE    2022</v>
      </c>
      <c r="ADU1" s="1264"/>
      <c r="ADV1" s="1264"/>
      <c r="ADW1" s="1264"/>
      <c r="ADX1" s="1264"/>
      <c r="ADY1" s="1264"/>
      <c r="ADZ1" s="1264"/>
      <c r="AEA1" s="269">
        <f>ADR1+1</f>
        <v>84</v>
      </c>
      <c r="AEC1" s="1264" t="str">
        <f>ADT1</f>
        <v>ENTRADA DEL MES DE    DICIEMBRE    2022</v>
      </c>
      <c r="AED1" s="1264"/>
      <c r="AEE1" s="1264"/>
      <c r="AEF1" s="1264"/>
      <c r="AEG1" s="1264"/>
      <c r="AEH1" s="1264"/>
      <c r="AEI1" s="1264"/>
      <c r="AEJ1" s="269">
        <f>AEA1+1</f>
        <v>85</v>
      </c>
      <c r="AEL1" s="1264" t="str">
        <f>AEC1</f>
        <v>ENTRADA DEL MES DE    DICIEMBRE    2022</v>
      </c>
      <c r="AEM1" s="1264"/>
      <c r="AEN1" s="1264"/>
      <c r="AEO1" s="1264"/>
      <c r="AEP1" s="1264"/>
      <c r="AEQ1" s="1264"/>
      <c r="AER1" s="1264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69" t="s">
        <v>222</v>
      </c>
      <c r="L5" s="862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718">
        <v>18759.599999999999</v>
      </c>
      <c r="R5" s="138">
        <f>O5-Q5</f>
        <v>-30.479999999999563</v>
      </c>
      <c r="S5" s="397"/>
      <c r="U5" s="713" t="s">
        <v>222</v>
      </c>
      <c r="V5" s="862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718">
        <v>18842.3</v>
      </c>
      <c r="AB5" s="138">
        <f>Y5-AA5</f>
        <v>14.740000000001601</v>
      </c>
      <c r="AC5" s="397"/>
      <c r="AE5" s="713" t="s">
        <v>220</v>
      </c>
      <c r="AF5" s="863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718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2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718">
        <v>19169.8</v>
      </c>
      <c r="AV5" s="138">
        <f>AS5-AU5</f>
        <v>14.209999999999127</v>
      </c>
      <c r="AW5" s="397"/>
      <c r="AY5" s="720" t="s">
        <v>222</v>
      </c>
      <c r="AZ5" s="862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718">
        <v>18007.599999999999</v>
      </c>
      <c r="BF5" s="138">
        <f>BC5-BE5</f>
        <v>46.490000000001601</v>
      </c>
      <c r="BG5" s="397"/>
      <c r="BI5" s="1265" t="s">
        <v>220</v>
      </c>
      <c r="BJ5" s="1032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718">
        <v>18351.310000000001</v>
      </c>
      <c r="BP5" s="138">
        <f>BM5-BO5</f>
        <v>84.119999999998981</v>
      </c>
      <c r="BQ5" s="397"/>
      <c r="BS5" s="1268" t="s">
        <v>342</v>
      </c>
      <c r="BT5" s="1035" t="s">
        <v>343</v>
      </c>
      <c r="BU5" s="1036"/>
      <c r="BV5" s="716">
        <v>44898</v>
      </c>
      <c r="BW5" s="717">
        <v>1123</v>
      </c>
      <c r="BX5" s="714">
        <v>2</v>
      </c>
      <c r="BY5" s="718">
        <v>1123</v>
      </c>
      <c r="BZ5" s="138">
        <f>BW5-BY5</f>
        <v>0</v>
      </c>
      <c r="CA5" s="244"/>
      <c r="CB5" s="244"/>
      <c r="CC5" s="713" t="s">
        <v>222</v>
      </c>
      <c r="CD5" s="889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718">
        <v>18032</v>
      </c>
      <c r="CJ5" s="138">
        <f>CG5-CI5</f>
        <v>-17.299999999999272</v>
      </c>
      <c r="CK5" s="244"/>
      <c r="CL5" s="244"/>
      <c r="CM5" s="1265" t="s">
        <v>222</v>
      </c>
      <c r="CN5" s="897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718">
        <v>19080.599999999999</v>
      </c>
      <c r="CT5" s="138">
        <f>CQ5-CS5</f>
        <v>140.40000000000146</v>
      </c>
      <c r="CU5" s="397"/>
      <c r="CW5" s="713" t="s">
        <v>220</v>
      </c>
      <c r="CX5" s="863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718">
        <v>18651.62</v>
      </c>
      <c r="DD5" s="138">
        <f>DA5-DC5</f>
        <v>-27.669999999998254</v>
      </c>
      <c r="DE5" s="397"/>
      <c r="DG5" s="720" t="s">
        <v>222</v>
      </c>
      <c r="DH5" s="889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718">
        <v>18798.7</v>
      </c>
      <c r="DN5" s="138">
        <f>DK5-DM5</f>
        <v>89.799999999999272</v>
      </c>
      <c r="DO5" s="397"/>
      <c r="DQ5" s="1267" t="s">
        <v>220</v>
      </c>
      <c r="DR5" s="895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718">
        <v>18341.810000000001</v>
      </c>
      <c r="DX5" s="138">
        <f>DU5-DW5</f>
        <v>24.270000000000437</v>
      </c>
      <c r="DY5" s="244"/>
      <c r="EA5" s="720" t="s">
        <v>222</v>
      </c>
      <c r="EB5" s="862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718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2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718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2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697">
        <v>18821</v>
      </c>
      <c r="FB5" s="138">
        <f>EY5-FA5</f>
        <v>-30.56000000000131</v>
      </c>
      <c r="FC5" s="397"/>
      <c r="FE5" s="720" t="s">
        <v>222</v>
      </c>
      <c r="FF5" s="862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697">
        <v>18826.7</v>
      </c>
      <c r="FL5" s="138">
        <f>FI5-FK5</f>
        <v>21.489999999997963</v>
      </c>
      <c r="FM5" s="397"/>
      <c r="FO5" s="729" t="s">
        <v>220</v>
      </c>
      <c r="FP5" s="863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718">
        <v>18959.16</v>
      </c>
      <c r="FV5" s="138">
        <f>FS5-FU5</f>
        <v>-38.479999999999563</v>
      </c>
      <c r="FW5" s="397"/>
      <c r="FY5" s="713" t="s">
        <v>222</v>
      </c>
      <c r="FZ5" s="862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3" t="s">
        <v>222</v>
      </c>
      <c r="GJ5" s="862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65" t="s">
        <v>222</v>
      </c>
      <c r="GT5" s="862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68" t="s">
        <v>220</v>
      </c>
      <c r="HD5" s="863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3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65" t="s">
        <v>220</v>
      </c>
      <c r="HX5" s="863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65" t="s">
        <v>222</v>
      </c>
      <c r="IH5" s="862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65" t="s">
        <v>222</v>
      </c>
      <c r="IR5" s="1065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2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67" t="s">
        <v>222</v>
      </c>
      <c r="JL5" s="1074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2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69" t="s">
        <v>222</v>
      </c>
      <c r="KF5" s="862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3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2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3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2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2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3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2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2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2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2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2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2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2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2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3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2" t="s">
        <v>223</v>
      </c>
      <c r="QI5" s="102" t="s">
        <v>538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2" t="s">
        <v>223</v>
      </c>
      <c r="QR5" s="225" t="s">
        <v>539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69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65"/>
      <c r="BJ6" s="723"/>
      <c r="BK6" s="720"/>
      <c r="BL6" s="720"/>
      <c r="BM6" s="720"/>
      <c r="BN6" s="720"/>
      <c r="BO6" s="714"/>
      <c r="BQ6" s="244"/>
      <c r="BS6" s="1268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65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67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4"/>
      <c r="GJ6" s="815"/>
      <c r="GK6" s="720"/>
      <c r="GL6" s="720"/>
      <c r="GM6" s="720"/>
      <c r="GN6" s="720"/>
      <c r="GO6" s="714"/>
      <c r="GQ6" s="244"/>
      <c r="GS6" s="1265"/>
      <c r="GT6" s="730"/>
      <c r="GU6" s="720"/>
      <c r="GV6" s="720"/>
      <c r="GW6" s="720"/>
      <c r="GX6" s="720"/>
      <c r="GY6" s="714"/>
      <c r="HA6" s="244"/>
      <c r="HC6" s="1268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65"/>
      <c r="HX6" s="720"/>
      <c r="HY6" s="720"/>
      <c r="HZ6" s="720"/>
      <c r="IA6" s="720"/>
      <c r="IB6" s="720"/>
      <c r="IC6" s="714"/>
      <c r="IE6" s="244"/>
      <c r="IG6" s="1265"/>
      <c r="IH6" s="720"/>
      <c r="II6" s="720"/>
      <c r="IJ6" s="720"/>
      <c r="IK6" s="720"/>
      <c r="IL6" s="720"/>
      <c r="IM6" s="714"/>
      <c r="IO6" s="244"/>
      <c r="IQ6" s="1265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67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69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699"/>
      <c r="AA8" s="700"/>
      <c r="AB8" s="701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0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699">
        <v>886.3</v>
      </c>
      <c r="DK8" s="726"/>
      <c r="DL8" s="699"/>
      <c r="DM8" s="727"/>
      <c r="DN8" s="728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2"/>
      <c r="AA9" s="700"/>
      <c r="AB9" s="701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0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699">
        <v>894.5</v>
      </c>
      <c r="DK9" s="726"/>
      <c r="DL9" s="699"/>
      <c r="DM9" s="727"/>
      <c r="DN9" s="728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2"/>
      <c r="AA10" s="700"/>
      <c r="AB10" s="701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0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699">
        <v>871.8</v>
      </c>
      <c r="DK10" s="726"/>
      <c r="DL10" s="699"/>
      <c r="DM10" s="727"/>
      <c r="DN10" s="728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2"/>
      <c r="AA11" s="700"/>
      <c r="AB11" s="701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0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699">
        <v>913.5</v>
      </c>
      <c r="DK11" s="726"/>
      <c r="DL11" s="699"/>
      <c r="DM11" s="727"/>
      <c r="DN11" s="728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2"/>
      <c r="AA12" s="700"/>
      <c r="AB12" s="701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0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699">
        <v>899.9</v>
      </c>
      <c r="DK12" s="726"/>
      <c r="DL12" s="699"/>
      <c r="DM12" s="727"/>
      <c r="DN12" s="728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2"/>
      <c r="AA13" s="700"/>
      <c r="AB13" s="701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0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699">
        <v>929.9</v>
      </c>
      <c r="DK13" s="726"/>
      <c r="DL13" s="699"/>
      <c r="DM13" s="727"/>
      <c r="DN13" s="728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2"/>
      <c r="AA14" s="700"/>
      <c r="AB14" s="701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0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0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699">
        <v>902.6</v>
      </c>
      <c r="DK14" s="726"/>
      <c r="DL14" s="699"/>
      <c r="DM14" s="727"/>
      <c r="DN14" s="728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2"/>
      <c r="AA15" s="700"/>
      <c r="AB15" s="701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0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0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699">
        <v>919.9</v>
      </c>
      <c r="DK15" s="726"/>
      <c r="DL15" s="699"/>
      <c r="DM15" s="727"/>
      <c r="DN15" s="728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2"/>
      <c r="AA16" s="700"/>
      <c r="AB16" s="701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0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0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699">
        <v>916.3</v>
      </c>
      <c r="DK16" s="726"/>
      <c r="DL16" s="699"/>
      <c r="DM16" s="727"/>
      <c r="DN16" s="728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2"/>
      <c r="AA17" s="700"/>
      <c r="AB17" s="701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0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0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2">
        <v>861.8</v>
      </c>
      <c r="DK17" s="726"/>
      <c r="DL17" s="702"/>
      <c r="DM17" s="727"/>
      <c r="DN17" s="728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2"/>
      <c r="AA18" s="700"/>
      <c r="AB18" s="701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0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0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699">
        <v>877.2</v>
      </c>
      <c r="DK18" s="726"/>
      <c r="DL18" s="699"/>
      <c r="DM18" s="727"/>
      <c r="DN18" s="728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2"/>
      <c r="AA19" s="700"/>
      <c r="AB19" s="701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0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0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699">
        <v>909</v>
      </c>
      <c r="DK19" s="726"/>
      <c r="DL19" s="699"/>
      <c r="DM19" s="727"/>
      <c r="DN19" s="728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2"/>
      <c r="AA20" s="700"/>
      <c r="AB20" s="701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0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0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699">
        <v>890.9</v>
      </c>
      <c r="DK20" s="726"/>
      <c r="DL20" s="699"/>
      <c r="DM20" s="727"/>
      <c r="DN20" s="728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2"/>
      <c r="AA21" s="700"/>
      <c r="AB21" s="701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0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0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699">
        <v>878.2</v>
      </c>
      <c r="DK21" s="726"/>
      <c r="DL21" s="699"/>
      <c r="DM21" s="727"/>
      <c r="DN21" s="728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2"/>
      <c r="AA22" s="700"/>
      <c r="AB22" s="701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0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0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699">
        <v>909</v>
      </c>
      <c r="DK22" s="726"/>
      <c r="DL22" s="699"/>
      <c r="DM22" s="727"/>
      <c r="DN22" s="728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2"/>
      <c r="AA23" s="700"/>
      <c r="AB23" s="701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0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0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699">
        <v>889.9</v>
      </c>
      <c r="DK23" s="726"/>
      <c r="DL23" s="699"/>
      <c r="DM23" s="727"/>
      <c r="DN23" s="728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2"/>
      <c r="AA24" s="700"/>
      <c r="AB24" s="701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1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0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699">
        <v>903.6</v>
      </c>
      <c r="DK24" s="726"/>
      <c r="DL24" s="699"/>
      <c r="DM24" s="727"/>
      <c r="DN24" s="728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2"/>
      <c r="AA25" s="700"/>
      <c r="AB25" s="701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0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699">
        <v>885.4</v>
      </c>
      <c r="DK25" s="726"/>
      <c r="DL25" s="699"/>
      <c r="DM25" s="727"/>
      <c r="DN25" s="728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2"/>
      <c r="AA26" s="700"/>
      <c r="AB26" s="701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0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699">
        <v>918.1</v>
      </c>
      <c r="DK26" s="726"/>
      <c r="DL26" s="699"/>
      <c r="DM26" s="727"/>
      <c r="DN26" s="728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2"/>
      <c r="AA27" s="700"/>
      <c r="AB27" s="701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0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699">
        <v>869.1</v>
      </c>
      <c r="DK27" s="726"/>
      <c r="DL27" s="699"/>
      <c r="DM27" s="727"/>
      <c r="DN27" s="728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2"/>
      <c r="AA28" s="700"/>
      <c r="AB28" s="70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0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/>
      <c r="DL28" s="699"/>
      <c r="DM28" s="727"/>
      <c r="DN28" s="728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2"/>
      <c r="AA29" s="700"/>
      <c r="AB29" s="70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4" t="s">
        <v>21</v>
      </c>
      <c r="O33" s="965"/>
      <c r="P33" s="141">
        <f>Q5-P32</f>
        <v>18759.599999999999</v>
      </c>
      <c r="S33" s="394"/>
      <c r="X33" s="964" t="s">
        <v>21</v>
      </c>
      <c r="Y33" s="96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70" t="s">
        <v>21</v>
      </c>
      <c r="RU33" s="1271"/>
      <c r="RV33" s="141">
        <f>SUM(RW5-RV32)</f>
        <v>0</v>
      </c>
      <c r="SC33" s="1270" t="s">
        <v>21</v>
      </c>
      <c r="SD33" s="1271"/>
      <c r="SE33" s="141">
        <f>SUM(SF5-SE32)</f>
        <v>0</v>
      </c>
      <c r="SL33" s="1270" t="s">
        <v>21</v>
      </c>
      <c r="SM33" s="1271"/>
      <c r="SN33" s="217">
        <f>SUM(SO5-SN32)</f>
        <v>0</v>
      </c>
      <c r="SU33" s="1270" t="s">
        <v>21</v>
      </c>
      <c r="SV33" s="1271"/>
      <c r="SW33" s="141">
        <f>SUM(SX5-SW32)</f>
        <v>0</v>
      </c>
      <c r="TD33" s="1270" t="s">
        <v>21</v>
      </c>
      <c r="TE33" s="1271"/>
      <c r="TF33" s="141">
        <f>SUM(TG5-TF32)</f>
        <v>0</v>
      </c>
      <c r="TM33" s="1270" t="s">
        <v>21</v>
      </c>
      <c r="TN33" s="1271"/>
      <c r="TO33" s="141">
        <f>SUM(TP5-TO32)</f>
        <v>0</v>
      </c>
      <c r="TV33" s="1270" t="s">
        <v>21</v>
      </c>
      <c r="TW33" s="1271"/>
      <c r="TX33" s="141">
        <f>SUM(TY5-TX32)</f>
        <v>0</v>
      </c>
      <c r="UE33" s="1270" t="s">
        <v>21</v>
      </c>
      <c r="UF33" s="1271"/>
      <c r="UG33" s="141">
        <f>SUM(UH5-UG32)</f>
        <v>0</v>
      </c>
      <c r="UN33" s="1270" t="s">
        <v>21</v>
      </c>
      <c r="UO33" s="1271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70" t="s">
        <v>21</v>
      </c>
      <c r="VP33" s="1271"/>
      <c r="VQ33" s="141">
        <f>VR5-VQ32</f>
        <v>-22</v>
      </c>
      <c r="VX33" s="1270" t="s">
        <v>21</v>
      </c>
      <c r="VY33" s="1271"/>
      <c r="VZ33" s="141">
        <f>WA5-VZ32</f>
        <v>-22</v>
      </c>
      <c r="WG33" s="1270" t="s">
        <v>21</v>
      </c>
      <c r="WH33" s="1271"/>
      <c r="WI33" s="141">
        <f>WJ5-WI32</f>
        <v>-22</v>
      </c>
      <c r="WP33" s="1270" t="s">
        <v>21</v>
      </c>
      <c r="WQ33" s="1271"/>
      <c r="WR33" s="141">
        <f>WS5-WR32</f>
        <v>-22</v>
      </c>
      <c r="WY33" s="1270" t="s">
        <v>21</v>
      </c>
      <c r="WZ33" s="1271"/>
      <c r="XA33" s="141">
        <f>XB5-XA32</f>
        <v>-22</v>
      </c>
      <c r="XH33" s="1270" t="s">
        <v>21</v>
      </c>
      <c r="XI33" s="1271"/>
      <c r="XJ33" s="141">
        <f>XK5-XJ32</f>
        <v>-22</v>
      </c>
      <c r="XQ33" s="1270" t="s">
        <v>21</v>
      </c>
      <c r="XR33" s="1271"/>
      <c r="XS33" s="141">
        <f>XT5-XS32</f>
        <v>-22</v>
      </c>
      <c r="XZ33" s="1270" t="s">
        <v>21</v>
      </c>
      <c r="YA33" s="1271"/>
      <c r="YB33" s="141">
        <f>YC5-YB32</f>
        <v>-22</v>
      </c>
      <c r="YI33" s="1270" t="s">
        <v>21</v>
      </c>
      <c r="YJ33" s="1271"/>
      <c r="YK33" s="141">
        <f>YL5-YK32</f>
        <v>-22</v>
      </c>
      <c r="YR33" s="1270" t="s">
        <v>21</v>
      </c>
      <c r="YS33" s="1271"/>
      <c r="YT33" s="141">
        <f>YU5-YT32</f>
        <v>-22</v>
      </c>
      <c r="ZA33" s="1270" t="s">
        <v>21</v>
      </c>
      <c r="ZB33" s="1271"/>
      <c r="ZC33" s="141">
        <f>ZD5-ZC32</f>
        <v>-22</v>
      </c>
      <c r="ZJ33" s="1270" t="s">
        <v>21</v>
      </c>
      <c r="ZK33" s="1271"/>
      <c r="ZL33" s="141">
        <f>ZM5-ZL32</f>
        <v>-22</v>
      </c>
      <c r="ZS33" s="1270" t="s">
        <v>21</v>
      </c>
      <c r="ZT33" s="1271"/>
      <c r="ZU33" s="141">
        <f>ZV5-ZU32</f>
        <v>-22</v>
      </c>
      <c r="AAB33" s="1270" t="s">
        <v>21</v>
      </c>
      <c r="AAC33" s="1271"/>
      <c r="AAD33" s="141">
        <f>AAE5-AAD32</f>
        <v>-22</v>
      </c>
      <c r="AAK33" s="1270" t="s">
        <v>21</v>
      </c>
      <c r="AAL33" s="1271"/>
      <c r="AAM33" s="141">
        <f>AAN5-AAM32</f>
        <v>-22</v>
      </c>
      <c r="AAT33" s="1270" t="s">
        <v>21</v>
      </c>
      <c r="AAU33" s="1271"/>
      <c r="AAV33" s="141">
        <f>AAV32-AAT32</f>
        <v>22</v>
      </c>
      <c r="ABC33" s="1270" t="s">
        <v>21</v>
      </c>
      <c r="ABD33" s="1271"/>
      <c r="ABE33" s="141">
        <f>ABF5-ABE32</f>
        <v>-22</v>
      </c>
      <c r="ABL33" s="1270" t="s">
        <v>21</v>
      </c>
      <c r="ABM33" s="1271"/>
      <c r="ABN33" s="141">
        <f>ABO5-ABN32</f>
        <v>-22</v>
      </c>
      <c r="ABU33" s="1270" t="s">
        <v>21</v>
      </c>
      <c r="ABV33" s="1271"/>
      <c r="ABW33" s="141">
        <f>ABX5-ABW32</f>
        <v>-22</v>
      </c>
      <c r="ACD33" s="1270" t="s">
        <v>21</v>
      </c>
      <c r="ACE33" s="1271"/>
      <c r="ACF33" s="141">
        <f>ACG5-ACF32</f>
        <v>-22</v>
      </c>
      <c r="ACM33" s="1270" t="s">
        <v>21</v>
      </c>
      <c r="ACN33" s="1271"/>
      <c r="ACO33" s="141">
        <f>ACP5-ACO32</f>
        <v>-22</v>
      </c>
      <c r="ACV33" s="1270" t="s">
        <v>21</v>
      </c>
      <c r="ACW33" s="1271"/>
      <c r="ACX33" s="141">
        <f>ACY5-ACX32</f>
        <v>-22</v>
      </c>
      <c r="ADE33" s="1270" t="s">
        <v>21</v>
      </c>
      <c r="ADF33" s="1271"/>
      <c r="ADG33" s="141">
        <f>ADH5-ADG32</f>
        <v>-22</v>
      </c>
      <c r="ADN33" s="1270" t="s">
        <v>21</v>
      </c>
      <c r="ADO33" s="1271"/>
      <c r="ADP33" s="141">
        <f>ADQ5-ADP32</f>
        <v>-22</v>
      </c>
      <c r="ADW33" s="1270" t="s">
        <v>21</v>
      </c>
      <c r="ADX33" s="1271"/>
      <c r="ADY33" s="141">
        <f>ADZ5-ADY32</f>
        <v>-22</v>
      </c>
      <c r="AEF33" s="1270" t="s">
        <v>21</v>
      </c>
      <c r="AEG33" s="1271"/>
      <c r="AEH33" s="141">
        <f>AEI5-AEH32</f>
        <v>-22</v>
      </c>
      <c r="AEO33" s="1270" t="s">
        <v>21</v>
      </c>
      <c r="AEP33" s="127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6" t="s">
        <v>4</v>
      </c>
      <c r="O34" s="967"/>
      <c r="P34" s="49"/>
      <c r="S34" s="394"/>
      <c r="X34" s="966" t="s">
        <v>4</v>
      </c>
      <c r="Y34" s="96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72" t="s">
        <v>4</v>
      </c>
      <c r="RU34" s="1273"/>
      <c r="RV34" s="49"/>
      <c r="SC34" s="1272" t="s">
        <v>4</v>
      </c>
      <c r="SD34" s="1273"/>
      <c r="SE34" s="49"/>
      <c r="SL34" s="1272" t="s">
        <v>4</v>
      </c>
      <c r="SM34" s="1273"/>
      <c r="SN34" s="49"/>
      <c r="SU34" s="1272" t="s">
        <v>4</v>
      </c>
      <c r="SV34" s="1273"/>
      <c r="SW34" s="49"/>
      <c r="TD34" s="1272" t="s">
        <v>4</v>
      </c>
      <c r="TE34" s="1273"/>
      <c r="TF34" s="49"/>
      <c r="TM34" s="1272" t="s">
        <v>4</v>
      </c>
      <c r="TN34" s="1273"/>
      <c r="TO34" s="49"/>
      <c r="TV34" s="1272" t="s">
        <v>4</v>
      </c>
      <c r="TW34" s="1273"/>
      <c r="TX34" s="49"/>
      <c r="UE34" s="1272" t="s">
        <v>4</v>
      </c>
      <c r="UF34" s="1273"/>
      <c r="UG34" s="49"/>
      <c r="UN34" s="1272" t="s">
        <v>4</v>
      </c>
      <c r="UO34" s="1273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72" t="s">
        <v>4</v>
      </c>
      <c r="VP34" s="1273"/>
      <c r="VQ34" s="49"/>
      <c r="VX34" s="1272" t="s">
        <v>4</v>
      </c>
      <c r="VY34" s="1273"/>
      <c r="VZ34" s="49"/>
      <c r="WG34" s="1272" t="s">
        <v>4</v>
      </c>
      <c r="WH34" s="1273"/>
      <c r="WI34" s="49"/>
      <c r="WP34" s="1272" t="s">
        <v>4</v>
      </c>
      <c r="WQ34" s="1273"/>
      <c r="WR34" s="49"/>
      <c r="WY34" s="1272" t="s">
        <v>4</v>
      </c>
      <c r="WZ34" s="1273"/>
      <c r="XA34" s="49"/>
      <c r="XH34" s="1272" t="s">
        <v>4</v>
      </c>
      <c r="XI34" s="1273"/>
      <c r="XJ34" s="49"/>
      <c r="XQ34" s="1272" t="s">
        <v>4</v>
      </c>
      <c r="XR34" s="1273"/>
      <c r="XS34" s="49"/>
      <c r="XZ34" s="1272" t="s">
        <v>4</v>
      </c>
      <c r="YA34" s="1273"/>
      <c r="YB34" s="49"/>
      <c r="YI34" s="1272" t="s">
        <v>4</v>
      </c>
      <c r="YJ34" s="1273"/>
      <c r="YK34" s="49"/>
      <c r="YR34" s="1272" t="s">
        <v>4</v>
      </c>
      <c r="YS34" s="1273"/>
      <c r="YT34" s="49"/>
      <c r="ZA34" s="1272" t="s">
        <v>4</v>
      </c>
      <c r="ZB34" s="1273"/>
      <c r="ZC34" s="49"/>
      <c r="ZJ34" s="1272" t="s">
        <v>4</v>
      </c>
      <c r="ZK34" s="1273"/>
      <c r="ZL34" s="49"/>
      <c r="ZS34" s="1272" t="s">
        <v>4</v>
      </c>
      <c r="ZT34" s="1273"/>
      <c r="ZU34" s="49"/>
      <c r="AAB34" s="1272" t="s">
        <v>4</v>
      </c>
      <c r="AAC34" s="1273"/>
      <c r="AAD34" s="49"/>
      <c r="AAK34" s="1272" t="s">
        <v>4</v>
      </c>
      <c r="AAL34" s="1273"/>
      <c r="AAM34" s="49"/>
      <c r="AAT34" s="1272" t="s">
        <v>4</v>
      </c>
      <c r="AAU34" s="1273"/>
      <c r="AAV34" s="49"/>
      <c r="ABC34" s="1272" t="s">
        <v>4</v>
      </c>
      <c r="ABD34" s="1273"/>
      <c r="ABE34" s="49"/>
      <c r="ABL34" s="1272" t="s">
        <v>4</v>
      </c>
      <c r="ABM34" s="1273"/>
      <c r="ABN34" s="49"/>
      <c r="ABU34" s="1272" t="s">
        <v>4</v>
      </c>
      <c r="ABV34" s="1273"/>
      <c r="ABW34" s="49"/>
      <c r="ACD34" s="1272" t="s">
        <v>4</v>
      </c>
      <c r="ACE34" s="1273"/>
      <c r="ACF34" s="49"/>
      <c r="ACM34" s="1272" t="s">
        <v>4</v>
      </c>
      <c r="ACN34" s="1273"/>
      <c r="ACO34" s="49"/>
      <c r="ACV34" s="1272" t="s">
        <v>4</v>
      </c>
      <c r="ACW34" s="1273"/>
      <c r="ACX34" s="49"/>
      <c r="ADE34" s="1272" t="s">
        <v>4</v>
      </c>
      <c r="ADF34" s="1273"/>
      <c r="ADG34" s="49"/>
      <c r="ADN34" s="1272" t="s">
        <v>4</v>
      </c>
      <c r="ADO34" s="1273"/>
      <c r="ADP34" s="49"/>
      <c r="ADW34" s="1272" t="s">
        <v>4</v>
      </c>
      <c r="ADX34" s="1273"/>
      <c r="ADY34" s="49"/>
      <c r="AEF34" s="1272" t="s">
        <v>4</v>
      </c>
      <c r="AEG34" s="1273"/>
      <c r="AEH34" s="49"/>
      <c r="AEO34" s="1272" t="s">
        <v>4</v>
      </c>
      <c r="AEP34" s="127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4"/>
      <c r="B1" s="1264"/>
      <c r="C1" s="1264"/>
      <c r="D1" s="1264"/>
      <c r="E1" s="1264"/>
      <c r="F1" s="1264"/>
      <c r="G1" s="12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7"/>
      <c r="B5" s="1299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7"/>
      <c r="B6" s="12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70" t="s">
        <v>21</v>
      </c>
      <c r="E32" s="127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70" t="s">
        <v>21</v>
      </c>
      <c r="E29" s="1271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70" t="s">
        <v>21</v>
      </c>
      <c r="E32" s="1271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75" t="s">
        <v>219</v>
      </c>
      <c r="B1" s="1275"/>
      <c r="C1" s="1275"/>
      <c r="D1" s="1275"/>
      <c r="E1" s="1275"/>
      <c r="F1" s="1275"/>
      <c r="G1" s="1275"/>
      <c r="H1" s="11">
        <v>1</v>
      </c>
      <c r="K1" s="1279" t="s">
        <v>340</v>
      </c>
      <c r="L1" s="1279"/>
      <c r="M1" s="1279"/>
      <c r="N1" s="1279"/>
      <c r="O1" s="1279"/>
      <c r="P1" s="1279"/>
      <c r="Q1" s="1279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87" t="s">
        <v>97</v>
      </c>
      <c r="B5" s="1289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87" t="s">
        <v>97</v>
      </c>
      <c r="L5" s="1289" t="s">
        <v>98</v>
      </c>
      <c r="M5" s="66">
        <v>85</v>
      </c>
      <c r="N5" s="134">
        <v>44916</v>
      </c>
      <c r="O5" s="86">
        <v>524.9</v>
      </c>
      <c r="P5" s="73">
        <v>17</v>
      </c>
      <c r="Q5" s="1127"/>
    </row>
    <row r="6" spans="1:19" ht="15.75" customHeight="1" x14ac:dyDescent="0.25">
      <c r="A6" s="1287"/>
      <c r="B6" s="1289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  <c r="K6" s="1287"/>
      <c r="L6" s="1289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30">
        <f t="shared" ref="L12:L14" si="5">L11-M12</f>
        <v>69</v>
      </c>
      <c r="M12" s="714"/>
      <c r="N12" s="702"/>
      <c r="O12" s="845"/>
      <c r="P12" s="737">
        <f t="shared" si="1"/>
        <v>0</v>
      </c>
      <c r="Q12" s="700"/>
      <c r="R12" s="1131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30">
        <f t="shared" si="5"/>
        <v>69</v>
      </c>
      <c r="M13" s="714"/>
      <c r="N13" s="702"/>
      <c r="O13" s="845"/>
      <c r="P13" s="737">
        <f t="shared" si="1"/>
        <v>0</v>
      </c>
      <c r="Q13" s="700"/>
      <c r="R13" s="1131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30">
        <f t="shared" si="5"/>
        <v>69</v>
      </c>
      <c r="M14" s="714"/>
      <c r="N14" s="702"/>
      <c r="O14" s="845"/>
      <c r="P14" s="737">
        <f t="shared" si="1"/>
        <v>0</v>
      </c>
      <c r="Q14" s="700"/>
      <c r="R14" s="1131"/>
      <c r="S14" s="697">
        <f t="shared" si="3"/>
        <v>2048.75</v>
      </c>
    </row>
    <row r="15" spans="1:19" x14ac:dyDescent="0.25">
      <c r="B15" s="821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30">
        <f>L14-M15</f>
        <v>69</v>
      </c>
      <c r="M15" s="714"/>
      <c r="N15" s="702"/>
      <c r="O15" s="845"/>
      <c r="P15" s="737">
        <f t="shared" si="1"/>
        <v>0</v>
      </c>
      <c r="Q15" s="700"/>
      <c r="R15" s="1131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30">
        <f t="shared" ref="L16:L26" si="7">L15-M16</f>
        <v>69</v>
      </c>
      <c r="M16" s="714"/>
      <c r="N16" s="702"/>
      <c r="O16" s="845"/>
      <c r="P16" s="737">
        <f t="shared" si="1"/>
        <v>0</v>
      </c>
      <c r="Q16" s="700"/>
      <c r="R16" s="996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30">
        <f t="shared" si="7"/>
        <v>69</v>
      </c>
      <c r="M17" s="714"/>
      <c r="N17" s="702"/>
      <c r="O17" s="845"/>
      <c r="P17" s="737">
        <f t="shared" si="1"/>
        <v>0</v>
      </c>
      <c r="Q17" s="700"/>
      <c r="R17" s="996"/>
      <c r="S17" s="697">
        <f t="shared" si="3"/>
        <v>2048.75</v>
      </c>
    </row>
    <row r="18" spans="1:19" x14ac:dyDescent="0.25">
      <c r="B18" s="849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28">
        <f t="shared" si="2"/>
        <v>473.93999999999977</v>
      </c>
      <c r="L18" s="1130">
        <f t="shared" si="7"/>
        <v>69</v>
      </c>
      <c r="M18" s="714"/>
      <c r="N18" s="702"/>
      <c r="O18" s="845"/>
      <c r="P18" s="737">
        <f t="shared" si="1"/>
        <v>0</v>
      </c>
      <c r="Q18" s="700"/>
      <c r="R18" s="996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8">
        <v>31.74</v>
      </c>
      <c r="E19" s="847">
        <v>44870</v>
      </c>
      <c r="F19" s="848">
        <f t="shared" si="0"/>
        <v>31.74</v>
      </c>
      <c r="G19" s="840" t="s">
        <v>243</v>
      </c>
      <c r="H19" s="841">
        <v>61</v>
      </c>
      <c r="I19" s="132">
        <f t="shared" si="2"/>
        <v>442.19999999999976</v>
      </c>
      <c r="L19" s="1130">
        <f t="shared" si="7"/>
        <v>69</v>
      </c>
      <c r="M19" s="714"/>
      <c r="N19" s="702"/>
      <c r="O19" s="845"/>
      <c r="P19" s="737">
        <f t="shared" si="1"/>
        <v>0</v>
      </c>
      <c r="Q19" s="700"/>
      <c r="R19" s="1132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8">
        <v>31.36</v>
      </c>
      <c r="E20" s="847">
        <v>44877</v>
      </c>
      <c r="F20" s="848">
        <f t="shared" si="0"/>
        <v>31.36</v>
      </c>
      <c r="G20" s="840" t="s">
        <v>266</v>
      </c>
      <c r="H20" s="841">
        <v>61</v>
      </c>
      <c r="I20" s="132">
        <f t="shared" si="2"/>
        <v>410.83999999999975</v>
      </c>
      <c r="L20" s="1130">
        <f t="shared" si="7"/>
        <v>69</v>
      </c>
      <c r="M20" s="714"/>
      <c r="N20" s="702"/>
      <c r="O20" s="845"/>
      <c r="P20" s="737">
        <f t="shared" si="1"/>
        <v>0</v>
      </c>
      <c r="Q20" s="700"/>
      <c r="R20" s="1132"/>
      <c r="S20" s="697">
        <f t="shared" si="3"/>
        <v>2048.75</v>
      </c>
    </row>
    <row r="21" spans="1:19" x14ac:dyDescent="0.25">
      <c r="B21" s="849">
        <f t="shared" si="6"/>
        <v>12</v>
      </c>
      <c r="C21" s="73">
        <v>1</v>
      </c>
      <c r="D21" s="838">
        <v>26.53</v>
      </c>
      <c r="E21" s="847">
        <v>44881</v>
      </c>
      <c r="F21" s="848">
        <f t="shared" si="0"/>
        <v>26.53</v>
      </c>
      <c r="G21" s="840" t="s">
        <v>280</v>
      </c>
      <c r="H21" s="841">
        <v>61</v>
      </c>
      <c r="I21" s="828">
        <f t="shared" si="2"/>
        <v>384.30999999999972</v>
      </c>
      <c r="L21" s="1130">
        <f t="shared" si="7"/>
        <v>69</v>
      </c>
      <c r="M21" s="714"/>
      <c r="N21" s="702"/>
      <c r="O21" s="845"/>
      <c r="P21" s="737">
        <f t="shared" si="1"/>
        <v>0</v>
      </c>
      <c r="Q21" s="700"/>
      <c r="R21" s="1132"/>
      <c r="S21" s="697">
        <f t="shared" si="3"/>
        <v>2048.75</v>
      </c>
    </row>
    <row r="22" spans="1:19" x14ac:dyDescent="0.25">
      <c r="B22" s="417">
        <f t="shared" si="6"/>
        <v>12</v>
      </c>
      <c r="C22" s="73"/>
      <c r="D22" s="537">
        <v>0</v>
      </c>
      <c r="E22" s="741"/>
      <c r="F22" s="742">
        <f t="shared" si="0"/>
        <v>0</v>
      </c>
      <c r="G22" s="330"/>
      <c r="H22" s="331"/>
      <c r="I22" s="132">
        <f t="shared" si="2"/>
        <v>384.30999999999972</v>
      </c>
      <c r="L22" s="1130">
        <f t="shared" si="7"/>
        <v>69</v>
      </c>
      <c r="M22" s="714"/>
      <c r="N22" s="702">
        <v>0</v>
      </c>
      <c r="O22" s="845"/>
      <c r="P22" s="737">
        <f t="shared" si="1"/>
        <v>0</v>
      </c>
      <c r="Q22" s="700"/>
      <c r="R22" s="996"/>
      <c r="S22" s="697">
        <f t="shared" si="3"/>
        <v>2048.75</v>
      </c>
    </row>
    <row r="23" spans="1:19" x14ac:dyDescent="0.25">
      <c r="B23" s="417">
        <f t="shared" si="6"/>
        <v>12</v>
      </c>
      <c r="C23" s="15"/>
      <c r="D23" s="537">
        <v>0</v>
      </c>
      <c r="E23" s="741"/>
      <c r="F23" s="742">
        <f t="shared" si="0"/>
        <v>0</v>
      </c>
      <c r="G23" s="330"/>
      <c r="H23" s="331"/>
      <c r="I23" s="132">
        <f t="shared" si="2"/>
        <v>384.30999999999972</v>
      </c>
      <c r="L23" s="1130">
        <f t="shared" si="7"/>
        <v>69</v>
      </c>
      <c r="M23" s="820"/>
      <c r="N23" s="702">
        <v>0</v>
      </c>
      <c r="O23" s="845"/>
      <c r="P23" s="737">
        <f t="shared" si="1"/>
        <v>0</v>
      </c>
      <c r="Q23" s="700"/>
      <c r="R23" s="996"/>
      <c r="S23" s="697">
        <f t="shared" si="3"/>
        <v>2048.75</v>
      </c>
    </row>
    <row r="24" spans="1:19" x14ac:dyDescent="0.25">
      <c r="B24" s="417">
        <f t="shared" si="6"/>
        <v>12</v>
      </c>
      <c r="C24" s="15"/>
      <c r="D24" s="537">
        <v>0</v>
      </c>
      <c r="E24" s="741"/>
      <c r="F24" s="742">
        <f t="shared" si="0"/>
        <v>0</v>
      </c>
      <c r="G24" s="330"/>
      <c r="H24" s="331"/>
      <c r="I24" s="132">
        <f t="shared" si="2"/>
        <v>384.30999999999972</v>
      </c>
      <c r="L24" s="1130">
        <f t="shared" si="7"/>
        <v>69</v>
      </c>
      <c r="M24" s="820"/>
      <c r="N24" s="702">
        <v>0</v>
      </c>
      <c r="O24" s="845"/>
      <c r="P24" s="737">
        <f t="shared" si="1"/>
        <v>0</v>
      </c>
      <c r="Q24" s="700"/>
      <c r="R24" s="996"/>
      <c r="S24" s="697">
        <f t="shared" si="3"/>
        <v>2048.75</v>
      </c>
    </row>
    <row r="25" spans="1:19" x14ac:dyDescent="0.25">
      <c r="B25" s="417">
        <f t="shared" si="6"/>
        <v>12</v>
      </c>
      <c r="C25" s="15"/>
      <c r="D25" s="537">
        <v>0</v>
      </c>
      <c r="E25" s="741"/>
      <c r="F25" s="742">
        <f t="shared" si="0"/>
        <v>0</v>
      </c>
      <c r="G25" s="330"/>
      <c r="H25" s="331"/>
      <c r="I25" s="132">
        <f t="shared" si="2"/>
        <v>384.30999999999972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12</v>
      </c>
      <c r="C26" s="37"/>
      <c r="D26" s="537">
        <v>0</v>
      </c>
      <c r="E26" s="1001"/>
      <c r="F26" s="742">
        <f t="shared" si="0"/>
        <v>0</v>
      </c>
      <c r="G26" s="1002"/>
      <c r="H26" s="1003"/>
      <c r="I26" s="132">
        <f t="shared" si="2"/>
        <v>384.30999999999972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3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70" t="s">
        <v>21</v>
      </c>
      <c r="E29" s="1271"/>
      <c r="F29" s="141">
        <f>E5+E6-F27+E7+E4</f>
        <v>384.30999999999995</v>
      </c>
      <c r="L29" s="5"/>
      <c r="N29" s="1270" t="s">
        <v>21</v>
      </c>
      <c r="O29" s="1271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12</v>
      </c>
      <c r="K30" s="125"/>
      <c r="N30" s="1124" t="s">
        <v>4</v>
      </c>
      <c r="O30" s="1125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80"/>
      <c r="B6" s="1300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80"/>
      <c r="B7" s="1301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70" t="s">
        <v>21</v>
      </c>
      <c r="E30" s="1271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302" t="s">
        <v>325</v>
      </c>
      <c r="B1" s="1302"/>
      <c r="C1" s="1302"/>
      <c r="D1" s="1302"/>
      <c r="E1" s="1302"/>
      <c r="F1" s="1302"/>
      <c r="G1" s="1302"/>
      <c r="H1" s="1302"/>
      <c r="I1" s="1302"/>
      <c r="J1" s="1302"/>
      <c r="K1" s="479">
        <v>1</v>
      </c>
      <c r="M1" s="1305" t="s">
        <v>340</v>
      </c>
      <c r="N1" s="1305"/>
      <c r="O1" s="1305"/>
      <c r="P1" s="1305"/>
      <c r="Q1" s="1305"/>
      <c r="R1" s="1305"/>
      <c r="S1" s="1305"/>
      <c r="T1" s="1305"/>
      <c r="U1" s="1305"/>
      <c r="V1" s="1305"/>
      <c r="W1" s="479">
        <v>2</v>
      </c>
      <c r="Y1" s="1305" t="s">
        <v>340</v>
      </c>
      <c r="Z1" s="1305"/>
      <c r="AA1" s="1305"/>
      <c r="AB1" s="1305"/>
      <c r="AC1" s="1305"/>
      <c r="AD1" s="1305"/>
      <c r="AE1" s="1305"/>
      <c r="AF1" s="1305"/>
      <c r="AG1" s="1305"/>
      <c r="AH1" s="1305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303" t="s">
        <v>97</v>
      </c>
      <c r="B5" s="73" t="s">
        <v>48</v>
      </c>
      <c r="C5" s="880">
        <v>92</v>
      </c>
      <c r="D5" s="719">
        <v>44870</v>
      </c>
      <c r="E5" s="697">
        <v>5008.4799999999996</v>
      </c>
      <c r="F5" s="714">
        <v>184</v>
      </c>
      <c r="G5" s="47">
        <f>F115</f>
        <v>544.4</v>
      </c>
      <c r="H5" s="154">
        <f>E5+E6-G5+E4</f>
        <v>4469.07</v>
      </c>
      <c r="M5" s="1303" t="s">
        <v>97</v>
      </c>
      <c r="N5" s="73" t="s">
        <v>48</v>
      </c>
      <c r="O5" s="880">
        <v>88.5</v>
      </c>
      <c r="P5" s="719">
        <v>44898</v>
      </c>
      <c r="Q5" s="697">
        <v>5008.4799999999996</v>
      </c>
      <c r="R5" s="714">
        <v>184</v>
      </c>
      <c r="S5" s="47">
        <f>R115</f>
        <v>0</v>
      </c>
      <c r="T5" s="154">
        <f>Q5+Q6-S5+Q4</f>
        <v>5008.4799999999996</v>
      </c>
      <c r="Y5" s="1303" t="s">
        <v>52</v>
      </c>
      <c r="Z5" s="73" t="s">
        <v>48</v>
      </c>
      <c r="AA5" s="880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304"/>
      <c r="B6" s="668" t="s">
        <v>143</v>
      </c>
      <c r="C6" s="881"/>
      <c r="D6" s="719"/>
      <c r="E6" s="852"/>
      <c r="F6" s="882"/>
      <c r="M6" s="1304"/>
      <c r="N6" s="668" t="s">
        <v>143</v>
      </c>
      <c r="O6" s="881"/>
      <c r="P6" s="719"/>
      <c r="Q6" s="852"/>
      <c r="R6" s="882"/>
      <c r="Y6" s="1304"/>
      <c r="Z6" s="668" t="s">
        <v>143</v>
      </c>
      <c r="AA6" s="881"/>
      <c r="AB6" s="719"/>
      <c r="AC6" s="852"/>
      <c r="AD6" s="882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0" t="s">
        <v>59</v>
      </c>
      <c r="J8" s="860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5" t="s">
        <v>59</v>
      </c>
      <c r="V8" s="96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5" t="s">
        <v>59</v>
      </c>
      <c r="AH8" s="96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8">
        <f>E5-F9+E4+E6+E7</f>
        <v>4469.07</v>
      </c>
      <c r="J9" s="989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33">
        <f>Q5-R9+Q4+Q6+Q7</f>
        <v>5008.4799999999996</v>
      </c>
      <c r="V9" s="1034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3">
        <f>AC5-AD9+AC4+AC6+AC7</f>
        <v>9016.44</v>
      </c>
      <c r="AH9" s="1034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/>
      <c r="D10" s="1004">
        <f>C10*B10</f>
        <v>0</v>
      </c>
      <c r="E10" s="573"/>
      <c r="F10" s="537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3"/>
      <c r="N10">
        <v>27.22</v>
      </c>
      <c r="O10" s="15"/>
      <c r="P10" s="712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/>
      <c r="D11" s="743">
        <f t="shared" ref="D11:D74" si="9">C11*B11</f>
        <v>0</v>
      </c>
      <c r="E11" s="741"/>
      <c r="F11" s="537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4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3">
        <f t="shared" si="9"/>
        <v>0</v>
      </c>
      <c r="E12" s="741"/>
      <c r="F12" s="537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3">
        <f t="shared" si="9"/>
        <v>0</v>
      </c>
      <c r="E13" s="741"/>
      <c r="F13" s="537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3">
        <f t="shared" si="9"/>
        <v>0</v>
      </c>
      <c r="E14" s="741"/>
      <c r="F14" s="537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3">
        <f t="shared" si="9"/>
        <v>0</v>
      </c>
      <c r="E15" s="741"/>
      <c r="F15" s="537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3">
        <f t="shared" si="9"/>
        <v>0</v>
      </c>
      <c r="E16" s="741"/>
      <c r="F16" s="537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3">
        <f t="shared" si="9"/>
        <v>0</v>
      </c>
      <c r="E17" s="741"/>
      <c r="F17" s="537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3">
        <f t="shared" si="9"/>
        <v>0</v>
      </c>
      <c r="E18" s="741"/>
      <c r="F18" s="537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537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537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537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3">
        <f t="shared" si="9"/>
        <v>0</v>
      </c>
      <c r="E22" s="741"/>
      <c r="F22" s="537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77" t="s">
        <v>11</v>
      </c>
      <c r="D120" s="1278"/>
      <c r="E120" s="57">
        <f>E4+E5+E6-F115</f>
        <v>4469.07</v>
      </c>
      <c r="G120" s="47"/>
      <c r="H120" s="91"/>
      <c r="O120" s="1277" t="s">
        <v>11</v>
      </c>
      <c r="P120" s="1278"/>
      <c r="Q120" s="57">
        <f>Q4+Q5+Q6-R115</f>
        <v>5008.4799999999996</v>
      </c>
      <c r="S120" s="47"/>
      <c r="T120" s="91"/>
      <c r="AA120" s="1277" t="s">
        <v>11</v>
      </c>
      <c r="AB120" s="1278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selection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5" t="s">
        <v>326</v>
      </c>
      <c r="B1" s="1275"/>
      <c r="C1" s="1275"/>
      <c r="D1" s="1275"/>
      <c r="E1" s="1275"/>
      <c r="F1" s="1275"/>
      <c r="G1" s="1275"/>
      <c r="H1" s="11">
        <v>1</v>
      </c>
      <c r="K1" s="1279" t="s">
        <v>499</v>
      </c>
      <c r="L1" s="1279"/>
      <c r="M1" s="1279"/>
      <c r="N1" s="1279"/>
      <c r="O1" s="1279"/>
      <c r="P1" s="1279"/>
      <c r="Q1" s="12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0"/>
      <c r="D4" s="891"/>
      <c r="E4" s="953">
        <v>111.09</v>
      </c>
      <c r="F4" s="882">
        <v>6</v>
      </c>
      <c r="G4" s="73"/>
      <c r="L4" s="83"/>
      <c r="M4" s="890"/>
      <c r="N4" s="891"/>
      <c r="O4" s="953"/>
      <c r="P4" s="882"/>
      <c r="Q4" s="73"/>
    </row>
    <row r="5" spans="1:19" ht="15.75" customHeight="1" x14ac:dyDescent="0.25">
      <c r="A5" s="1280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459.41999999999996</v>
      </c>
      <c r="H5" s="7">
        <f>E5-G5+E4+E6+E7</f>
        <v>2197.14</v>
      </c>
      <c r="K5" s="1280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80"/>
      <c r="B6" s="861" t="s">
        <v>67</v>
      </c>
      <c r="C6" s="893"/>
      <c r="D6" s="893"/>
      <c r="E6" s="893"/>
      <c r="F6" s="892"/>
      <c r="K6" s="1280"/>
      <c r="L6" s="1126" t="s">
        <v>67</v>
      </c>
      <c r="M6" s="893"/>
      <c r="N6" s="893"/>
      <c r="O6" s="893"/>
      <c r="P6" s="892"/>
    </row>
    <row r="7" spans="1:19" ht="15.75" thickBot="1" x14ac:dyDescent="0.3">
      <c r="B7" s="73"/>
      <c r="C7" s="894"/>
      <c r="D7" s="894"/>
      <c r="E7" s="894"/>
      <c r="F7" s="892"/>
      <c r="L7" s="73"/>
      <c r="M7" s="894"/>
      <c r="N7" s="894"/>
      <c r="O7" s="894"/>
      <c r="P7" s="892"/>
    </row>
    <row r="8" spans="1:19" ht="16.5" thickTop="1" thickBot="1" x14ac:dyDescent="0.3">
      <c r="B8" s="64" t="s">
        <v>7</v>
      </c>
      <c r="C8" s="830" t="s">
        <v>8</v>
      </c>
      <c r="D8" s="831" t="s">
        <v>3</v>
      </c>
      <c r="E8" s="832" t="s">
        <v>2</v>
      </c>
      <c r="F8" s="9" t="s">
        <v>9</v>
      </c>
      <c r="G8" s="10" t="s">
        <v>15</v>
      </c>
      <c r="H8" s="24"/>
      <c r="L8" s="64" t="s">
        <v>7</v>
      </c>
      <c r="M8" s="830" t="s">
        <v>8</v>
      </c>
      <c r="N8" s="831" t="s">
        <v>3</v>
      </c>
      <c r="O8" s="832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2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2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6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29">
        <f t="shared" si="3"/>
        <v>2197.1400000000003</v>
      </c>
      <c r="K12" s="55" t="s">
        <v>33</v>
      </c>
      <c r="L12" s="888">
        <f t="shared" si="4"/>
        <v>52</v>
      </c>
      <c r="M12" s="1129"/>
      <c r="N12" s="702"/>
      <c r="O12" s="851"/>
      <c r="P12" s="702">
        <f t="shared" si="1"/>
        <v>0</v>
      </c>
      <c r="Q12" s="700"/>
      <c r="R12" s="701"/>
      <c r="S12" s="852">
        <f t="shared" si="5"/>
        <v>1085.3399999999999</v>
      </c>
    </row>
    <row r="13" spans="1:19" x14ac:dyDescent="0.25">
      <c r="A13" s="77"/>
      <c r="B13" s="182">
        <f t="shared" si="2"/>
        <v>110</v>
      </c>
      <c r="C13" s="127"/>
      <c r="D13" s="537"/>
      <c r="E13" s="573"/>
      <c r="F13" s="537">
        <f t="shared" si="0"/>
        <v>0</v>
      </c>
      <c r="G13" s="330"/>
      <c r="H13" s="331"/>
      <c r="I13" s="78">
        <f t="shared" si="3"/>
        <v>2197.1400000000003</v>
      </c>
      <c r="K13" s="77"/>
      <c r="L13" s="888">
        <f t="shared" si="4"/>
        <v>52</v>
      </c>
      <c r="M13" s="1129"/>
      <c r="N13" s="702"/>
      <c r="O13" s="851"/>
      <c r="P13" s="702">
        <f t="shared" si="1"/>
        <v>0</v>
      </c>
      <c r="Q13" s="700"/>
      <c r="R13" s="701"/>
      <c r="S13" s="852">
        <f t="shared" si="5"/>
        <v>1085.3399999999999</v>
      </c>
    </row>
    <row r="14" spans="1:19" x14ac:dyDescent="0.25">
      <c r="A14" s="12"/>
      <c r="B14" s="182">
        <f t="shared" si="2"/>
        <v>110</v>
      </c>
      <c r="C14" s="127"/>
      <c r="D14" s="537"/>
      <c r="E14" s="573"/>
      <c r="F14" s="537">
        <f t="shared" si="0"/>
        <v>0</v>
      </c>
      <c r="G14" s="330"/>
      <c r="H14" s="331"/>
      <c r="I14" s="78">
        <f t="shared" si="3"/>
        <v>2197.1400000000003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110</v>
      </c>
      <c r="C15" s="127"/>
      <c r="D15" s="537"/>
      <c r="E15" s="573"/>
      <c r="F15" s="537">
        <f t="shared" si="0"/>
        <v>0</v>
      </c>
      <c r="G15" s="330"/>
      <c r="H15" s="331"/>
      <c r="I15" s="78">
        <f t="shared" si="3"/>
        <v>2197.1400000000003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110</v>
      </c>
      <c r="C16" s="127"/>
      <c r="D16" s="537"/>
      <c r="E16" s="573"/>
      <c r="F16" s="537">
        <f t="shared" si="0"/>
        <v>0</v>
      </c>
      <c r="G16" s="330"/>
      <c r="H16" s="331"/>
      <c r="I16" s="78">
        <f t="shared" si="3"/>
        <v>2197.1400000000003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110</v>
      </c>
      <c r="C17" s="127"/>
      <c r="D17" s="537"/>
      <c r="E17" s="573"/>
      <c r="F17" s="537">
        <f t="shared" si="0"/>
        <v>0</v>
      </c>
      <c r="G17" s="330"/>
      <c r="H17" s="331"/>
      <c r="I17" s="78">
        <f t="shared" si="3"/>
        <v>2197.1400000000003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110</v>
      </c>
      <c r="C18" s="127"/>
      <c r="D18" s="537"/>
      <c r="E18" s="573"/>
      <c r="F18" s="537">
        <f t="shared" si="0"/>
        <v>0</v>
      </c>
      <c r="G18" s="330"/>
      <c r="H18" s="331"/>
      <c r="I18" s="78">
        <f t="shared" si="3"/>
        <v>2197.1400000000003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110</v>
      </c>
      <c r="C19" s="127"/>
      <c r="D19" s="537"/>
      <c r="E19" s="573"/>
      <c r="F19" s="537">
        <f t="shared" si="0"/>
        <v>0</v>
      </c>
      <c r="G19" s="330"/>
      <c r="H19" s="331"/>
      <c r="I19" s="78">
        <f t="shared" si="3"/>
        <v>2197.1400000000003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110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2197.1400000000003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110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2197.1400000000003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110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2197.1400000000003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110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2197.1400000000003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110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2197.1400000000003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110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2197.1400000000003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110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2197.1400000000003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110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2197.1400000000003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110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2197.1400000000003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110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2197.1400000000003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110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2197.1400000000003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110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2197.1400000000003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110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2197.1400000000003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110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2197.1400000000003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110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2197.1400000000003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110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2197.1400000000003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110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2197.1400000000003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110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2197.1400000000003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110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2197.1400000000003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110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2197.1400000000003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110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2197.1400000000003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110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2197.1400000000003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110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2197.1400000000003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110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2197.1400000000003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2197.1400000000003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2197.1400000000003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2197.1400000000003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2197.1400000000003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2197.1400000000003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2197.1400000000003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2197.1400000000003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2197.1400000000003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2197.1400000000003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2197.1400000000003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110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77" t="s">
        <v>11</v>
      </c>
      <c r="D73" s="1278"/>
      <c r="E73" s="57">
        <f>E5-F68+E4+E6+E7</f>
        <v>2197.14</v>
      </c>
      <c r="L73" s="91"/>
      <c r="M73" s="1277" t="s">
        <v>11</v>
      </c>
      <c r="N73" s="1278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80"/>
      <c r="B5" s="1306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80"/>
      <c r="B6" s="1306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77" t="s">
        <v>11</v>
      </c>
      <c r="D60" s="127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5" t="s">
        <v>327</v>
      </c>
      <c r="B1" s="1275"/>
      <c r="C1" s="1275"/>
      <c r="D1" s="1275"/>
      <c r="E1" s="1275"/>
      <c r="F1" s="1275"/>
      <c r="G1" s="1275"/>
      <c r="H1" s="11">
        <v>1</v>
      </c>
      <c r="K1" s="1279" t="s">
        <v>327</v>
      </c>
      <c r="L1" s="1279"/>
      <c r="M1" s="1279"/>
      <c r="N1" s="1279"/>
      <c r="O1" s="1279"/>
      <c r="P1" s="1279"/>
      <c r="Q1" s="12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80"/>
      <c r="B4" s="1307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80"/>
      <c r="L4" s="1307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80"/>
      <c r="B5" s="1308"/>
      <c r="C5" s="128">
        <v>75.5</v>
      </c>
      <c r="D5" s="232">
        <v>44887</v>
      </c>
      <c r="E5" s="78">
        <v>2997.33</v>
      </c>
      <c r="F5" s="62">
        <v>113</v>
      </c>
      <c r="K5" s="1280"/>
      <c r="L5" s="1308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308"/>
      <c r="C6" s="128"/>
      <c r="D6" s="232"/>
      <c r="E6" s="78"/>
      <c r="F6" s="62"/>
      <c r="K6" s="1066" t="s">
        <v>52</v>
      </c>
      <c r="L6" s="1308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6"/>
      <c r="L7" s="1067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6"/>
      <c r="L8" s="1067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9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29">
        <f>E5+E4-F10+E6+E7+E8</f>
        <v>2997.33</v>
      </c>
      <c r="K10" s="55" t="s">
        <v>32</v>
      </c>
      <c r="L10" s="849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29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2"/>
      <c r="E13" s="851"/>
      <c r="F13" s="702">
        <f t="shared" si="0"/>
        <v>0</v>
      </c>
      <c r="G13" s="700"/>
      <c r="H13" s="701"/>
      <c r="I13" s="852">
        <f t="shared" si="4"/>
        <v>2997.33</v>
      </c>
      <c r="K13" s="55" t="s">
        <v>33</v>
      </c>
      <c r="L13" s="182">
        <f t="shared" si="3"/>
        <v>115</v>
      </c>
      <c r="M13" s="15"/>
      <c r="N13" s="702"/>
      <c r="O13" s="851"/>
      <c r="P13" s="702">
        <f t="shared" si="1"/>
        <v>0</v>
      </c>
      <c r="Q13" s="700"/>
      <c r="R13" s="701"/>
      <c r="S13" s="852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2"/>
      <c r="E14" s="851"/>
      <c r="F14" s="702">
        <f t="shared" si="0"/>
        <v>0</v>
      </c>
      <c r="G14" s="700"/>
      <c r="H14" s="701"/>
      <c r="I14" s="852">
        <f t="shared" si="4"/>
        <v>2997.33</v>
      </c>
      <c r="K14" s="77"/>
      <c r="L14" s="182">
        <f t="shared" si="3"/>
        <v>115</v>
      </c>
      <c r="M14" s="15"/>
      <c r="N14" s="702"/>
      <c r="O14" s="851"/>
      <c r="P14" s="702">
        <f t="shared" si="1"/>
        <v>0</v>
      </c>
      <c r="Q14" s="700"/>
      <c r="R14" s="701"/>
      <c r="S14" s="852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2"/>
      <c r="E15" s="851"/>
      <c r="F15" s="702">
        <f t="shared" si="0"/>
        <v>0</v>
      </c>
      <c r="G15" s="700"/>
      <c r="H15" s="701"/>
      <c r="I15" s="852">
        <f t="shared" si="4"/>
        <v>2997.33</v>
      </c>
      <c r="K15" s="12"/>
      <c r="L15" s="182">
        <f t="shared" si="3"/>
        <v>115</v>
      </c>
      <c r="M15" s="15"/>
      <c r="N15" s="702"/>
      <c r="O15" s="851"/>
      <c r="P15" s="702">
        <f t="shared" si="1"/>
        <v>0</v>
      </c>
      <c r="Q15" s="700"/>
      <c r="R15" s="701"/>
      <c r="S15" s="852">
        <f t="shared" si="5"/>
        <v>3050.42</v>
      </c>
    </row>
    <row r="16" spans="1:19" x14ac:dyDescent="0.25">
      <c r="B16" s="182">
        <f t="shared" si="2"/>
        <v>113</v>
      </c>
      <c r="C16" s="15"/>
      <c r="D16" s="702"/>
      <c r="E16" s="851"/>
      <c r="F16" s="702">
        <f t="shared" si="0"/>
        <v>0</v>
      </c>
      <c r="G16" s="700"/>
      <c r="H16" s="701"/>
      <c r="I16" s="852">
        <f t="shared" si="4"/>
        <v>2997.33</v>
      </c>
      <c r="L16" s="182">
        <f t="shared" si="3"/>
        <v>115</v>
      </c>
      <c r="M16" s="15"/>
      <c r="N16" s="702"/>
      <c r="O16" s="851"/>
      <c r="P16" s="702">
        <f t="shared" si="1"/>
        <v>0</v>
      </c>
      <c r="Q16" s="700"/>
      <c r="R16" s="701"/>
      <c r="S16" s="852">
        <f t="shared" si="5"/>
        <v>3050.42</v>
      </c>
    </row>
    <row r="17" spans="2:19" x14ac:dyDescent="0.25">
      <c r="B17" s="182">
        <f t="shared" si="2"/>
        <v>113</v>
      </c>
      <c r="C17" s="15"/>
      <c r="D17" s="702"/>
      <c r="E17" s="851"/>
      <c r="F17" s="702">
        <f t="shared" si="0"/>
        <v>0</v>
      </c>
      <c r="G17" s="700"/>
      <c r="H17" s="701"/>
      <c r="I17" s="852">
        <f t="shared" si="4"/>
        <v>2997.33</v>
      </c>
      <c r="L17" s="182">
        <f t="shared" si="3"/>
        <v>115</v>
      </c>
      <c r="M17" s="15"/>
      <c r="N17" s="702"/>
      <c r="O17" s="851"/>
      <c r="P17" s="702">
        <f t="shared" si="1"/>
        <v>0</v>
      </c>
      <c r="Q17" s="700"/>
      <c r="R17" s="701"/>
      <c r="S17" s="852">
        <f t="shared" si="5"/>
        <v>3050.42</v>
      </c>
    </row>
    <row r="18" spans="2:19" x14ac:dyDescent="0.25">
      <c r="B18" s="182">
        <f t="shared" si="2"/>
        <v>113</v>
      </c>
      <c r="C18" s="15"/>
      <c r="D18" s="702"/>
      <c r="E18" s="851"/>
      <c r="F18" s="702">
        <f t="shared" si="0"/>
        <v>0</v>
      </c>
      <c r="G18" s="700"/>
      <c r="H18" s="701"/>
      <c r="I18" s="852">
        <f t="shared" si="4"/>
        <v>2997.33</v>
      </c>
      <c r="L18" s="182">
        <f t="shared" si="3"/>
        <v>115</v>
      </c>
      <c r="M18" s="15"/>
      <c r="N18" s="702"/>
      <c r="O18" s="851"/>
      <c r="P18" s="702">
        <f t="shared" si="1"/>
        <v>0</v>
      </c>
      <c r="Q18" s="700"/>
      <c r="R18" s="701"/>
      <c r="S18" s="852">
        <f t="shared" si="5"/>
        <v>3050.42</v>
      </c>
    </row>
    <row r="19" spans="2:19" x14ac:dyDescent="0.25">
      <c r="B19" s="182">
        <f t="shared" si="2"/>
        <v>113</v>
      </c>
      <c r="C19" s="53"/>
      <c r="D19" s="702"/>
      <c r="E19" s="851"/>
      <c r="F19" s="702">
        <f t="shared" si="0"/>
        <v>0</v>
      </c>
      <c r="G19" s="700"/>
      <c r="H19" s="701"/>
      <c r="I19" s="852">
        <f t="shared" si="4"/>
        <v>2997.33</v>
      </c>
      <c r="L19" s="182">
        <f t="shared" si="3"/>
        <v>115</v>
      </c>
      <c r="M19" s="53"/>
      <c r="N19" s="702"/>
      <c r="O19" s="851"/>
      <c r="P19" s="702">
        <f t="shared" si="1"/>
        <v>0</v>
      </c>
      <c r="Q19" s="700"/>
      <c r="R19" s="701"/>
      <c r="S19" s="852">
        <f t="shared" si="5"/>
        <v>3050.42</v>
      </c>
    </row>
    <row r="20" spans="2:19" x14ac:dyDescent="0.25">
      <c r="B20" s="182">
        <f t="shared" si="2"/>
        <v>113</v>
      </c>
      <c r="C20" s="15"/>
      <c r="D20" s="702"/>
      <c r="E20" s="851"/>
      <c r="F20" s="702">
        <f t="shared" si="0"/>
        <v>0</v>
      </c>
      <c r="G20" s="700"/>
      <c r="H20" s="701"/>
      <c r="I20" s="852">
        <f t="shared" si="4"/>
        <v>2997.33</v>
      </c>
      <c r="L20" s="182">
        <f t="shared" si="3"/>
        <v>115</v>
      </c>
      <c r="M20" s="15"/>
      <c r="N20" s="702"/>
      <c r="O20" s="851"/>
      <c r="P20" s="702">
        <f t="shared" si="1"/>
        <v>0</v>
      </c>
      <c r="Q20" s="700"/>
      <c r="R20" s="701"/>
      <c r="S20" s="852">
        <f t="shared" si="5"/>
        <v>3050.42</v>
      </c>
    </row>
    <row r="21" spans="2:19" x14ac:dyDescent="0.25">
      <c r="B21" s="182">
        <f t="shared" si="2"/>
        <v>113</v>
      </c>
      <c r="C21" s="15"/>
      <c r="D21" s="702"/>
      <c r="E21" s="851"/>
      <c r="F21" s="702">
        <f t="shared" si="0"/>
        <v>0</v>
      </c>
      <c r="G21" s="700"/>
      <c r="H21" s="701"/>
      <c r="I21" s="852">
        <f t="shared" si="4"/>
        <v>2997.33</v>
      </c>
      <c r="L21" s="182">
        <f t="shared" si="3"/>
        <v>115</v>
      </c>
      <c r="M21" s="15"/>
      <c r="N21" s="702"/>
      <c r="O21" s="851"/>
      <c r="P21" s="702">
        <f t="shared" si="1"/>
        <v>0</v>
      </c>
      <c r="Q21" s="700"/>
      <c r="R21" s="701"/>
      <c r="S21" s="852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77" t="s">
        <v>11</v>
      </c>
      <c r="D61" s="1278"/>
      <c r="E61" s="57">
        <f>E5+E6+E7+E8-F56</f>
        <v>2997.33</v>
      </c>
      <c r="L61" s="91"/>
      <c r="M61" s="1277" t="s">
        <v>11</v>
      </c>
      <c r="N61" s="1278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9"/>
      <c r="B1" s="1279"/>
      <c r="C1" s="1279"/>
      <c r="D1" s="1279"/>
      <c r="E1" s="1279"/>
      <c r="F1" s="1279"/>
      <c r="G1" s="127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09"/>
      <c r="B5" s="1311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10"/>
      <c r="B6" s="1312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3" t="s">
        <v>11</v>
      </c>
      <c r="D56" s="131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75" t="s">
        <v>107</v>
      </c>
      <c r="B1" s="1275"/>
      <c r="C1" s="1275"/>
      <c r="D1" s="1275"/>
      <c r="E1" s="1275"/>
      <c r="F1" s="1275"/>
      <c r="G1" s="127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76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76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7" t="s">
        <v>11</v>
      </c>
      <c r="D83" s="127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15"/>
      <c r="C4" s="17"/>
      <c r="E4" s="254"/>
      <c r="F4" s="240"/>
    </row>
    <row r="5" spans="1:10" ht="15" customHeight="1" x14ac:dyDescent="0.25">
      <c r="A5" s="1309"/>
      <c r="B5" s="1316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10"/>
      <c r="B6" s="1317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3" t="s">
        <v>11</v>
      </c>
      <c r="D55" s="131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5" t="s">
        <v>328</v>
      </c>
      <c r="B1" s="1275"/>
      <c r="C1" s="1275"/>
      <c r="D1" s="1275"/>
      <c r="E1" s="1275"/>
      <c r="F1" s="1275"/>
      <c r="G1" s="1275"/>
      <c r="H1" s="1275"/>
      <c r="I1" s="1275"/>
      <c r="J1" s="11">
        <v>1</v>
      </c>
      <c r="M1" s="1279" t="s">
        <v>340</v>
      </c>
      <c r="N1" s="1279"/>
      <c r="O1" s="1279"/>
      <c r="P1" s="1279"/>
      <c r="Q1" s="1279"/>
      <c r="R1" s="1279"/>
      <c r="S1" s="1279"/>
      <c r="T1" s="1279"/>
      <c r="U1" s="127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4"/>
      <c r="P4" s="1055"/>
      <c r="Q4" s="737"/>
      <c r="R4" s="714"/>
      <c r="S4" s="73"/>
      <c r="U4" s="190"/>
      <c r="V4" s="73"/>
    </row>
    <row r="5" spans="1:23" ht="15" customHeight="1" x14ac:dyDescent="0.25">
      <c r="A5" s="1287" t="s">
        <v>175</v>
      </c>
      <c r="B5" s="1318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87" t="s">
        <v>175</v>
      </c>
      <c r="N5" s="1318" t="s">
        <v>43</v>
      </c>
      <c r="O5" s="1054">
        <v>44</v>
      </c>
      <c r="P5" s="1055">
        <v>44900</v>
      </c>
      <c r="Q5" s="737">
        <v>1502.74</v>
      </c>
      <c r="R5" s="714">
        <v>331</v>
      </c>
      <c r="S5" s="5">
        <f>R109</f>
        <v>0</v>
      </c>
      <c r="T5" s="7">
        <f>Q4+Q5-S5+Q6+Q7</f>
        <v>4008.8199999999997</v>
      </c>
      <c r="U5" s="190"/>
      <c r="V5" s="73"/>
    </row>
    <row r="6" spans="1:23" x14ac:dyDescent="0.25">
      <c r="A6" s="1287"/>
      <c r="B6" s="1318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87"/>
      <c r="N6" s="1318"/>
      <c r="O6" s="1054">
        <v>44</v>
      </c>
      <c r="P6" s="1029">
        <v>44914</v>
      </c>
      <c r="Q6" s="852">
        <v>1003.34</v>
      </c>
      <c r="R6" s="882">
        <v>22</v>
      </c>
      <c r="U6" s="191"/>
      <c r="V6" s="73"/>
    </row>
    <row r="7" spans="1:23" ht="15.75" thickBot="1" x14ac:dyDescent="0.3">
      <c r="B7" s="12"/>
      <c r="C7" s="961"/>
      <c r="D7" s="962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29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4008.8199999999997</v>
      </c>
      <c r="V9" s="73">
        <f>R5-O9+R6+R4+R7</f>
        <v>684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4008.8199999999997</v>
      </c>
      <c r="V10" s="73">
        <f>V9-O10</f>
        <v>684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4008.8199999999997</v>
      </c>
      <c r="V11" s="73">
        <f t="shared" ref="V11:V74" si="9">V10-O11</f>
        <v>684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4008.8199999999997</v>
      </c>
      <c r="V12" s="73">
        <f t="shared" si="9"/>
        <v>684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4008.8199999999997</v>
      </c>
      <c r="V13" s="73">
        <f t="shared" si="9"/>
        <v>684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4008.8199999999997</v>
      </c>
      <c r="V14" s="73">
        <f t="shared" si="9"/>
        <v>684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4008.8199999999997</v>
      </c>
      <c r="V15" s="73">
        <f t="shared" si="9"/>
        <v>684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4008.8199999999997</v>
      </c>
      <c r="V16" s="73">
        <f t="shared" si="9"/>
        <v>684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4008.8199999999997</v>
      </c>
      <c r="V17" s="73">
        <f t="shared" si="9"/>
        <v>684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4008.8199999999997</v>
      </c>
      <c r="V18" s="73">
        <f t="shared" si="9"/>
        <v>684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4008.8199999999997</v>
      </c>
      <c r="V19" s="73">
        <f t="shared" si="9"/>
        <v>684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4008.8199999999997</v>
      </c>
      <c r="V20" s="73">
        <f t="shared" si="9"/>
        <v>684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4008.8199999999997</v>
      </c>
      <c r="V21" s="73">
        <f t="shared" si="9"/>
        <v>684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4008.8199999999997</v>
      </c>
      <c r="V22" s="73">
        <f t="shared" si="9"/>
        <v>684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4008.8199999999997</v>
      </c>
      <c r="V23" s="73">
        <f t="shared" si="9"/>
        <v>684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4008.8199999999997</v>
      </c>
      <c r="V24" s="73">
        <f t="shared" si="9"/>
        <v>684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4008.8199999999997</v>
      </c>
      <c r="V25" s="73">
        <f t="shared" si="9"/>
        <v>684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4008.8199999999997</v>
      </c>
      <c r="V26" s="73">
        <f t="shared" si="9"/>
        <v>684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4008.8199999999997</v>
      </c>
      <c r="V27" s="73">
        <f t="shared" si="9"/>
        <v>684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4008.8199999999997</v>
      </c>
      <c r="V28" s="73">
        <f t="shared" si="9"/>
        <v>684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4008.8199999999997</v>
      </c>
      <c r="V29" s="73">
        <f t="shared" si="9"/>
        <v>684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4008.8199999999997</v>
      </c>
      <c r="V30" s="73">
        <f t="shared" si="9"/>
        <v>684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4008.8199999999997</v>
      </c>
      <c r="V31" s="73">
        <f t="shared" si="9"/>
        <v>684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4008.8199999999997</v>
      </c>
      <c r="V32" s="73">
        <f t="shared" si="9"/>
        <v>684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4008.8199999999997</v>
      </c>
      <c r="V33" s="73">
        <f t="shared" si="9"/>
        <v>684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4008.8199999999997</v>
      </c>
      <c r="V34" s="73">
        <f t="shared" si="9"/>
        <v>684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4008.8199999999997</v>
      </c>
      <c r="V35" s="73">
        <f t="shared" si="9"/>
        <v>684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4008.8199999999997</v>
      </c>
      <c r="V36" s="73">
        <f t="shared" si="9"/>
        <v>684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4008.8199999999997</v>
      </c>
      <c r="V37" s="73">
        <f t="shared" si="9"/>
        <v>684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4008.8199999999997</v>
      </c>
      <c r="V38" s="73">
        <f t="shared" si="9"/>
        <v>684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4008.8199999999997</v>
      </c>
      <c r="V39" s="73">
        <f t="shared" si="9"/>
        <v>684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4008.8199999999997</v>
      </c>
      <c r="V40" s="73">
        <f t="shared" si="9"/>
        <v>684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4008.8199999999997</v>
      </c>
      <c r="V41" s="73">
        <f t="shared" si="9"/>
        <v>684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3">
        <f t="shared" si="7"/>
        <v>338</v>
      </c>
      <c r="K42" s="843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4008.8199999999997</v>
      </c>
      <c r="V42" s="714">
        <f t="shared" si="9"/>
        <v>684</v>
      </c>
      <c r="W42" s="736">
        <f t="shared" si="5"/>
        <v>0</v>
      </c>
    </row>
    <row r="43" spans="1:23" x14ac:dyDescent="0.25">
      <c r="B43" s="133">
        <v>4.54</v>
      </c>
      <c r="C43" s="15"/>
      <c r="D43" s="537">
        <f t="shared" si="0"/>
        <v>0</v>
      </c>
      <c r="E43" s="744"/>
      <c r="F43" s="537">
        <f t="shared" si="10"/>
        <v>0</v>
      </c>
      <c r="G43" s="330"/>
      <c r="H43" s="331"/>
      <c r="I43" s="1005">
        <f t="shared" si="6"/>
        <v>1534.5200000000018</v>
      </c>
      <c r="J43" s="753">
        <f t="shared" si="7"/>
        <v>338</v>
      </c>
      <c r="K43" s="60">
        <f t="shared" si="4"/>
        <v>0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5">
        <f t="shared" si="8"/>
        <v>4008.8199999999997</v>
      </c>
      <c r="V43" s="753">
        <f t="shared" si="9"/>
        <v>684</v>
      </c>
      <c r="W43" s="60">
        <f t="shared" si="5"/>
        <v>0</v>
      </c>
    </row>
    <row r="44" spans="1:23" x14ac:dyDescent="0.25">
      <c r="B44" s="133">
        <v>4.54</v>
      </c>
      <c r="C44" s="15"/>
      <c r="D44" s="537">
        <f t="shared" si="0"/>
        <v>0</v>
      </c>
      <c r="E44" s="744"/>
      <c r="F44" s="537">
        <f t="shared" si="10"/>
        <v>0</v>
      </c>
      <c r="G44" s="330"/>
      <c r="H44" s="331"/>
      <c r="I44" s="1005">
        <f t="shared" si="6"/>
        <v>1534.5200000000018</v>
      </c>
      <c r="J44" s="753">
        <f t="shared" si="7"/>
        <v>338</v>
      </c>
      <c r="K44" s="60">
        <f t="shared" si="4"/>
        <v>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5">
        <f t="shared" si="8"/>
        <v>4008.8199999999997</v>
      </c>
      <c r="V44" s="753">
        <f t="shared" si="9"/>
        <v>684</v>
      </c>
      <c r="W44" s="60">
        <f t="shared" si="5"/>
        <v>0</v>
      </c>
    </row>
    <row r="45" spans="1:23" x14ac:dyDescent="0.25">
      <c r="B45" s="133">
        <v>4.54</v>
      </c>
      <c r="C45" s="15"/>
      <c r="D45" s="537">
        <f t="shared" si="0"/>
        <v>0</v>
      </c>
      <c r="E45" s="744"/>
      <c r="F45" s="537">
        <f t="shared" si="10"/>
        <v>0</v>
      </c>
      <c r="G45" s="330"/>
      <c r="H45" s="331"/>
      <c r="I45" s="1005">
        <f t="shared" si="6"/>
        <v>1534.5200000000018</v>
      </c>
      <c r="J45" s="753">
        <f t="shared" si="7"/>
        <v>338</v>
      </c>
      <c r="K45" s="60">
        <f t="shared" si="4"/>
        <v>0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5">
        <f t="shared" si="8"/>
        <v>4008.8199999999997</v>
      </c>
      <c r="V45" s="753">
        <f t="shared" si="9"/>
        <v>684</v>
      </c>
      <c r="W45" s="60">
        <f t="shared" si="5"/>
        <v>0</v>
      </c>
    </row>
    <row r="46" spans="1:23" x14ac:dyDescent="0.25">
      <c r="B46" s="133">
        <v>4.54</v>
      </c>
      <c r="C46" s="15"/>
      <c r="D46" s="537">
        <f t="shared" si="0"/>
        <v>0</v>
      </c>
      <c r="E46" s="744"/>
      <c r="F46" s="537">
        <f t="shared" si="10"/>
        <v>0</v>
      </c>
      <c r="G46" s="330"/>
      <c r="H46" s="331"/>
      <c r="I46" s="1005">
        <f t="shared" si="6"/>
        <v>1534.5200000000018</v>
      </c>
      <c r="J46" s="753">
        <f t="shared" si="7"/>
        <v>338</v>
      </c>
      <c r="K46" s="60">
        <f t="shared" si="4"/>
        <v>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5">
        <f t="shared" si="8"/>
        <v>4008.8199999999997</v>
      </c>
      <c r="V46" s="753">
        <f t="shared" si="9"/>
        <v>684</v>
      </c>
      <c r="W46" s="60">
        <f t="shared" si="5"/>
        <v>0</v>
      </c>
    </row>
    <row r="47" spans="1:23" x14ac:dyDescent="0.25">
      <c r="B47" s="133">
        <v>4.54</v>
      </c>
      <c r="C47" s="15"/>
      <c r="D47" s="537">
        <f t="shared" si="0"/>
        <v>0</v>
      </c>
      <c r="E47" s="744"/>
      <c r="F47" s="537">
        <f t="shared" si="10"/>
        <v>0</v>
      </c>
      <c r="G47" s="330"/>
      <c r="H47" s="331"/>
      <c r="I47" s="1005">
        <f t="shared" si="6"/>
        <v>1534.5200000000018</v>
      </c>
      <c r="J47" s="753">
        <f t="shared" si="7"/>
        <v>338</v>
      </c>
      <c r="K47" s="60">
        <f t="shared" si="4"/>
        <v>0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5">
        <f t="shared" si="8"/>
        <v>4008.8199999999997</v>
      </c>
      <c r="V47" s="753">
        <f t="shared" si="9"/>
        <v>684</v>
      </c>
      <c r="W47" s="60">
        <f t="shared" si="5"/>
        <v>0</v>
      </c>
    </row>
    <row r="48" spans="1:23" x14ac:dyDescent="0.25">
      <c r="B48" s="133">
        <v>4.54</v>
      </c>
      <c r="C48" s="15"/>
      <c r="D48" s="537">
        <f t="shared" si="0"/>
        <v>0</v>
      </c>
      <c r="E48" s="744"/>
      <c r="F48" s="537">
        <f t="shared" si="10"/>
        <v>0</v>
      </c>
      <c r="G48" s="330"/>
      <c r="H48" s="331"/>
      <c r="I48" s="1005">
        <f t="shared" si="6"/>
        <v>1534.5200000000018</v>
      </c>
      <c r="J48" s="753">
        <f t="shared" si="7"/>
        <v>338</v>
      </c>
      <c r="K48" s="60">
        <f t="shared" si="4"/>
        <v>0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5">
        <f t="shared" si="8"/>
        <v>4008.8199999999997</v>
      </c>
      <c r="V48" s="753">
        <f t="shared" si="9"/>
        <v>684</v>
      </c>
      <c r="W48" s="60">
        <f t="shared" si="5"/>
        <v>0</v>
      </c>
    </row>
    <row r="49" spans="1:23" x14ac:dyDescent="0.25">
      <c r="B49" s="133">
        <v>4.54</v>
      </c>
      <c r="C49" s="15"/>
      <c r="D49" s="537">
        <f t="shared" si="0"/>
        <v>0</v>
      </c>
      <c r="E49" s="744"/>
      <c r="F49" s="537">
        <f t="shared" si="10"/>
        <v>0</v>
      </c>
      <c r="G49" s="330"/>
      <c r="H49" s="331"/>
      <c r="I49" s="1005">
        <f t="shared" si="6"/>
        <v>1534.5200000000018</v>
      </c>
      <c r="J49" s="753">
        <f t="shared" si="7"/>
        <v>338</v>
      </c>
      <c r="K49" s="60">
        <f t="shared" si="4"/>
        <v>0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5">
        <f t="shared" si="8"/>
        <v>4008.8199999999997</v>
      </c>
      <c r="V49" s="753">
        <f t="shared" si="9"/>
        <v>684</v>
      </c>
      <c r="W49" s="60">
        <f t="shared" si="5"/>
        <v>0</v>
      </c>
    </row>
    <row r="50" spans="1:23" x14ac:dyDescent="0.25">
      <c r="B50" s="133">
        <v>4.54</v>
      </c>
      <c r="C50" s="15"/>
      <c r="D50" s="537">
        <f t="shared" si="0"/>
        <v>0</v>
      </c>
      <c r="E50" s="744"/>
      <c r="F50" s="537">
        <f t="shared" si="10"/>
        <v>0</v>
      </c>
      <c r="G50" s="330"/>
      <c r="H50" s="331"/>
      <c r="I50" s="1005">
        <f t="shared" si="6"/>
        <v>1534.5200000000018</v>
      </c>
      <c r="J50" s="753">
        <f t="shared" si="7"/>
        <v>338</v>
      </c>
      <c r="K50" s="60">
        <f t="shared" si="4"/>
        <v>0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5">
        <f t="shared" si="8"/>
        <v>4008.8199999999997</v>
      </c>
      <c r="V50" s="753">
        <f t="shared" si="9"/>
        <v>684</v>
      </c>
      <c r="W50" s="60">
        <f t="shared" si="5"/>
        <v>0</v>
      </c>
    </row>
    <row r="51" spans="1:23" x14ac:dyDescent="0.25">
      <c r="B51" s="133">
        <v>4.54</v>
      </c>
      <c r="C51" s="15"/>
      <c r="D51" s="537">
        <f t="shared" si="0"/>
        <v>0</v>
      </c>
      <c r="E51" s="744"/>
      <c r="F51" s="537">
        <f t="shared" si="10"/>
        <v>0</v>
      </c>
      <c r="G51" s="330"/>
      <c r="H51" s="331"/>
      <c r="I51" s="1005">
        <f t="shared" si="6"/>
        <v>1534.5200000000018</v>
      </c>
      <c r="J51" s="753">
        <f t="shared" si="7"/>
        <v>338</v>
      </c>
      <c r="K51" s="60">
        <f t="shared" si="4"/>
        <v>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5">
        <f t="shared" si="8"/>
        <v>4008.8199999999997</v>
      </c>
      <c r="V51" s="753">
        <f t="shared" si="9"/>
        <v>684</v>
      </c>
      <c r="W51" s="60">
        <f t="shared" si="5"/>
        <v>0</v>
      </c>
    </row>
    <row r="52" spans="1:23" x14ac:dyDescent="0.25">
      <c r="B52" s="133">
        <v>4.54</v>
      </c>
      <c r="C52" s="15"/>
      <c r="D52" s="537">
        <f t="shared" si="0"/>
        <v>0</v>
      </c>
      <c r="E52" s="744"/>
      <c r="F52" s="537">
        <f t="shared" si="10"/>
        <v>0</v>
      </c>
      <c r="G52" s="330"/>
      <c r="H52" s="331"/>
      <c r="I52" s="1005">
        <f t="shared" si="6"/>
        <v>1534.5200000000018</v>
      </c>
      <c r="J52" s="753">
        <f t="shared" si="7"/>
        <v>338</v>
      </c>
      <c r="K52" s="60">
        <f t="shared" si="4"/>
        <v>0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5">
        <f t="shared" si="8"/>
        <v>4008.8199999999997</v>
      </c>
      <c r="V52" s="753">
        <f t="shared" si="9"/>
        <v>684</v>
      </c>
      <c r="W52" s="60">
        <f t="shared" si="5"/>
        <v>0</v>
      </c>
    </row>
    <row r="53" spans="1:23" x14ac:dyDescent="0.25">
      <c r="B53" s="133">
        <v>4.54</v>
      </c>
      <c r="C53" s="15"/>
      <c r="D53" s="537">
        <f t="shared" si="0"/>
        <v>0</v>
      </c>
      <c r="E53" s="744"/>
      <c r="F53" s="537">
        <f t="shared" si="10"/>
        <v>0</v>
      </c>
      <c r="G53" s="330"/>
      <c r="H53" s="331"/>
      <c r="I53" s="1005">
        <f t="shared" si="6"/>
        <v>1534.5200000000018</v>
      </c>
      <c r="J53" s="753">
        <f t="shared" si="7"/>
        <v>338</v>
      </c>
      <c r="K53" s="60">
        <f t="shared" si="4"/>
        <v>0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5">
        <f t="shared" si="8"/>
        <v>4008.8199999999997</v>
      </c>
      <c r="V53" s="753">
        <f t="shared" si="9"/>
        <v>684</v>
      </c>
      <c r="W53" s="60">
        <f t="shared" si="5"/>
        <v>0</v>
      </c>
    </row>
    <row r="54" spans="1:23" x14ac:dyDescent="0.25">
      <c r="A54" s="720" t="s">
        <v>218</v>
      </c>
      <c r="B54" s="909">
        <v>4.54</v>
      </c>
      <c r="C54" s="820"/>
      <c r="D54" s="994">
        <f t="shared" si="0"/>
        <v>0</v>
      </c>
      <c r="E54" s="993"/>
      <c r="F54" s="994">
        <f t="shared" si="10"/>
        <v>0</v>
      </c>
      <c r="G54" s="995"/>
      <c r="H54" s="996"/>
      <c r="I54" s="1006">
        <f t="shared" si="6"/>
        <v>1534.5200000000018</v>
      </c>
      <c r="J54" s="1007">
        <f t="shared" si="7"/>
        <v>338</v>
      </c>
      <c r="K54" s="60">
        <f t="shared" si="4"/>
        <v>0</v>
      </c>
      <c r="M54" s="720" t="s">
        <v>218</v>
      </c>
      <c r="N54" s="909">
        <v>4.54</v>
      </c>
      <c r="O54" s="820"/>
      <c r="P54" s="994">
        <f t="shared" si="2"/>
        <v>0</v>
      </c>
      <c r="Q54" s="993"/>
      <c r="R54" s="994">
        <f t="shared" si="11"/>
        <v>0</v>
      </c>
      <c r="S54" s="995"/>
      <c r="T54" s="996"/>
      <c r="U54" s="1006">
        <f t="shared" si="8"/>
        <v>4008.8199999999997</v>
      </c>
      <c r="V54" s="1007">
        <f t="shared" si="9"/>
        <v>684</v>
      </c>
      <c r="W54" s="60">
        <f t="shared" si="5"/>
        <v>0</v>
      </c>
    </row>
    <row r="55" spans="1:23" x14ac:dyDescent="0.25">
      <c r="A55" s="735"/>
      <c r="B55" s="909">
        <v>4.54</v>
      </c>
      <c r="C55" s="820"/>
      <c r="D55" s="994">
        <f t="shared" si="0"/>
        <v>0</v>
      </c>
      <c r="E55" s="993"/>
      <c r="F55" s="994">
        <f t="shared" si="10"/>
        <v>0</v>
      </c>
      <c r="G55" s="995"/>
      <c r="H55" s="996"/>
      <c r="I55" s="1006">
        <f t="shared" si="6"/>
        <v>1534.5200000000018</v>
      </c>
      <c r="J55" s="1007">
        <f t="shared" si="7"/>
        <v>338</v>
      </c>
      <c r="K55" s="60">
        <f t="shared" si="4"/>
        <v>0</v>
      </c>
      <c r="M55" s="735"/>
      <c r="N55" s="909">
        <v>4.54</v>
      </c>
      <c r="O55" s="820"/>
      <c r="P55" s="994">
        <f t="shared" si="2"/>
        <v>0</v>
      </c>
      <c r="Q55" s="993"/>
      <c r="R55" s="994">
        <f t="shared" si="11"/>
        <v>0</v>
      </c>
      <c r="S55" s="995"/>
      <c r="T55" s="996"/>
      <c r="U55" s="1006">
        <f t="shared" si="8"/>
        <v>4008.8199999999997</v>
      </c>
      <c r="V55" s="1007">
        <f t="shared" si="9"/>
        <v>684</v>
      </c>
      <c r="W55" s="60">
        <f t="shared" si="5"/>
        <v>0</v>
      </c>
    </row>
    <row r="56" spans="1:23" x14ac:dyDescent="0.25">
      <c r="B56" s="133">
        <v>4.54</v>
      </c>
      <c r="C56" s="15"/>
      <c r="D56" s="537">
        <f t="shared" si="0"/>
        <v>0</v>
      </c>
      <c r="E56" s="744"/>
      <c r="F56" s="537">
        <f t="shared" si="10"/>
        <v>0</v>
      </c>
      <c r="G56" s="330"/>
      <c r="H56" s="331"/>
      <c r="I56" s="1005">
        <f t="shared" si="6"/>
        <v>1534.5200000000018</v>
      </c>
      <c r="J56" s="753">
        <f t="shared" si="7"/>
        <v>338</v>
      </c>
      <c r="K56" s="60">
        <f t="shared" si="4"/>
        <v>0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5">
        <f t="shared" si="8"/>
        <v>4008.8199999999997</v>
      </c>
      <c r="V56" s="753">
        <f t="shared" si="9"/>
        <v>684</v>
      </c>
      <c r="W56" s="60">
        <f t="shared" si="5"/>
        <v>0</v>
      </c>
    </row>
    <row r="57" spans="1:23" x14ac:dyDescent="0.25">
      <c r="B57" s="133">
        <v>4.54</v>
      </c>
      <c r="C57" s="15"/>
      <c r="D57" s="537">
        <f t="shared" si="0"/>
        <v>0</v>
      </c>
      <c r="E57" s="744"/>
      <c r="F57" s="537">
        <f t="shared" si="10"/>
        <v>0</v>
      </c>
      <c r="G57" s="330"/>
      <c r="H57" s="331"/>
      <c r="I57" s="1005">
        <f t="shared" si="6"/>
        <v>1534.5200000000018</v>
      </c>
      <c r="J57" s="753">
        <f t="shared" si="7"/>
        <v>338</v>
      </c>
      <c r="K57" s="60">
        <f t="shared" si="4"/>
        <v>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5">
        <f t="shared" si="8"/>
        <v>4008.8199999999997</v>
      </c>
      <c r="V57" s="753">
        <f t="shared" si="9"/>
        <v>684</v>
      </c>
      <c r="W57" s="60">
        <f t="shared" si="5"/>
        <v>0</v>
      </c>
    </row>
    <row r="58" spans="1:23" x14ac:dyDescent="0.25">
      <c r="B58" s="133">
        <v>4.54</v>
      </c>
      <c r="C58" s="15"/>
      <c r="D58" s="537">
        <f t="shared" si="0"/>
        <v>0</v>
      </c>
      <c r="E58" s="744"/>
      <c r="F58" s="537">
        <f t="shared" si="10"/>
        <v>0</v>
      </c>
      <c r="G58" s="330"/>
      <c r="H58" s="331"/>
      <c r="I58" s="1005">
        <f t="shared" si="6"/>
        <v>1534.5200000000018</v>
      </c>
      <c r="J58" s="753">
        <f t="shared" si="7"/>
        <v>338</v>
      </c>
      <c r="K58" s="60">
        <f t="shared" si="4"/>
        <v>0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5">
        <f t="shared" si="8"/>
        <v>4008.8199999999997</v>
      </c>
      <c r="V58" s="753">
        <f t="shared" si="9"/>
        <v>684</v>
      </c>
      <c r="W58" s="60">
        <f t="shared" si="5"/>
        <v>0</v>
      </c>
    </row>
    <row r="59" spans="1:23" x14ac:dyDescent="0.25">
      <c r="B59" s="133">
        <v>4.54</v>
      </c>
      <c r="C59" s="15"/>
      <c r="D59" s="537">
        <f t="shared" si="0"/>
        <v>0</v>
      </c>
      <c r="E59" s="744"/>
      <c r="F59" s="537">
        <f t="shared" si="10"/>
        <v>0</v>
      </c>
      <c r="G59" s="330"/>
      <c r="H59" s="331"/>
      <c r="I59" s="1005">
        <f t="shared" si="6"/>
        <v>1534.5200000000018</v>
      </c>
      <c r="J59" s="753">
        <f t="shared" si="7"/>
        <v>338</v>
      </c>
      <c r="K59" s="60">
        <f t="shared" si="4"/>
        <v>0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5">
        <f t="shared" si="8"/>
        <v>4008.8199999999997</v>
      </c>
      <c r="V59" s="753">
        <f t="shared" si="9"/>
        <v>684</v>
      </c>
      <c r="W59" s="60">
        <f t="shared" si="5"/>
        <v>0</v>
      </c>
    </row>
    <row r="60" spans="1:23" x14ac:dyDescent="0.25">
      <c r="B60" s="133">
        <v>4.54</v>
      </c>
      <c r="C60" s="15"/>
      <c r="D60" s="537">
        <f t="shared" si="0"/>
        <v>0</v>
      </c>
      <c r="E60" s="744"/>
      <c r="F60" s="537">
        <f t="shared" si="10"/>
        <v>0</v>
      </c>
      <c r="G60" s="330"/>
      <c r="H60" s="331"/>
      <c r="I60" s="1005">
        <f t="shared" si="6"/>
        <v>1534.5200000000018</v>
      </c>
      <c r="J60" s="753">
        <f t="shared" si="7"/>
        <v>338</v>
      </c>
      <c r="K60" s="60">
        <f t="shared" si="4"/>
        <v>0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5">
        <f t="shared" si="8"/>
        <v>4008.8199999999997</v>
      </c>
      <c r="V60" s="753">
        <f t="shared" si="9"/>
        <v>684</v>
      </c>
      <c r="W60" s="60">
        <f t="shared" si="5"/>
        <v>0</v>
      </c>
    </row>
    <row r="61" spans="1:23" x14ac:dyDescent="0.25">
      <c r="B61" s="133">
        <v>4.54</v>
      </c>
      <c r="C61" s="15"/>
      <c r="D61" s="537">
        <f t="shared" si="0"/>
        <v>0</v>
      </c>
      <c r="E61" s="744"/>
      <c r="F61" s="537">
        <f t="shared" si="10"/>
        <v>0</v>
      </c>
      <c r="G61" s="330"/>
      <c r="H61" s="331"/>
      <c r="I61" s="1005">
        <f t="shared" si="6"/>
        <v>1534.5200000000018</v>
      </c>
      <c r="J61" s="753">
        <f t="shared" si="7"/>
        <v>338</v>
      </c>
      <c r="K61" s="60">
        <f t="shared" si="4"/>
        <v>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5">
        <f t="shared" si="8"/>
        <v>4008.8199999999997</v>
      </c>
      <c r="V61" s="753">
        <f t="shared" si="9"/>
        <v>684</v>
      </c>
      <c r="W61" s="60">
        <f t="shared" si="5"/>
        <v>0</v>
      </c>
    </row>
    <row r="62" spans="1:23" x14ac:dyDescent="0.25">
      <c r="B62" s="133">
        <v>4.54</v>
      </c>
      <c r="C62" s="15"/>
      <c r="D62" s="537">
        <f t="shared" si="0"/>
        <v>0</v>
      </c>
      <c r="E62" s="744"/>
      <c r="F62" s="537">
        <f t="shared" si="10"/>
        <v>0</v>
      </c>
      <c r="G62" s="330"/>
      <c r="H62" s="331"/>
      <c r="I62" s="1005">
        <f t="shared" si="6"/>
        <v>1534.5200000000018</v>
      </c>
      <c r="J62" s="753">
        <f t="shared" si="7"/>
        <v>338</v>
      </c>
      <c r="K62" s="60">
        <f t="shared" si="4"/>
        <v>0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5">
        <f t="shared" si="8"/>
        <v>4008.8199999999997</v>
      </c>
      <c r="V62" s="753">
        <f t="shared" si="9"/>
        <v>684</v>
      </c>
      <c r="W62" s="60">
        <f t="shared" si="5"/>
        <v>0</v>
      </c>
    </row>
    <row r="63" spans="1:23" x14ac:dyDescent="0.25">
      <c r="B63" s="133">
        <v>4.54</v>
      </c>
      <c r="C63" s="15"/>
      <c r="D63" s="537">
        <f t="shared" si="0"/>
        <v>0</v>
      </c>
      <c r="E63" s="744"/>
      <c r="F63" s="537">
        <f t="shared" si="10"/>
        <v>0</v>
      </c>
      <c r="G63" s="330"/>
      <c r="H63" s="331"/>
      <c r="I63" s="1005">
        <f t="shared" si="6"/>
        <v>1534.5200000000018</v>
      </c>
      <c r="J63" s="753">
        <f t="shared" si="7"/>
        <v>338</v>
      </c>
      <c r="K63" s="60">
        <f t="shared" si="4"/>
        <v>0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5">
        <f t="shared" si="8"/>
        <v>4008.8199999999997</v>
      </c>
      <c r="V63" s="753">
        <f t="shared" si="9"/>
        <v>684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5">
        <f t="shared" si="6"/>
        <v>1534.5200000000018</v>
      </c>
      <c r="J64" s="753">
        <f t="shared" si="7"/>
        <v>338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5">
        <f t="shared" si="8"/>
        <v>4008.8199999999997</v>
      </c>
      <c r="V64" s="753">
        <f t="shared" si="9"/>
        <v>684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5">
        <f t="shared" si="6"/>
        <v>1534.5200000000018</v>
      </c>
      <c r="J65" s="753">
        <f t="shared" si="7"/>
        <v>338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5">
        <f t="shared" si="8"/>
        <v>4008.8199999999997</v>
      </c>
      <c r="V65" s="753">
        <f t="shared" si="9"/>
        <v>684</v>
      </c>
      <c r="W65" s="60">
        <f t="shared" si="5"/>
        <v>0</v>
      </c>
    </row>
    <row r="66" spans="2:23" x14ac:dyDescent="0.25">
      <c r="B66" s="133">
        <v>4.54</v>
      </c>
      <c r="C66" s="15"/>
      <c r="D66" s="537">
        <f t="shared" si="0"/>
        <v>0</v>
      </c>
      <c r="E66" s="744"/>
      <c r="F66" s="537">
        <f t="shared" si="10"/>
        <v>0</v>
      </c>
      <c r="G66" s="330"/>
      <c r="H66" s="331"/>
      <c r="I66" s="1005">
        <f t="shared" si="6"/>
        <v>1534.5200000000018</v>
      </c>
      <c r="J66" s="753">
        <f t="shared" si="7"/>
        <v>338</v>
      </c>
      <c r="K66" s="60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5">
        <f t="shared" si="8"/>
        <v>4008.8199999999997</v>
      </c>
      <c r="V66" s="753">
        <f t="shared" si="9"/>
        <v>684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330"/>
      <c r="H67" s="331"/>
      <c r="I67" s="1005">
        <f t="shared" si="6"/>
        <v>1534.5200000000018</v>
      </c>
      <c r="J67" s="753">
        <f t="shared" si="7"/>
        <v>338</v>
      </c>
      <c r="K67" s="60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5">
        <f t="shared" si="8"/>
        <v>4008.8199999999997</v>
      </c>
      <c r="V67" s="753">
        <f t="shared" si="9"/>
        <v>684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330"/>
      <c r="H68" s="331"/>
      <c r="I68" s="1005">
        <f t="shared" si="6"/>
        <v>1534.5200000000018</v>
      </c>
      <c r="J68" s="753">
        <f t="shared" si="7"/>
        <v>338</v>
      </c>
      <c r="K68" s="60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5">
        <f t="shared" si="8"/>
        <v>4008.8199999999997</v>
      </c>
      <c r="V68" s="753">
        <f t="shared" si="9"/>
        <v>684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330"/>
      <c r="H69" s="331"/>
      <c r="I69" s="1005">
        <f t="shared" si="6"/>
        <v>1534.5200000000018</v>
      </c>
      <c r="J69" s="753">
        <f t="shared" si="7"/>
        <v>338</v>
      </c>
      <c r="K69" s="60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5">
        <f t="shared" si="8"/>
        <v>4008.8199999999997</v>
      </c>
      <c r="V69" s="753">
        <f t="shared" si="9"/>
        <v>684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330"/>
      <c r="H70" s="331"/>
      <c r="I70" s="1005">
        <f t="shared" si="6"/>
        <v>1534.5200000000018</v>
      </c>
      <c r="J70" s="753">
        <f t="shared" si="7"/>
        <v>338</v>
      </c>
      <c r="K70" s="60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5">
        <f t="shared" si="8"/>
        <v>4008.8199999999997</v>
      </c>
      <c r="V70" s="753">
        <f t="shared" si="9"/>
        <v>684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5">
        <f t="shared" si="6"/>
        <v>1534.5200000000018</v>
      </c>
      <c r="J71" s="753">
        <f t="shared" si="7"/>
        <v>338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5">
        <f t="shared" si="8"/>
        <v>4008.8199999999997</v>
      </c>
      <c r="V71" s="753">
        <f t="shared" si="9"/>
        <v>684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5">
        <f t="shared" si="6"/>
        <v>1534.5200000000018</v>
      </c>
      <c r="J72" s="753">
        <f t="shared" si="7"/>
        <v>338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5">
        <f t="shared" si="8"/>
        <v>4008.8199999999997</v>
      </c>
      <c r="V72" s="753">
        <f t="shared" si="9"/>
        <v>684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5">
        <f t="shared" si="6"/>
        <v>1534.5200000000018</v>
      </c>
      <c r="J73" s="753">
        <f t="shared" si="7"/>
        <v>338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5">
        <f t="shared" si="8"/>
        <v>4008.8199999999997</v>
      </c>
      <c r="V73" s="753">
        <f t="shared" si="9"/>
        <v>684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5">
        <f t="shared" si="6"/>
        <v>1534.5200000000018</v>
      </c>
      <c r="J74" s="753">
        <f t="shared" si="7"/>
        <v>338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5">
        <f t="shared" si="8"/>
        <v>4008.8199999999997</v>
      </c>
      <c r="V74" s="753">
        <f t="shared" si="9"/>
        <v>684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5">
        <f t="shared" ref="I75:I107" si="14">I74-F75</f>
        <v>1534.5200000000018</v>
      </c>
      <c r="J75" s="753">
        <f t="shared" ref="J75:J106" si="15">J74-C75</f>
        <v>338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5">
        <f t="shared" ref="U75:U107" si="16">U74-R75</f>
        <v>4008.8199999999997</v>
      </c>
      <c r="V75" s="753">
        <f t="shared" ref="V75:V106" si="17">V74-O75</f>
        <v>684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5">
        <f t="shared" si="14"/>
        <v>1534.5200000000018</v>
      </c>
      <c r="J76" s="753">
        <f t="shared" si="15"/>
        <v>338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5">
        <f t="shared" si="16"/>
        <v>4008.8199999999997</v>
      </c>
      <c r="V76" s="753">
        <f t="shared" si="17"/>
        <v>684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5">
        <f t="shared" si="14"/>
        <v>1534.5200000000018</v>
      </c>
      <c r="J77" s="753">
        <f t="shared" si="15"/>
        <v>338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5">
        <f t="shared" si="16"/>
        <v>4008.8199999999997</v>
      </c>
      <c r="V77" s="753">
        <f t="shared" si="17"/>
        <v>684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5">
        <f t="shared" si="14"/>
        <v>1534.5200000000018</v>
      </c>
      <c r="J78" s="753">
        <f t="shared" si="15"/>
        <v>338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5">
        <f t="shared" si="16"/>
        <v>4008.8199999999997</v>
      </c>
      <c r="V78" s="753">
        <f t="shared" si="17"/>
        <v>684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5">
        <f t="shared" si="14"/>
        <v>1534.5200000000018</v>
      </c>
      <c r="J79" s="753">
        <f t="shared" si="15"/>
        <v>338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5">
        <f t="shared" si="16"/>
        <v>4008.8199999999997</v>
      </c>
      <c r="V79" s="753">
        <f t="shared" si="17"/>
        <v>684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5">
        <f t="shared" si="14"/>
        <v>1534.5200000000018</v>
      </c>
      <c r="J80" s="753">
        <f t="shared" si="15"/>
        <v>338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5">
        <f t="shared" si="16"/>
        <v>4008.8199999999997</v>
      </c>
      <c r="V80" s="753">
        <f t="shared" si="17"/>
        <v>684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5">
        <f t="shared" si="14"/>
        <v>1534.5200000000018</v>
      </c>
      <c r="J81" s="753">
        <f t="shared" si="15"/>
        <v>338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5">
        <f t="shared" si="16"/>
        <v>4008.8199999999997</v>
      </c>
      <c r="V81" s="753">
        <f t="shared" si="17"/>
        <v>684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5">
        <f t="shared" si="14"/>
        <v>1534.5200000000018</v>
      </c>
      <c r="J82" s="753">
        <f t="shared" si="15"/>
        <v>338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5">
        <f t="shared" si="16"/>
        <v>4008.8199999999997</v>
      </c>
      <c r="V82" s="753">
        <f t="shared" si="17"/>
        <v>684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4008.8199999999997</v>
      </c>
      <c r="V83" s="73">
        <f t="shared" si="17"/>
        <v>684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4008.8199999999997</v>
      </c>
      <c r="V84" s="73">
        <f t="shared" si="17"/>
        <v>684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4008.8199999999997</v>
      </c>
      <c r="V85" s="73">
        <f t="shared" si="17"/>
        <v>684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4008.8199999999997</v>
      </c>
      <c r="V86" s="73">
        <f t="shared" si="17"/>
        <v>684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4008.8199999999997</v>
      </c>
      <c r="V87" s="73">
        <f t="shared" si="17"/>
        <v>684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4008.8199999999997</v>
      </c>
      <c r="V88" s="73">
        <f t="shared" si="17"/>
        <v>684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4008.8199999999997</v>
      </c>
      <c r="V89" s="73">
        <f t="shared" si="17"/>
        <v>684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4008.8199999999997</v>
      </c>
      <c r="V90" s="73">
        <f t="shared" si="17"/>
        <v>684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4008.8199999999997</v>
      </c>
      <c r="V91" s="73">
        <f t="shared" si="17"/>
        <v>684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4008.8199999999997</v>
      </c>
      <c r="V92" s="73">
        <f t="shared" si="17"/>
        <v>684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4008.8199999999997</v>
      </c>
      <c r="V93" s="73">
        <f t="shared" si="17"/>
        <v>684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4008.8199999999997</v>
      </c>
      <c r="V94" s="73">
        <f t="shared" si="17"/>
        <v>684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4008.8199999999997</v>
      </c>
      <c r="V95" s="73">
        <f t="shared" si="17"/>
        <v>684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4008.8199999999997</v>
      </c>
      <c r="V96" s="73">
        <f t="shared" si="17"/>
        <v>684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4008.8199999999997</v>
      </c>
      <c r="V97" s="73">
        <f t="shared" si="17"/>
        <v>684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4008.8199999999997</v>
      </c>
      <c r="V98" s="73">
        <f t="shared" si="17"/>
        <v>684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4008.8199999999997</v>
      </c>
      <c r="V99" s="73">
        <f t="shared" si="17"/>
        <v>684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4008.8199999999997</v>
      </c>
      <c r="V100" s="73">
        <f t="shared" si="17"/>
        <v>684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4008.8199999999997</v>
      </c>
      <c r="V101" s="73">
        <f t="shared" si="17"/>
        <v>684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4008.8199999999997</v>
      </c>
      <c r="V102" s="73">
        <f t="shared" si="17"/>
        <v>684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4008.8199999999997</v>
      </c>
      <c r="V103" s="73">
        <f t="shared" si="17"/>
        <v>684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4008.8199999999997</v>
      </c>
      <c r="V104" s="73">
        <f t="shared" si="17"/>
        <v>684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4008.8199999999997</v>
      </c>
      <c r="V105" s="73">
        <f t="shared" si="17"/>
        <v>684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4008.8199999999997</v>
      </c>
      <c r="V106" s="73">
        <f t="shared" si="17"/>
        <v>684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4008.8199999999997</v>
      </c>
      <c r="V107" s="73">
        <f>V83-O107</f>
        <v>684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684</v>
      </c>
      <c r="Q111" s="40"/>
      <c r="R111" s="6"/>
      <c r="S111" s="31"/>
      <c r="T111" s="17"/>
      <c r="U111" s="132"/>
      <c r="V111" s="73"/>
    </row>
    <row r="112" spans="2:23" x14ac:dyDescent="0.25">
      <c r="C112" s="1319" t="s">
        <v>19</v>
      </c>
      <c r="D112" s="1320"/>
      <c r="E112" s="39">
        <f>E4+E5-F109+E6+E7</f>
        <v>1534.5199999999995</v>
      </c>
      <c r="F112" s="6"/>
      <c r="G112" s="6"/>
      <c r="H112" s="17"/>
      <c r="I112" s="132"/>
      <c r="J112" s="73"/>
      <c r="O112" s="1319" t="s">
        <v>19</v>
      </c>
      <c r="P112" s="1320"/>
      <c r="Q112" s="39">
        <f>Q4+Q5-R109+Q6+Q7</f>
        <v>4008.8199999999997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80" t="s">
        <v>52</v>
      </c>
      <c r="B5" s="1321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80"/>
      <c r="B6" s="1321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2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23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5">
        <f>B9-C10</f>
        <v>0</v>
      </c>
      <c r="C10" s="820"/>
      <c r="D10" s="990"/>
      <c r="E10" s="857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5">
        <f t="shared" ref="B11:B30" si="1">B10-C11</f>
        <v>0</v>
      </c>
      <c r="C11" s="820"/>
      <c r="D11" s="991"/>
      <c r="E11" s="857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5">
        <f t="shared" si="1"/>
        <v>0</v>
      </c>
      <c r="C12" s="820"/>
      <c r="D12" s="991"/>
      <c r="E12" s="857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5">
        <f t="shared" si="1"/>
        <v>0</v>
      </c>
      <c r="C13" s="820"/>
      <c r="D13" s="991"/>
      <c r="E13" s="857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5">
        <f t="shared" si="1"/>
        <v>0</v>
      </c>
      <c r="C14" s="820"/>
      <c r="D14" s="991"/>
      <c r="E14" s="857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5">
        <f t="shared" si="1"/>
        <v>0</v>
      </c>
      <c r="C15" s="820"/>
      <c r="D15" s="992"/>
      <c r="E15" s="857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5">
        <f t="shared" si="1"/>
        <v>0</v>
      </c>
      <c r="C16" s="820"/>
      <c r="D16" s="992"/>
      <c r="E16" s="857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5">
        <f t="shared" si="1"/>
        <v>0</v>
      </c>
      <c r="C17" s="820"/>
      <c r="D17" s="992"/>
      <c r="E17" s="857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5">
        <f t="shared" si="1"/>
        <v>0</v>
      </c>
      <c r="C18" s="820"/>
      <c r="D18" s="992"/>
      <c r="E18" s="857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5">
        <f t="shared" si="1"/>
        <v>0</v>
      </c>
      <c r="C19" s="820"/>
      <c r="D19" s="992"/>
      <c r="E19" s="857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5">
        <f t="shared" si="1"/>
        <v>0</v>
      </c>
      <c r="C20" s="820"/>
      <c r="D20" s="992"/>
      <c r="E20" s="857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5">
        <f t="shared" si="1"/>
        <v>0</v>
      </c>
      <c r="C21" s="820"/>
      <c r="D21" s="997"/>
      <c r="E21" s="857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5">
        <f t="shared" si="1"/>
        <v>0</v>
      </c>
      <c r="C22" s="820"/>
      <c r="D22" s="997"/>
      <c r="E22" s="857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5">
        <f t="shared" si="1"/>
        <v>0</v>
      </c>
      <c r="C23" s="820"/>
      <c r="D23" s="997"/>
      <c r="E23" s="857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5">
        <f t="shared" si="1"/>
        <v>0</v>
      </c>
      <c r="C24" s="820"/>
      <c r="D24" s="997"/>
      <c r="E24" s="857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5">
        <f t="shared" si="1"/>
        <v>0</v>
      </c>
      <c r="C25" s="820"/>
      <c r="D25" s="997"/>
      <c r="E25" s="857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5">
        <f t="shared" si="1"/>
        <v>0</v>
      </c>
      <c r="C26" s="820"/>
      <c r="D26" s="997"/>
      <c r="E26" s="857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5">
        <f t="shared" si="1"/>
        <v>0</v>
      </c>
      <c r="C27" s="820"/>
      <c r="D27" s="997"/>
      <c r="E27" s="857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5">
        <f t="shared" si="1"/>
        <v>0</v>
      </c>
      <c r="C28" s="820"/>
      <c r="D28" s="842"/>
      <c r="E28" s="857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5">
        <f t="shared" si="1"/>
        <v>0</v>
      </c>
      <c r="C29" s="820"/>
      <c r="D29" s="842"/>
      <c r="E29" s="857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9" t="s">
        <v>19</v>
      </c>
      <c r="D34" s="132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T1" workbookViewId="0">
      <selection activeCell="W7" sqref="W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75" t="s">
        <v>329</v>
      </c>
      <c r="B1" s="1275"/>
      <c r="C1" s="1275"/>
      <c r="D1" s="1275"/>
      <c r="E1" s="1275"/>
      <c r="F1" s="1275"/>
      <c r="G1" s="1275"/>
      <c r="H1" s="11">
        <v>1</v>
      </c>
      <c r="K1" s="1275" t="str">
        <f>A1</f>
        <v>INVENTARIO DEL MES DE  NOVIEMBRE  2022</v>
      </c>
      <c r="L1" s="1275"/>
      <c r="M1" s="1275"/>
      <c r="N1" s="1275"/>
      <c r="O1" s="1275"/>
      <c r="P1" s="1275"/>
      <c r="Q1" s="1275"/>
      <c r="R1" s="11">
        <v>2</v>
      </c>
      <c r="U1" s="1279" t="s">
        <v>340</v>
      </c>
      <c r="V1" s="1279"/>
      <c r="W1" s="1279"/>
      <c r="X1" s="1279"/>
      <c r="Y1" s="1279"/>
      <c r="Z1" s="1279"/>
      <c r="AA1" s="1279"/>
      <c r="AB1" s="11">
        <v>3</v>
      </c>
      <c r="AE1" s="1279" t="s">
        <v>340</v>
      </c>
      <c r="AF1" s="1279"/>
      <c r="AG1" s="1279"/>
      <c r="AH1" s="1279"/>
      <c r="AI1" s="1279"/>
      <c r="AJ1" s="1279"/>
      <c r="AK1" s="1279"/>
      <c r="AL1" s="11">
        <v>4</v>
      </c>
      <c r="AO1" s="1279" t="s">
        <v>340</v>
      </c>
      <c r="AP1" s="1279"/>
      <c r="AQ1" s="1279"/>
      <c r="AR1" s="1279"/>
      <c r="AS1" s="1279"/>
      <c r="AT1" s="1279"/>
      <c r="AU1" s="127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87" t="s">
        <v>64</v>
      </c>
      <c r="B5" s="1326" t="s">
        <v>69</v>
      </c>
      <c r="C5" s="392">
        <v>85</v>
      </c>
      <c r="D5" s="134">
        <v>44862</v>
      </c>
      <c r="E5" s="836">
        <v>150</v>
      </c>
      <c r="F5" s="854">
        <v>15</v>
      </c>
      <c r="G5" s="5"/>
      <c r="K5" s="1309" t="s">
        <v>176</v>
      </c>
      <c r="L5" s="1324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87" t="s">
        <v>375</v>
      </c>
      <c r="V5" s="1326" t="s">
        <v>69</v>
      </c>
      <c r="W5" s="392">
        <v>85</v>
      </c>
      <c r="X5" s="716">
        <v>44900</v>
      </c>
      <c r="Y5" s="1030">
        <v>150</v>
      </c>
      <c r="Z5" s="882">
        <v>15</v>
      </c>
      <c r="AA5" s="5"/>
      <c r="AE5" s="1309" t="s">
        <v>176</v>
      </c>
      <c r="AF5" s="1324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09" t="s">
        <v>176</v>
      </c>
      <c r="AP5" s="1324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87"/>
      <c r="B6" s="1326"/>
      <c r="C6" s="12"/>
      <c r="D6" s="12"/>
      <c r="E6" s="559"/>
      <c r="F6" s="144"/>
      <c r="G6" s="47">
        <f>F78</f>
        <v>100</v>
      </c>
      <c r="H6" s="7">
        <f>E6-G6+E7+E5-G5+E4</f>
        <v>50</v>
      </c>
      <c r="K6" s="1309"/>
      <c r="L6" s="1325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87"/>
      <c r="V6" s="1326"/>
      <c r="W6" s="392">
        <v>85</v>
      </c>
      <c r="X6" s="716">
        <v>44925</v>
      </c>
      <c r="Y6" s="559">
        <v>100</v>
      </c>
      <c r="Z6" s="144">
        <v>10</v>
      </c>
      <c r="AA6" s="47">
        <f>Z78</f>
        <v>0</v>
      </c>
      <c r="AB6" s="7">
        <f>Y6-AA6+Y7+Y5-AA5+Y4</f>
        <v>250</v>
      </c>
      <c r="AE6" s="1309"/>
      <c r="AF6" s="1325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309"/>
      <c r="AP6" s="1325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250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250</v>
      </c>
      <c r="AE10" s="194"/>
      <c r="AF10" s="896">
        <f t="shared" ref="AF10:AF73" si="5">AF9-AG10</f>
        <v>1</v>
      </c>
      <c r="AG10" s="820"/>
      <c r="AH10" s="702"/>
      <c r="AI10" s="733"/>
      <c r="AJ10" s="702">
        <f>AH10</f>
        <v>0</v>
      </c>
      <c r="AK10" s="700"/>
      <c r="AL10" s="701"/>
      <c r="AM10" s="737">
        <f>AM9-AJ10</f>
        <v>20</v>
      </c>
      <c r="AN10" s="735"/>
      <c r="AO10" s="194"/>
      <c r="AP10" s="896">
        <f t="shared" ref="AP10:AP73" si="6">AP9-AQ10</f>
        <v>30</v>
      </c>
      <c r="AQ10" s="820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4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3">
        <f t="shared" ref="S11:S74" si="8">S10-P11</f>
        <v>220</v>
      </c>
      <c r="U11" s="182"/>
      <c r="V11" s="83">
        <f t="shared" si="3"/>
        <v>25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250</v>
      </c>
      <c r="AE11" s="182"/>
      <c r="AF11" s="896">
        <f t="shared" si="5"/>
        <v>1</v>
      </c>
      <c r="AG11" s="820"/>
      <c r="AH11" s="702"/>
      <c r="AI11" s="733"/>
      <c r="AJ11" s="702">
        <f>AH11</f>
        <v>0</v>
      </c>
      <c r="AK11" s="700"/>
      <c r="AL11" s="701"/>
      <c r="AM11" s="737">
        <f t="shared" ref="AM11:AM74" si="10">AM10-AJ11</f>
        <v>20</v>
      </c>
      <c r="AN11" s="735"/>
      <c r="AO11" s="182"/>
      <c r="AP11" s="896">
        <f t="shared" si="6"/>
        <v>30</v>
      </c>
      <c r="AQ11" s="820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8">
        <v>10</v>
      </c>
      <c r="O12" s="839">
        <v>44866</v>
      </c>
      <c r="P12" s="838">
        <f>N12</f>
        <v>10</v>
      </c>
      <c r="Q12" s="840" t="s">
        <v>235</v>
      </c>
      <c r="R12" s="841">
        <v>115</v>
      </c>
      <c r="S12" s="105">
        <f t="shared" si="8"/>
        <v>210</v>
      </c>
      <c r="U12" s="182"/>
      <c r="V12" s="83">
        <f t="shared" si="3"/>
        <v>25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250</v>
      </c>
      <c r="AE12" s="182"/>
      <c r="AF12" s="896">
        <f t="shared" si="5"/>
        <v>1</v>
      </c>
      <c r="AG12" s="820"/>
      <c r="AH12" s="702"/>
      <c r="AI12" s="733"/>
      <c r="AJ12" s="702">
        <f>AH12</f>
        <v>0</v>
      </c>
      <c r="AK12" s="700"/>
      <c r="AL12" s="701"/>
      <c r="AM12" s="737">
        <f t="shared" si="10"/>
        <v>20</v>
      </c>
      <c r="AN12" s="735"/>
      <c r="AO12" s="182"/>
      <c r="AP12" s="896">
        <f t="shared" si="6"/>
        <v>30</v>
      </c>
      <c r="AQ12" s="820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8">
        <v>10</v>
      </c>
      <c r="O13" s="839">
        <v>44867</v>
      </c>
      <c r="P13" s="838">
        <f>N13</f>
        <v>10</v>
      </c>
      <c r="Q13" s="840" t="s">
        <v>239</v>
      </c>
      <c r="R13" s="841">
        <v>115</v>
      </c>
      <c r="S13" s="105">
        <f t="shared" si="8"/>
        <v>200</v>
      </c>
      <c r="U13" s="82" t="s">
        <v>33</v>
      </c>
      <c r="V13" s="83">
        <f t="shared" si="3"/>
        <v>25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250</v>
      </c>
      <c r="AE13" s="82" t="s">
        <v>33</v>
      </c>
      <c r="AF13" s="896">
        <f t="shared" si="5"/>
        <v>1</v>
      </c>
      <c r="AG13" s="820"/>
      <c r="AH13" s="702"/>
      <c r="AI13" s="733"/>
      <c r="AJ13" s="702">
        <f>AH13</f>
        <v>0</v>
      </c>
      <c r="AK13" s="700"/>
      <c r="AL13" s="701"/>
      <c r="AM13" s="737">
        <f t="shared" si="10"/>
        <v>20</v>
      </c>
      <c r="AN13" s="735"/>
      <c r="AO13" s="82" t="s">
        <v>33</v>
      </c>
      <c r="AP13" s="896">
        <f t="shared" si="6"/>
        <v>30</v>
      </c>
      <c r="AQ13" s="820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8">
        <v>10</v>
      </c>
      <c r="O14" s="839">
        <v>44868</v>
      </c>
      <c r="P14" s="838">
        <f t="shared" ref="P14:P76" si="12">N14</f>
        <v>10</v>
      </c>
      <c r="Q14" s="840" t="s">
        <v>241</v>
      </c>
      <c r="R14" s="841">
        <v>115</v>
      </c>
      <c r="S14" s="105">
        <f t="shared" si="8"/>
        <v>190</v>
      </c>
      <c r="U14" s="73"/>
      <c r="V14" s="83">
        <f t="shared" si="3"/>
        <v>25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250</v>
      </c>
      <c r="AE14" s="73"/>
      <c r="AF14" s="896">
        <f t="shared" si="5"/>
        <v>1</v>
      </c>
      <c r="AG14" s="820"/>
      <c r="AH14" s="702"/>
      <c r="AI14" s="733"/>
      <c r="AJ14" s="702">
        <f t="shared" ref="AJ14:AJ76" si="13">AH14</f>
        <v>0</v>
      </c>
      <c r="AK14" s="700"/>
      <c r="AL14" s="701"/>
      <c r="AM14" s="737">
        <f t="shared" si="10"/>
        <v>20</v>
      </c>
      <c r="AN14" s="735"/>
      <c r="AO14" s="73"/>
      <c r="AP14" s="896">
        <f t="shared" si="6"/>
        <v>30</v>
      </c>
      <c r="AQ14" s="820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8">
        <v>10</v>
      </c>
      <c r="O15" s="839">
        <v>44869</v>
      </c>
      <c r="P15" s="838">
        <f t="shared" si="12"/>
        <v>10</v>
      </c>
      <c r="Q15" s="840" t="s">
        <v>242</v>
      </c>
      <c r="R15" s="841">
        <v>115</v>
      </c>
      <c r="S15" s="105">
        <f t="shared" si="8"/>
        <v>180</v>
      </c>
      <c r="U15" s="73"/>
      <c r="V15" s="83">
        <f t="shared" si="3"/>
        <v>25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250</v>
      </c>
      <c r="AE15" s="73" t="s">
        <v>22</v>
      </c>
      <c r="AF15" s="896">
        <f t="shared" si="5"/>
        <v>1</v>
      </c>
      <c r="AG15" s="820"/>
      <c r="AH15" s="702"/>
      <c r="AI15" s="733"/>
      <c r="AJ15" s="702">
        <f t="shared" si="13"/>
        <v>0</v>
      </c>
      <c r="AK15" s="700"/>
      <c r="AL15" s="701"/>
      <c r="AM15" s="737">
        <f t="shared" si="10"/>
        <v>20</v>
      </c>
      <c r="AN15" s="735"/>
      <c r="AO15" s="73" t="s">
        <v>22</v>
      </c>
      <c r="AP15" s="896">
        <f t="shared" si="6"/>
        <v>30</v>
      </c>
      <c r="AQ15" s="820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8">
        <v>10</v>
      </c>
      <c r="O16" s="839">
        <v>44872</v>
      </c>
      <c r="P16" s="838">
        <f t="shared" si="12"/>
        <v>10</v>
      </c>
      <c r="Q16" s="840" t="s">
        <v>250</v>
      </c>
      <c r="R16" s="841">
        <v>115</v>
      </c>
      <c r="S16" s="105">
        <f t="shared" si="8"/>
        <v>170</v>
      </c>
      <c r="V16" s="83">
        <f t="shared" si="3"/>
        <v>25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250</v>
      </c>
      <c r="AF16" s="896">
        <f t="shared" si="5"/>
        <v>1</v>
      </c>
      <c r="AG16" s="820"/>
      <c r="AH16" s="702"/>
      <c r="AI16" s="733"/>
      <c r="AJ16" s="702">
        <f t="shared" si="13"/>
        <v>0</v>
      </c>
      <c r="AK16" s="700"/>
      <c r="AL16" s="701"/>
      <c r="AM16" s="737">
        <f t="shared" si="10"/>
        <v>20</v>
      </c>
      <c r="AN16" s="735"/>
      <c r="AP16" s="896">
        <f t="shared" si="6"/>
        <v>30</v>
      </c>
      <c r="AQ16" s="820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4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3">
        <f t="shared" si="7"/>
        <v>50</v>
      </c>
      <c r="L17" s="83">
        <f t="shared" si="2"/>
        <v>16</v>
      </c>
      <c r="M17" s="15">
        <v>1</v>
      </c>
      <c r="N17" s="838">
        <v>10</v>
      </c>
      <c r="O17" s="839">
        <v>44873</v>
      </c>
      <c r="P17" s="838">
        <f t="shared" si="12"/>
        <v>10</v>
      </c>
      <c r="Q17" s="840" t="s">
        <v>251</v>
      </c>
      <c r="R17" s="841">
        <v>115</v>
      </c>
      <c r="S17" s="105">
        <f t="shared" si="8"/>
        <v>160</v>
      </c>
      <c r="V17" s="896">
        <f t="shared" si="3"/>
        <v>25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250</v>
      </c>
      <c r="AF17" s="896">
        <f t="shared" si="5"/>
        <v>1</v>
      </c>
      <c r="AG17" s="820"/>
      <c r="AH17" s="702"/>
      <c r="AI17" s="733"/>
      <c r="AJ17" s="702">
        <f t="shared" si="13"/>
        <v>0</v>
      </c>
      <c r="AK17" s="700"/>
      <c r="AL17" s="701"/>
      <c r="AM17" s="737">
        <f t="shared" si="10"/>
        <v>20</v>
      </c>
      <c r="AN17" s="735"/>
      <c r="AP17" s="896">
        <f t="shared" si="6"/>
        <v>30</v>
      </c>
      <c r="AQ17" s="820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5</v>
      </c>
      <c r="C18" s="73"/>
      <c r="D18" s="537"/>
      <c r="E18" s="732"/>
      <c r="F18" s="537">
        <f t="shared" si="1"/>
        <v>0</v>
      </c>
      <c r="G18" s="330"/>
      <c r="H18" s="331"/>
      <c r="I18" s="742">
        <f t="shared" si="7"/>
        <v>50</v>
      </c>
      <c r="K18" s="122"/>
      <c r="L18" s="83">
        <f t="shared" si="2"/>
        <v>15</v>
      </c>
      <c r="M18" s="15">
        <v>1</v>
      </c>
      <c r="N18" s="838">
        <v>10</v>
      </c>
      <c r="O18" s="839">
        <v>44875</v>
      </c>
      <c r="P18" s="838">
        <f t="shared" si="12"/>
        <v>10</v>
      </c>
      <c r="Q18" s="840" t="s">
        <v>261</v>
      </c>
      <c r="R18" s="841">
        <v>115</v>
      </c>
      <c r="S18" s="105">
        <f t="shared" si="8"/>
        <v>150</v>
      </c>
      <c r="U18" s="122"/>
      <c r="V18" s="896">
        <f t="shared" si="3"/>
        <v>25</v>
      </c>
      <c r="W18" s="714"/>
      <c r="X18" s="994"/>
      <c r="Y18" s="998"/>
      <c r="Z18" s="994">
        <f t="shared" si="4"/>
        <v>0</v>
      </c>
      <c r="AA18" s="995"/>
      <c r="AB18" s="996"/>
      <c r="AC18" s="1000">
        <f t="shared" si="9"/>
        <v>250</v>
      </c>
      <c r="AE18" s="122"/>
      <c r="AF18" s="896">
        <f t="shared" si="5"/>
        <v>1</v>
      </c>
      <c r="AG18" s="820"/>
      <c r="AH18" s="702"/>
      <c r="AI18" s="733"/>
      <c r="AJ18" s="702">
        <f t="shared" si="13"/>
        <v>0</v>
      </c>
      <c r="AK18" s="700"/>
      <c r="AL18" s="701"/>
      <c r="AM18" s="737">
        <f t="shared" si="10"/>
        <v>20</v>
      </c>
      <c r="AN18" s="735"/>
      <c r="AO18" s="122"/>
      <c r="AP18" s="896">
        <f t="shared" si="6"/>
        <v>30</v>
      </c>
      <c r="AQ18" s="820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5</v>
      </c>
      <c r="C19" s="15"/>
      <c r="D19" s="537"/>
      <c r="E19" s="732"/>
      <c r="F19" s="537">
        <f t="shared" si="1"/>
        <v>0</v>
      </c>
      <c r="G19" s="330"/>
      <c r="H19" s="331"/>
      <c r="I19" s="742">
        <f t="shared" si="7"/>
        <v>50</v>
      </c>
      <c r="K19" s="122"/>
      <c r="L19" s="83">
        <f t="shared" si="2"/>
        <v>14</v>
      </c>
      <c r="M19" s="15">
        <v>1</v>
      </c>
      <c r="N19" s="838">
        <v>10</v>
      </c>
      <c r="O19" s="839">
        <v>44877</v>
      </c>
      <c r="P19" s="838">
        <f t="shared" si="12"/>
        <v>10</v>
      </c>
      <c r="Q19" s="840" t="s">
        <v>266</v>
      </c>
      <c r="R19" s="841">
        <v>115</v>
      </c>
      <c r="S19" s="105">
        <f t="shared" si="8"/>
        <v>140</v>
      </c>
      <c r="U19" s="122"/>
      <c r="V19" s="83">
        <f t="shared" si="3"/>
        <v>25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250</v>
      </c>
      <c r="AE19" s="122"/>
      <c r="AF19" s="896">
        <f t="shared" si="5"/>
        <v>1</v>
      </c>
      <c r="AG19" s="820"/>
      <c r="AH19" s="702"/>
      <c r="AI19" s="733"/>
      <c r="AJ19" s="702">
        <f t="shared" si="13"/>
        <v>0</v>
      </c>
      <c r="AK19" s="700"/>
      <c r="AL19" s="701"/>
      <c r="AM19" s="737">
        <f t="shared" si="10"/>
        <v>20</v>
      </c>
      <c r="AN19" s="735"/>
      <c r="AO19" s="122"/>
      <c r="AP19" s="896">
        <f t="shared" si="6"/>
        <v>30</v>
      </c>
      <c r="AQ19" s="820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5</v>
      </c>
      <c r="C20" s="15"/>
      <c r="D20" s="537"/>
      <c r="E20" s="732"/>
      <c r="F20" s="537">
        <f t="shared" si="1"/>
        <v>0</v>
      </c>
      <c r="G20" s="330"/>
      <c r="H20" s="331"/>
      <c r="I20" s="742">
        <f t="shared" si="7"/>
        <v>50</v>
      </c>
      <c r="K20" s="122"/>
      <c r="L20" s="83">
        <f t="shared" si="2"/>
        <v>13</v>
      </c>
      <c r="M20" s="15">
        <v>1</v>
      </c>
      <c r="N20" s="838">
        <v>10</v>
      </c>
      <c r="O20" s="839">
        <v>44879</v>
      </c>
      <c r="P20" s="838">
        <f t="shared" si="12"/>
        <v>10</v>
      </c>
      <c r="Q20" s="840" t="s">
        <v>273</v>
      </c>
      <c r="R20" s="841">
        <v>115</v>
      </c>
      <c r="S20" s="105">
        <f t="shared" si="8"/>
        <v>130</v>
      </c>
      <c r="U20" s="122"/>
      <c r="V20" s="83">
        <f t="shared" si="3"/>
        <v>25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250</v>
      </c>
      <c r="AE20" s="122"/>
      <c r="AF20" s="896">
        <f t="shared" si="5"/>
        <v>1</v>
      </c>
      <c r="AG20" s="820"/>
      <c r="AH20" s="702"/>
      <c r="AI20" s="733"/>
      <c r="AJ20" s="702">
        <f t="shared" si="13"/>
        <v>0</v>
      </c>
      <c r="AK20" s="700"/>
      <c r="AL20" s="701"/>
      <c r="AM20" s="737">
        <f t="shared" si="10"/>
        <v>20</v>
      </c>
      <c r="AN20" s="735"/>
      <c r="AO20" s="122"/>
      <c r="AP20" s="896">
        <f t="shared" si="6"/>
        <v>30</v>
      </c>
      <c r="AQ20" s="820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5</v>
      </c>
      <c r="C21" s="15"/>
      <c r="D21" s="537"/>
      <c r="E21" s="732"/>
      <c r="F21" s="537">
        <f t="shared" si="1"/>
        <v>0</v>
      </c>
      <c r="G21" s="330"/>
      <c r="H21" s="331"/>
      <c r="I21" s="742">
        <f t="shared" si="7"/>
        <v>50</v>
      </c>
      <c r="K21" s="122"/>
      <c r="L21" s="83">
        <f t="shared" si="2"/>
        <v>12</v>
      </c>
      <c r="M21" s="15">
        <v>1</v>
      </c>
      <c r="N21" s="838">
        <v>10</v>
      </c>
      <c r="O21" s="839">
        <v>44880</v>
      </c>
      <c r="P21" s="838">
        <f t="shared" si="12"/>
        <v>10</v>
      </c>
      <c r="Q21" s="840" t="s">
        <v>277</v>
      </c>
      <c r="R21" s="841">
        <v>115</v>
      </c>
      <c r="S21" s="105">
        <f t="shared" si="8"/>
        <v>120</v>
      </c>
      <c r="U21" s="122"/>
      <c r="V21" s="83">
        <f t="shared" si="3"/>
        <v>25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250</v>
      </c>
      <c r="AE21" s="122"/>
      <c r="AF21" s="896">
        <f t="shared" si="5"/>
        <v>1</v>
      </c>
      <c r="AG21" s="820"/>
      <c r="AH21" s="702"/>
      <c r="AI21" s="733"/>
      <c r="AJ21" s="702">
        <f t="shared" si="13"/>
        <v>0</v>
      </c>
      <c r="AK21" s="700"/>
      <c r="AL21" s="701"/>
      <c r="AM21" s="737">
        <f t="shared" si="10"/>
        <v>20</v>
      </c>
      <c r="AN21" s="735"/>
      <c r="AO21" s="122"/>
      <c r="AP21" s="896">
        <f t="shared" si="6"/>
        <v>30</v>
      </c>
      <c r="AQ21" s="820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5</v>
      </c>
      <c r="C22" s="15"/>
      <c r="D22" s="537"/>
      <c r="E22" s="732"/>
      <c r="F22" s="537">
        <f t="shared" si="1"/>
        <v>0</v>
      </c>
      <c r="G22" s="330"/>
      <c r="H22" s="331"/>
      <c r="I22" s="742">
        <f t="shared" si="7"/>
        <v>50</v>
      </c>
      <c r="K22" s="122"/>
      <c r="L22" s="233">
        <f t="shared" si="2"/>
        <v>11</v>
      </c>
      <c r="M22" s="15">
        <v>1</v>
      </c>
      <c r="N22" s="838">
        <v>10</v>
      </c>
      <c r="O22" s="839">
        <v>44881</v>
      </c>
      <c r="P22" s="838">
        <f t="shared" si="12"/>
        <v>10</v>
      </c>
      <c r="Q22" s="840" t="s">
        <v>279</v>
      </c>
      <c r="R22" s="841">
        <v>115</v>
      </c>
      <c r="S22" s="105">
        <f t="shared" si="8"/>
        <v>110</v>
      </c>
      <c r="U22" s="122"/>
      <c r="V22" s="233">
        <f t="shared" si="3"/>
        <v>25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250</v>
      </c>
      <c r="AE22" s="122"/>
      <c r="AF22" s="1056">
        <f t="shared" si="5"/>
        <v>1</v>
      </c>
      <c r="AG22" s="820"/>
      <c r="AH22" s="702"/>
      <c r="AI22" s="733"/>
      <c r="AJ22" s="702">
        <f t="shared" si="13"/>
        <v>0</v>
      </c>
      <c r="AK22" s="700"/>
      <c r="AL22" s="701"/>
      <c r="AM22" s="737">
        <f t="shared" si="10"/>
        <v>20</v>
      </c>
      <c r="AN22" s="735"/>
      <c r="AO22" s="122"/>
      <c r="AP22" s="1056">
        <f t="shared" si="6"/>
        <v>30</v>
      </c>
      <c r="AQ22" s="820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5</v>
      </c>
      <c r="C23" s="15"/>
      <c r="D23" s="537"/>
      <c r="E23" s="732"/>
      <c r="F23" s="537">
        <f t="shared" si="1"/>
        <v>0</v>
      </c>
      <c r="G23" s="330"/>
      <c r="H23" s="331"/>
      <c r="I23" s="742">
        <f t="shared" si="7"/>
        <v>50</v>
      </c>
      <c r="K23" s="123"/>
      <c r="L23" s="233">
        <f t="shared" si="2"/>
        <v>10</v>
      </c>
      <c r="M23" s="15">
        <v>1</v>
      </c>
      <c r="N23" s="838">
        <v>10</v>
      </c>
      <c r="O23" s="839">
        <v>44884</v>
      </c>
      <c r="P23" s="838">
        <f t="shared" si="12"/>
        <v>10</v>
      </c>
      <c r="Q23" s="840" t="s">
        <v>291</v>
      </c>
      <c r="R23" s="841">
        <v>115</v>
      </c>
      <c r="S23" s="105">
        <f t="shared" si="8"/>
        <v>100</v>
      </c>
      <c r="U23" s="123"/>
      <c r="V23" s="233">
        <f t="shared" si="3"/>
        <v>25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250</v>
      </c>
      <c r="AE23" s="123"/>
      <c r="AF23" s="1056">
        <f t="shared" si="5"/>
        <v>1</v>
      </c>
      <c r="AG23" s="820"/>
      <c r="AH23" s="702"/>
      <c r="AI23" s="733"/>
      <c r="AJ23" s="702">
        <f t="shared" si="13"/>
        <v>0</v>
      </c>
      <c r="AK23" s="700"/>
      <c r="AL23" s="701"/>
      <c r="AM23" s="737">
        <f t="shared" si="10"/>
        <v>20</v>
      </c>
      <c r="AN23" s="735"/>
      <c r="AO23" s="123"/>
      <c r="AP23" s="1056">
        <f t="shared" si="6"/>
        <v>30</v>
      </c>
      <c r="AQ23" s="820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5</v>
      </c>
      <c r="C24" s="15"/>
      <c r="D24" s="537"/>
      <c r="E24" s="732"/>
      <c r="F24" s="537">
        <f t="shared" si="1"/>
        <v>0</v>
      </c>
      <c r="G24" s="330"/>
      <c r="H24" s="331"/>
      <c r="I24" s="742">
        <f t="shared" si="7"/>
        <v>50</v>
      </c>
      <c r="K24" s="122"/>
      <c r="L24" s="233">
        <f t="shared" si="2"/>
        <v>9</v>
      </c>
      <c r="M24" s="15">
        <v>1</v>
      </c>
      <c r="N24" s="838">
        <v>10</v>
      </c>
      <c r="O24" s="839">
        <v>44888</v>
      </c>
      <c r="P24" s="838">
        <f t="shared" si="12"/>
        <v>10</v>
      </c>
      <c r="Q24" s="840" t="s">
        <v>298</v>
      </c>
      <c r="R24" s="841">
        <v>115</v>
      </c>
      <c r="S24" s="105">
        <f t="shared" si="8"/>
        <v>90</v>
      </c>
      <c r="U24" s="122"/>
      <c r="V24" s="233">
        <f t="shared" si="3"/>
        <v>25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250</v>
      </c>
      <c r="AE24" s="122"/>
      <c r="AF24" s="1056">
        <f t="shared" si="5"/>
        <v>1</v>
      </c>
      <c r="AG24" s="820"/>
      <c r="AH24" s="702"/>
      <c r="AI24" s="733"/>
      <c r="AJ24" s="702">
        <f t="shared" si="13"/>
        <v>0</v>
      </c>
      <c r="AK24" s="700"/>
      <c r="AL24" s="701"/>
      <c r="AM24" s="737">
        <f t="shared" si="10"/>
        <v>20</v>
      </c>
      <c r="AN24" s="735"/>
      <c r="AO24" s="122"/>
      <c r="AP24" s="1056">
        <f t="shared" si="6"/>
        <v>30</v>
      </c>
      <c r="AQ24" s="820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5</v>
      </c>
      <c r="C25" s="15"/>
      <c r="D25" s="537"/>
      <c r="E25" s="732"/>
      <c r="F25" s="537">
        <f t="shared" si="1"/>
        <v>0</v>
      </c>
      <c r="G25" s="330"/>
      <c r="H25" s="331"/>
      <c r="I25" s="742">
        <f t="shared" si="7"/>
        <v>50</v>
      </c>
      <c r="K25" s="122"/>
      <c r="L25" s="853">
        <f t="shared" si="2"/>
        <v>8</v>
      </c>
      <c r="M25" s="15">
        <v>1</v>
      </c>
      <c r="N25" s="838">
        <v>10</v>
      </c>
      <c r="O25" s="839">
        <v>44889</v>
      </c>
      <c r="P25" s="838">
        <f t="shared" si="12"/>
        <v>10</v>
      </c>
      <c r="Q25" s="840" t="s">
        <v>303</v>
      </c>
      <c r="R25" s="841">
        <v>115</v>
      </c>
      <c r="S25" s="823">
        <f t="shared" si="8"/>
        <v>80</v>
      </c>
      <c r="U25" s="122"/>
      <c r="V25" s="233">
        <f t="shared" si="3"/>
        <v>25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250</v>
      </c>
      <c r="AE25" s="122"/>
      <c r="AF25" s="1056">
        <f t="shared" si="5"/>
        <v>1</v>
      </c>
      <c r="AG25" s="820"/>
      <c r="AH25" s="702"/>
      <c r="AI25" s="733"/>
      <c r="AJ25" s="702">
        <f t="shared" si="13"/>
        <v>0</v>
      </c>
      <c r="AK25" s="700"/>
      <c r="AL25" s="701"/>
      <c r="AM25" s="737">
        <f t="shared" si="10"/>
        <v>20</v>
      </c>
      <c r="AN25" s="735"/>
      <c r="AO25" s="122"/>
      <c r="AP25" s="1056">
        <f t="shared" si="6"/>
        <v>30</v>
      </c>
      <c r="AQ25" s="820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5</v>
      </c>
      <c r="C26" s="15"/>
      <c r="D26" s="537"/>
      <c r="E26" s="732"/>
      <c r="F26" s="537">
        <f t="shared" si="1"/>
        <v>0</v>
      </c>
      <c r="G26" s="330"/>
      <c r="H26" s="331"/>
      <c r="I26" s="742">
        <f t="shared" si="7"/>
        <v>50</v>
      </c>
      <c r="K26" s="122"/>
      <c r="L26" s="182">
        <f t="shared" si="2"/>
        <v>8</v>
      </c>
      <c r="M26" s="15"/>
      <c r="N26" s="537"/>
      <c r="O26" s="732"/>
      <c r="P26" s="537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25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250</v>
      </c>
      <c r="AE26" s="122"/>
      <c r="AF26" s="888">
        <f t="shared" si="5"/>
        <v>1</v>
      </c>
      <c r="AG26" s="820"/>
      <c r="AH26" s="702"/>
      <c r="AI26" s="733"/>
      <c r="AJ26" s="702">
        <f t="shared" si="13"/>
        <v>0</v>
      </c>
      <c r="AK26" s="700"/>
      <c r="AL26" s="701"/>
      <c r="AM26" s="737">
        <f t="shared" si="10"/>
        <v>20</v>
      </c>
      <c r="AN26" s="735"/>
      <c r="AO26" s="122"/>
      <c r="AP26" s="888">
        <f t="shared" si="6"/>
        <v>30</v>
      </c>
      <c r="AQ26" s="820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5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50</v>
      </c>
      <c r="K27" s="122"/>
      <c r="L27" s="233">
        <f t="shared" si="2"/>
        <v>8</v>
      </c>
      <c r="M27" s="15"/>
      <c r="N27" s="537"/>
      <c r="O27" s="732"/>
      <c r="P27" s="537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25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250</v>
      </c>
      <c r="AE27" s="122"/>
      <c r="AF27" s="1056">
        <f t="shared" si="5"/>
        <v>1</v>
      </c>
      <c r="AG27" s="820"/>
      <c r="AH27" s="702"/>
      <c r="AI27" s="733"/>
      <c r="AJ27" s="702">
        <f t="shared" si="13"/>
        <v>0</v>
      </c>
      <c r="AK27" s="700"/>
      <c r="AL27" s="701"/>
      <c r="AM27" s="737">
        <f t="shared" si="10"/>
        <v>20</v>
      </c>
      <c r="AN27" s="735"/>
      <c r="AO27" s="122"/>
      <c r="AP27" s="1056">
        <f t="shared" si="6"/>
        <v>30</v>
      </c>
      <c r="AQ27" s="820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5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50</v>
      </c>
      <c r="K28" s="122"/>
      <c r="L28" s="182">
        <f t="shared" si="2"/>
        <v>8</v>
      </c>
      <c r="M28" s="15"/>
      <c r="N28" s="537"/>
      <c r="O28" s="732"/>
      <c r="P28" s="537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25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250</v>
      </c>
      <c r="AE28" s="122"/>
      <c r="AF28" s="888">
        <f t="shared" si="5"/>
        <v>1</v>
      </c>
      <c r="AG28" s="820"/>
      <c r="AH28" s="702"/>
      <c r="AI28" s="733"/>
      <c r="AJ28" s="702">
        <f t="shared" si="13"/>
        <v>0</v>
      </c>
      <c r="AK28" s="700"/>
      <c r="AL28" s="701"/>
      <c r="AM28" s="737">
        <f t="shared" si="10"/>
        <v>20</v>
      </c>
      <c r="AN28" s="735"/>
      <c r="AO28" s="122"/>
      <c r="AP28" s="888">
        <f t="shared" si="6"/>
        <v>30</v>
      </c>
      <c r="AQ28" s="820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5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50</v>
      </c>
      <c r="K29" s="122"/>
      <c r="L29" s="233">
        <f t="shared" si="2"/>
        <v>8</v>
      </c>
      <c r="M29" s="15"/>
      <c r="N29" s="537"/>
      <c r="O29" s="732"/>
      <c r="P29" s="537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25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5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50</v>
      </c>
      <c r="K30" s="122"/>
      <c r="L30" s="233">
        <f t="shared" si="2"/>
        <v>8</v>
      </c>
      <c r="M30" s="15"/>
      <c r="N30" s="537"/>
      <c r="O30" s="732"/>
      <c r="P30" s="537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25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5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50</v>
      </c>
      <c r="K31" s="122"/>
      <c r="L31" s="233">
        <f t="shared" si="2"/>
        <v>8</v>
      </c>
      <c r="M31" s="15"/>
      <c r="N31" s="537"/>
      <c r="O31" s="732"/>
      <c r="P31" s="537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25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5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50</v>
      </c>
      <c r="K32" s="122"/>
      <c r="L32" s="233">
        <f t="shared" si="2"/>
        <v>8</v>
      </c>
      <c r="M32" s="15"/>
      <c r="N32" s="537"/>
      <c r="O32" s="732"/>
      <c r="P32" s="537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25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5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50</v>
      </c>
      <c r="K33" s="122"/>
      <c r="L33" s="233">
        <f t="shared" si="2"/>
        <v>8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25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5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50</v>
      </c>
      <c r="K34" s="122"/>
      <c r="L34" s="233">
        <f t="shared" si="2"/>
        <v>8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25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5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50</v>
      </c>
      <c r="K35" s="122"/>
      <c r="L35" s="233">
        <f t="shared" si="2"/>
        <v>8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25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5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50</v>
      </c>
      <c r="K36" s="122" t="s">
        <v>22</v>
      </c>
      <c r="L36" s="233">
        <f t="shared" si="2"/>
        <v>8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25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5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50</v>
      </c>
      <c r="K37" s="123"/>
      <c r="L37" s="233">
        <f t="shared" si="2"/>
        <v>8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25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5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50</v>
      </c>
      <c r="K38" s="122"/>
      <c r="L38" s="233">
        <f t="shared" si="2"/>
        <v>8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25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5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50</v>
      </c>
      <c r="K39" s="122"/>
      <c r="L39" s="83">
        <f t="shared" si="2"/>
        <v>8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25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5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50</v>
      </c>
      <c r="K40" s="122"/>
      <c r="L40" s="83">
        <f t="shared" si="2"/>
        <v>8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25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5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50</v>
      </c>
      <c r="K41" s="122"/>
      <c r="L41" s="83">
        <f t="shared" si="2"/>
        <v>8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25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5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50</v>
      </c>
      <c r="K42" s="122"/>
      <c r="L42" s="83">
        <f t="shared" si="2"/>
        <v>8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25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25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25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25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25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25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25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250</v>
      </c>
      <c r="AE48" s="122"/>
      <c r="AF48" s="83">
        <f t="shared" si="5"/>
        <v>1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25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250</v>
      </c>
      <c r="AE49" s="122"/>
      <c r="AF49" s="83">
        <f t="shared" si="5"/>
        <v>1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25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250</v>
      </c>
      <c r="AE50" s="122"/>
      <c r="AF50" s="83">
        <f t="shared" si="5"/>
        <v>1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25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250</v>
      </c>
      <c r="AE51" s="122"/>
      <c r="AF51" s="83">
        <f t="shared" si="5"/>
        <v>1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25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25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25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25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25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25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25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25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25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25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25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25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25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25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25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25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25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25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25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25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25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25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25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25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77" t="s">
        <v>11</v>
      </c>
      <c r="D83" s="1278"/>
      <c r="E83" s="57">
        <f>E5+E6-F78+E7</f>
        <v>50</v>
      </c>
      <c r="F83" s="73"/>
      <c r="M83" s="1277" t="s">
        <v>11</v>
      </c>
      <c r="N83" s="1278"/>
      <c r="O83" s="57">
        <f>O5+O6-P78+O7</f>
        <v>80</v>
      </c>
      <c r="P83" s="73"/>
      <c r="W83" s="1277" t="s">
        <v>11</v>
      </c>
      <c r="X83" s="1278"/>
      <c r="Y83" s="57">
        <f>Y5+Y6-Z78+Y7</f>
        <v>250</v>
      </c>
      <c r="Z83" s="73"/>
      <c r="AG83" s="1277" t="s">
        <v>11</v>
      </c>
      <c r="AH83" s="1278"/>
      <c r="AI83" s="57">
        <f>AI5+AI6-AJ78+AI7</f>
        <v>20</v>
      </c>
      <c r="AJ83" s="73"/>
      <c r="AQ83" s="1277" t="s">
        <v>11</v>
      </c>
      <c r="AR83" s="1278"/>
      <c r="AS83" s="57">
        <f>AS5+AS6-AT78+AS7</f>
        <v>300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R5" sqref="R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75" t="s">
        <v>330</v>
      </c>
      <c r="B1" s="1275"/>
      <c r="C1" s="1275"/>
      <c r="D1" s="1275"/>
      <c r="E1" s="1275"/>
      <c r="F1" s="1275"/>
      <c r="G1" s="1275"/>
      <c r="H1" s="11">
        <v>1</v>
      </c>
      <c r="L1" s="1279" t="s">
        <v>510</v>
      </c>
      <c r="M1" s="1279"/>
      <c r="N1" s="1279"/>
      <c r="O1" s="1279"/>
      <c r="P1" s="1279"/>
      <c r="Q1" s="1279"/>
      <c r="R1" s="127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80" t="s">
        <v>222</v>
      </c>
      <c r="B5" s="1288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  <c r="L5" s="1280" t="s">
        <v>222</v>
      </c>
      <c r="M5" s="1288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80"/>
      <c r="B6" s="1288"/>
      <c r="C6" s="199"/>
      <c r="D6" s="149"/>
      <c r="E6" s="105"/>
      <c r="F6" s="73"/>
      <c r="L6" s="1280"/>
      <c r="M6" s="128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5" t="s">
        <v>3</v>
      </c>
    </row>
    <row r="9" spans="1:21" ht="15.75" thickTop="1" x14ac:dyDescent="0.25">
      <c r="A9" s="73"/>
      <c r="B9" s="865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6">
        <f>H9*F9</f>
        <v>32670</v>
      </c>
      <c r="J9" s="737">
        <f>E4+E5+E6+E7-F9</f>
        <v>18351.099999999999</v>
      </c>
      <c r="L9" s="73"/>
      <c r="M9" s="865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6">
        <f>S9*Q9</f>
        <v>0</v>
      </c>
      <c r="U9" s="737">
        <f>P4+P5+P6+P7-Q9</f>
        <v>18568</v>
      </c>
    </row>
    <row r="10" spans="1:21" x14ac:dyDescent="0.25">
      <c r="B10" s="865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7">
        <f t="shared" ref="I10:I30" si="2">H10*F10</f>
        <v>33260</v>
      </c>
      <c r="J10" s="737">
        <f>J9-F10</f>
        <v>17685.899999999998</v>
      </c>
      <c r="M10" s="865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7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5">
        <f t="shared" ref="B11:B30" si="4">B10-C11</f>
        <v>596</v>
      </c>
      <c r="C11" s="820">
        <v>24</v>
      </c>
      <c r="D11" s="699">
        <v>666.4</v>
      </c>
      <c r="E11" s="857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7">
        <f t="shared" si="2"/>
        <v>33320</v>
      </c>
      <c r="J11" s="737">
        <f t="shared" ref="J11:J12" si="6">J10-F11</f>
        <v>17019.499999999996</v>
      </c>
      <c r="L11" s="55" t="s">
        <v>32</v>
      </c>
      <c r="M11" s="865">
        <f t="shared" ref="M11:M30" si="7">M10-N11</f>
        <v>620</v>
      </c>
      <c r="N11" s="820"/>
      <c r="O11" s="699"/>
      <c r="P11" s="857"/>
      <c r="Q11" s="702">
        <f t="shared" si="1"/>
        <v>0</v>
      </c>
      <c r="R11" s="700"/>
      <c r="S11" s="701"/>
      <c r="T11" s="867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5">
        <f t="shared" si="4"/>
        <v>572</v>
      </c>
      <c r="C12" s="820">
        <v>24</v>
      </c>
      <c r="D12" s="699">
        <v>601</v>
      </c>
      <c r="E12" s="857">
        <v>44875</v>
      </c>
      <c r="F12" s="702">
        <f t="shared" si="5"/>
        <v>601</v>
      </c>
      <c r="G12" s="700" t="s">
        <v>261</v>
      </c>
      <c r="H12" s="701">
        <v>50</v>
      </c>
      <c r="I12" s="867">
        <f t="shared" si="2"/>
        <v>30050</v>
      </c>
      <c r="J12" s="737">
        <f t="shared" si="6"/>
        <v>16418.499999999996</v>
      </c>
      <c r="L12" s="85"/>
      <c r="M12" s="865">
        <f t="shared" si="7"/>
        <v>620</v>
      </c>
      <c r="N12" s="820"/>
      <c r="O12" s="699"/>
      <c r="P12" s="857"/>
      <c r="Q12" s="702">
        <f t="shared" si="1"/>
        <v>0</v>
      </c>
      <c r="R12" s="700"/>
      <c r="S12" s="701"/>
      <c r="T12" s="867">
        <f t="shared" si="3"/>
        <v>0</v>
      </c>
      <c r="U12" s="737">
        <f t="shared" si="8"/>
        <v>18568</v>
      </c>
    </row>
    <row r="13" spans="1:21" x14ac:dyDescent="0.25">
      <c r="B13" s="865">
        <f t="shared" si="4"/>
        <v>548</v>
      </c>
      <c r="C13" s="820">
        <v>24</v>
      </c>
      <c r="D13" s="699">
        <v>685.1</v>
      </c>
      <c r="E13" s="857">
        <v>44877</v>
      </c>
      <c r="F13" s="702">
        <f t="shared" si="5"/>
        <v>685.1</v>
      </c>
      <c r="G13" s="700" t="s">
        <v>271</v>
      </c>
      <c r="H13" s="701">
        <v>50</v>
      </c>
      <c r="I13" s="867">
        <f t="shared" si="2"/>
        <v>34255</v>
      </c>
      <c r="J13" s="737">
        <f>J12-F13</f>
        <v>15733.399999999996</v>
      </c>
      <c r="M13" s="865">
        <f t="shared" si="7"/>
        <v>620</v>
      </c>
      <c r="N13" s="820"/>
      <c r="O13" s="699"/>
      <c r="P13" s="857"/>
      <c r="Q13" s="702">
        <f t="shared" si="1"/>
        <v>0</v>
      </c>
      <c r="R13" s="700"/>
      <c r="S13" s="701"/>
      <c r="T13" s="867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5">
        <f t="shared" si="4"/>
        <v>524</v>
      </c>
      <c r="C14" s="820">
        <v>24</v>
      </c>
      <c r="D14" s="699">
        <v>701.7</v>
      </c>
      <c r="E14" s="857">
        <v>44879</v>
      </c>
      <c r="F14" s="702">
        <f t="shared" si="5"/>
        <v>701.7</v>
      </c>
      <c r="G14" s="700" t="s">
        <v>272</v>
      </c>
      <c r="H14" s="701">
        <v>50</v>
      </c>
      <c r="I14" s="867">
        <f t="shared" si="2"/>
        <v>35085</v>
      </c>
      <c r="J14" s="737">
        <f t="shared" ref="J14:J30" si="9">J13-F14</f>
        <v>15031.699999999995</v>
      </c>
      <c r="L14" s="55" t="s">
        <v>33</v>
      </c>
      <c r="M14" s="865">
        <f t="shared" si="7"/>
        <v>620</v>
      </c>
      <c r="N14" s="820"/>
      <c r="O14" s="699"/>
      <c r="P14" s="857"/>
      <c r="Q14" s="702">
        <f t="shared" si="1"/>
        <v>0</v>
      </c>
      <c r="R14" s="700"/>
      <c r="S14" s="701"/>
      <c r="T14" s="867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5">
        <f t="shared" si="4"/>
        <v>500</v>
      </c>
      <c r="C15" s="820">
        <v>24</v>
      </c>
      <c r="D15" s="699">
        <v>739.6</v>
      </c>
      <c r="E15" s="857">
        <v>44881</v>
      </c>
      <c r="F15" s="702">
        <f t="shared" si="5"/>
        <v>739.6</v>
      </c>
      <c r="G15" s="700" t="s">
        <v>279</v>
      </c>
      <c r="H15" s="701">
        <v>50</v>
      </c>
      <c r="I15" s="867">
        <f t="shared" si="2"/>
        <v>36980</v>
      </c>
      <c r="J15" s="737">
        <f t="shared" si="9"/>
        <v>14292.099999999995</v>
      </c>
      <c r="L15" s="735"/>
      <c r="M15" s="865">
        <f t="shared" si="7"/>
        <v>620</v>
      </c>
      <c r="N15" s="820"/>
      <c r="O15" s="699"/>
      <c r="P15" s="857"/>
      <c r="Q15" s="702">
        <f t="shared" si="1"/>
        <v>0</v>
      </c>
      <c r="R15" s="700"/>
      <c r="S15" s="701"/>
      <c r="T15" s="867">
        <f t="shared" si="3"/>
        <v>0</v>
      </c>
      <c r="U15" s="737">
        <f t="shared" si="10"/>
        <v>18568</v>
      </c>
    </row>
    <row r="16" spans="1:21" ht="15.75" x14ac:dyDescent="0.25">
      <c r="A16" s="864"/>
      <c r="B16" s="865">
        <f t="shared" si="4"/>
        <v>476</v>
      </c>
      <c r="C16" s="820">
        <v>24</v>
      </c>
      <c r="D16" s="699">
        <v>688.6</v>
      </c>
      <c r="E16" s="857">
        <v>44883</v>
      </c>
      <c r="F16" s="702">
        <f t="shared" si="5"/>
        <v>688.6</v>
      </c>
      <c r="G16" s="700" t="s">
        <v>287</v>
      </c>
      <c r="H16" s="701">
        <v>50</v>
      </c>
      <c r="I16" s="867">
        <f t="shared" si="2"/>
        <v>34430</v>
      </c>
      <c r="J16" s="737">
        <f t="shared" si="9"/>
        <v>13603.499999999995</v>
      </c>
      <c r="L16" s="864"/>
      <c r="M16" s="865">
        <f t="shared" si="7"/>
        <v>620</v>
      </c>
      <c r="N16" s="820"/>
      <c r="O16" s="699"/>
      <c r="P16" s="857"/>
      <c r="Q16" s="702">
        <f t="shared" si="1"/>
        <v>0</v>
      </c>
      <c r="R16" s="700"/>
      <c r="S16" s="701"/>
      <c r="T16" s="867">
        <f t="shared" si="3"/>
        <v>0</v>
      </c>
      <c r="U16" s="737">
        <f t="shared" si="10"/>
        <v>18568</v>
      </c>
    </row>
    <row r="17" spans="1:21" ht="15.75" x14ac:dyDescent="0.25">
      <c r="A17" s="864"/>
      <c r="B17" s="865">
        <f t="shared" si="4"/>
        <v>452</v>
      </c>
      <c r="C17" s="820">
        <v>24</v>
      </c>
      <c r="D17" s="699">
        <v>712.8</v>
      </c>
      <c r="E17" s="857">
        <v>44884</v>
      </c>
      <c r="F17" s="702">
        <f t="shared" si="5"/>
        <v>712.8</v>
      </c>
      <c r="G17" s="700" t="s">
        <v>291</v>
      </c>
      <c r="H17" s="701">
        <v>50</v>
      </c>
      <c r="I17" s="867">
        <f t="shared" si="2"/>
        <v>35640</v>
      </c>
      <c r="J17" s="737">
        <f t="shared" si="9"/>
        <v>12890.699999999995</v>
      </c>
      <c r="L17" s="864"/>
      <c r="M17" s="865">
        <f t="shared" si="7"/>
        <v>620</v>
      </c>
      <c r="N17" s="820"/>
      <c r="O17" s="699"/>
      <c r="P17" s="857"/>
      <c r="Q17" s="702">
        <f t="shared" si="1"/>
        <v>0</v>
      </c>
      <c r="R17" s="700"/>
      <c r="S17" s="701"/>
      <c r="T17" s="867">
        <f t="shared" si="3"/>
        <v>0</v>
      </c>
      <c r="U17" s="737">
        <f t="shared" si="10"/>
        <v>18568</v>
      </c>
    </row>
    <row r="18" spans="1:21" ht="15.75" x14ac:dyDescent="0.25">
      <c r="A18" s="864"/>
      <c r="B18" s="865">
        <f t="shared" si="4"/>
        <v>428</v>
      </c>
      <c r="C18" s="820">
        <v>24</v>
      </c>
      <c r="D18" s="699">
        <v>714.4</v>
      </c>
      <c r="E18" s="857">
        <v>44888</v>
      </c>
      <c r="F18" s="702">
        <f t="shared" si="5"/>
        <v>714.4</v>
      </c>
      <c r="G18" s="700" t="s">
        <v>296</v>
      </c>
      <c r="H18" s="701">
        <v>50</v>
      </c>
      <c r="I18" s="867">
        <f t="shared" si="2"/>
        <v>35720</v>
      </c>
      <c r="J18" s="737">
        <f t="shared" si="9"/>
        <v>12176.299999999996</v>
      </c>
      <c r="L18" s="864"/>
      <c r="M18" s="865">
        <f t="shared" si="7"/>
        <v>620</v>
      </c>
      <c r="N18" s="820"/>
      <c r="O18" s="699"/>
      <c r="P18" s="857"/>
      <c r="Q18" s="702">
        <f t="shared" si="1"/>
        <v>0</v>
      </c>
      <c r="R18" s="700"/>
      <c r="S18" s="701"/>
      <c r="T18" s="867">
        <f t="shared" si="3"/>
        <v>0</v>
      </c>
      <c r="U18" s="737">
        <f t="shared" si="10"/>
        <v>18568</v>
      </c>
    </row>
    <row r="19" spans="1:21" x14ac:dyDescent="0.25">
      <c r="A19" s="735"/>
      <c r="B19" s="822">
        <f t="shared" si="4"/>
        <v>404</v>
      </c>
      <c r="C19" s="820">
        <v>24</v>
      </c>
      <c r="D19" s="699">
        <v>691.4</v>
      </c>
      <c r="E19" s="857">
        <v>44891</v>
      </c>
      <c r="F19" s="702">
        <f t="shared" si="5"/>
        <v>691.4</v>
      </c>
      <c r="G19" s="700" t="s">
        <v>313</v>
      </c>
      <c r="H19" s="701">
        <v>50</v>
      </c>
      <c r="I19" s="867">
        <f t="shared" si="2"/>
        <v>34570</v>
      </c>
      <c r="J19" s="823">
        <f t="shared" si="9"/>
        <v>11484.899999999996</v>
      </c>
      <c r="L19" s="735"/>
      <c r="M19" s="865">
        <f t="shared" si="7"/>
        <v>620</v>
      </c>
      <c r="N19" s="820"/>
      <c r="O19" s="699"/>
      <c r="P19" s="857"/>
      <c r="Q19" s="702">
        <f t="shared" si="1"/>
        <v>0</v>
      </c>
      <c r="R19" s="700"/>
      <c r="S19" s="701"/>
      <c r="T19" s="867">
        <f t="shared" si="3"/>
        <v>0</v>
      </c>
      <c r="U19" s="737">
        <f t="shared" si="10"/>
        <v>18568</v>
      </c>
    </row>
    <row r="20" spans="1:21" x14ac:dyDescent="0.25">
      <c r="A20" s="735"/>
      <c r="B20" s="865">
        <f t="shared" si="4"/>
        <v>404</v>
      </c>
      <c r="C20" s="820"/>
      <c r="D20" s="992"/>
      <c r="E20" s="993"/>
      <c r="F20" s="994">
        <f t="shared" si="5"/>
        <v>0</v>
      </c>
      <c r="G20" s="995"/>
      <c r="H20" s="996"/>
      <c r="I20" s="867">
        <f t="shared" si="2"/>
        <v>0</v>
      </c>
      <c r="J20" s="737">
        <f t="shared" si="9"/>
        <v>11484.899999999996</v>
      </c>
      <c r="L20" s="735"/>
      <c r="M20" s="865">
        <f t="shared" si="7"/>
        <v>620</v>
      </c>
      <c r="N20" s="820"/>
      <c r="O20" s="699"/>
      <c r="P20" s="857"/>
      <c r="Q20" s="702">
        <f t="shared" si="1"/>
        <v>0</v>
      </c>
      <c r="R20" s="700"/>
      <c r="S20" s="996"/>
      <c r="T20" s="867">
        <f t="shared" si="3"/>
        <v>0</v>
      </c>
      <c r="U20" s="737">
        <f t="shared" si="10"/>
        <v>18568</v>
      </c>
    </row>
    <row r="21" spans="1:21" x14ac:dyDescent="0.25">
      <c r="B21" s="865">
        <f t="shared" si="4"/>
        <v>404</v>
      </c>
      <c r="C21" s="820"/>
      <c r="D21" s="992"/>
      <c r="E21" s="993"/>
      <c r="F21" s="994">
        <f t="shared" si="5"/>
        <v>0</v>
      </c>
      <c r="G21" s="995"/>
      <c r="H21" s="996"/>
      <c r="I21" s="867">
        <f t="shared" si="2"/>
        <v>0</v>
      </c>
      <c r="J21" s="737">
        <f t="shared" si="9"/>
        <v>11484.899999999996</v>
      </c>
      <c r="M21" s="865">
        <f t="shared" si="7"/>
        <v>620</v>
      </c>
      <c r="N21" s="820"/>
      <c r="O21" s="699"/>
      <c r="P21" s="857"/>
      <c r="Q21" s="702">
        <f t="shared" si="1"/>
        <v>0</v>
      </c>
      <c r="R21" s="700"/>
      <c r="S21" s="996"/>
      <c r="T21" s="867">
        <f t="shared" si="3"/>
        <v>0</v>
      </c>
      <c r="U21" s="737">
        <f t="shared" si="10"/>
        <v>18568</v>
      </c>
    </row>
    <row r="22" spans="1:21" x14ac:dyDescent="0.25">
      <c r="B22" s="865">
        <f t="shared" si="4"/>
        <v>404</v>
      </c>
      <c r="C22" s="820"/>
      <c r="D22" s="992"/>
      <c r="E22" s="993"/>
      <c r="F22" s="994">
        <f t="shared" si="5"/>
        <v>0</v>
      </c>
      <c r="G22" s="995"/>
      <c r="H22" s="996"/>
      <c r="I22" s="867">
        <f t="shared" si="2"/>
        <v>0</v>
      </c>
      <c r="J22" s="737">
        <f t="shared" si="9"/>
        <v>11484.899999999996</v>
      </c>
      <c r="M22" s="865">
        <f t="shared" si="7"/>
        <v>620</v>
      </c>
      <c r="N22" s="820"/>
      <c r="O22" s="699"/>
      <c r="P22" s="857"/>
      <c r="Q22" s="702">
        <f t="shared" si="1"/>
        <v>0</v>
      </c>
      <c r="R22" s="700"/>
      <c r="S22" s="996"/>
      <c r="T22" s="867">
        <f t="shared" si="3"/>
        <v>0</v>
      </c>
      <c r="U22" s="737">
        <f t="shared" si="10"/>
        <v>18568</v>
      </c>
    </row>
    <row r="23" spans="1:21" x14ac:dyDescent="0.25">
      <c r="B23" s="865">
        <f t="shared" si="4"/>
        <v>404</v>
      </c>
      <c r="C23" s="820"/>
      <c r="D23" s="992"/>
      <c r="E23" s="993"/>
      <c r="F23" s="994">
        <f t="shared" si="5"/>
        <v>0</v>
      </c>
      <c r="G23" s="995"/>
      <c r="H23" s="996"/>
      <c r="I23" s="867">
        <f t="shared" si="2"/>
        <v>0</v>
      </c>
      <c r="J23" s="737">
        <f t="shared" si="9"/>
        <v>11484.899999999996</v>
      </c>
      <c r="M23" s="865">
        <f t="shared" si="7"/>
        <v>620</v>
      </c>
      <c r="N23" s="820"/>
      <c r="O23" s="699"/>
      <c r="P23" s="857"/>
      <c r="Q23" s="702">
        <f t="shared" si="1"/>
        <v>0</v>
      </c>
      <c r="R23" s="700"/>
      <c r="S23" s="996"/>
      <c r="T23" s="867">
        <f t="shared" si="3"/>
        <v>0</v>
      </c>
      <c r="U23" s="737">
        <f t="shared" si="10"/>
        <v>18568</v>
      </c>
    </row>
    <row r="24" spans="1:21" x14ac:dyDescent="0.25">
      <c r="B24" s="865">
        <f t="shared" si="4"/>
        <v>404</v>
      </c>
      <c r="C24" s="820"/>
      <c r="D24" s="992"/>
      <c r="E24" s="993"/>
      <c r="F24" s="994">
        <f t="shared" si="5"/>
        <v>0</v>
      </c>
      <c r="G24" s="995"/>
      <c r="H24" s="996"/>
      <c r="I24" s="867">
        <f t="shared" si="2"/>
        <v>0</v>
      </c>
      <c r="J24" s="737">
        <f t="shared" si="9"/>
        <v>11484.899999999996</v>
      </c>
      <c r="M24" s="865">
        <f t="shared" si="7"/>
        <v>620</v>
      </c>
      <c r="N24" s="820"/>
      <c r="O24" s="699"/>
      <c r="P24" s="857"/>
      <c r="Q24" s="702">
        <f t="shared" si="1"/>
        <v>0</v>
      </c>
      <c r="R24" s="700"/>
      <c r="S24" s="996"/>
      <c r="T24" s="867">
        <f t="shared" si="3"/>
        <v>0</v>
      </c>
      <c r="U24" s="737">
        <f t="shared" si="10"/>
        <v>18568</v>
      </c>
    </row>
    <row r="25" spans="1:21" x14ac:dyDescent="0.25">
      <c r="B25" s="865">
        <f t="shared" si="4"/>
        <v>404</v>
      </c>
      <c r="C25" s="820"/>
      <c r="D25" s="992"/>
      <c r="E25" s="993"/>
      <c r="F25" s="994">
        <f t="shared" si="5"/>
        <v>0</v>
      </c>
      <c r="G25" s="995"/>
      <c r="H25" s="996"/>
      <c r="I25" s="867">
        <f t="shared" si="2"/>
        <v>0</v>
      </c>
      <c r="J25" s="737">
        <f t="shared" si="9"/>
        <v>11484.899999999996</v>
      </c>
      <c r="M25" s="865">
        <f t="shared" si="7"/>
        <v>620</v>
      </c>
      <c r="N25" s="820"/>
      <c r="O25" s="699"/>
      <c r="P25" s="857"/>
      <c r="Q25" s="702">
        <f t="shared" si="1"/>
        <v>0</v>
      </c>
      <c r="R25" s="700"/>
      <c r="S25" s="996"/>
      <c r="T25" s="867">
        <f t="shared" si="3"/>
        <v>0</v>
      </c>
      <c r="U25" s="737">
        <f t="shared" si="10"/>
        <v>18568</v>
      </c>
    </row>
    <row r="26" spans="1:21" x14ac:dyDescent="0.25">
      <c r="B26" s="865">
        <f t="shared" si="4"/>
        <v>404</v>
      </c>
      <c r="C26" s="820"/>
      <c r="D26" s="992"/>
      <c r="E26" s="993"/>
      <c r="F26" s="994">
        <f t="shared" si="5"/>
        <v>0</v>
      </c>
      <c r="G26" s="995"/>
      <c r="H26" s="996"/>
      <c r="I26" s="867">
        <f t="shared" si="2"/>
        <v>0</v>
      </c>
      <c r="J26" s="737">
        <f t="shared" si="9"/>
        <v>11484.899999999996</v>
      </c>
      <c r="M26" s="865">
        <f t="shared" si="7"/>
        <v>620</v>
      </c>
      <c r="N26" s="820"/>
      <c r="O26" s="699"/>
      <c r="P26" s="857"/>
      <c r="Q26" s="702">
        <f t="shared" si="1"/>
        <v>0</v>
      </c>
      <c r="R26" s="700"/>
      <c r="S26" s="996"/>
      <c r="T26" s="867">
        <f t="shared" si="3"/>
        <v>0</v>
      </c>
      <c r="U26" s="737">
        <f t="shared" si="10"/>
        <v>18568</v>
      </c>
    </row>
    <row r="27" spans="1:21" x14ac:dyDescent="0.25">
      <c r="B27" s="865">
        <f t="shared" si="4"/>
        <v>404</v>
      </c>
      <c r="C27" s="820"/>
      <c r="D27" s="992"/>
      <c r="E27" s="993"/>
      <c r="F27" s="994">
        <f t="shared" si="5"/>
        <v>0</v>
      </c>
      <c r="G27" s="995"/>
      <c r="H27" s="996"/>
      <c r="I27" s="867">
        <f t="shared" si="2"/>
        <v>0</v>
      </c>
      <c r="J27" s="737">
        <f t="shared" si="9"/>
        <v>11484.899999999996</v>
      </c>
      <c r="M27" s="865">
        <f t="shared" si="7"/>
        <v>620</v>
      </c>
      <c r="N27" s="820"/>
      <c r="O27" s="699"/>
      <c r="P27" s="857"/>
      <c r="Q27" s="702">
        <f t="shared" si="1"/>
        <v>0</v>
      </c>
      <c r="R27" s="700"/>
      <c r="S27" s="996"/>
      <c r="T27" s="867">
        <f t="shared" si="3"/>
        <v>0</v>
      </c>
      <c r="U27" s="737">
        <f t="shared" si="10"/>
        <v>18568</v>
      </c>
    </row>
    <row r="28" spans="1:21" x14ac:dyDescent="0.25">
      <c r="B28" s="865">
        <f t="shared" si="4"/>
        <v>404</v>
      </c>
      <c r="C28" s="820"/>
      <c r="D28" s="994"/>
      <c r="E28" s="993"/>
      <c r="F28" s="994">
        <f t="shared" si="5"/>
        <v>0</v>
      </c>
      <c r="G28" s="995"/>
      <c r="H28" s="996"/>
      <c r="I28" s="867">
        <f t="shared" si="2"/>
        <v>0</v>
      </c>
      <c r="J28" s="737">
        <f t="shared" si="9"/>
        <v>11484.899999999996</v>
      </c>
      <c r="M28" s="865">
        <f t="shared" si="7"/>
        <v>620</v>
      </c>
      <c r="N28" s="820"/>
      <c r="O28" s="702"/>
      <c r="P28" s="857"/>
      <c r="Q28" s="702">
        <f t="shared" si="1"/>
        <v>0</v>
      </c>
      <c r="R28" s="700"/>
      <c r="S28" s="996"/>
      <c r="T28" s="867">
        <f t="shared" si="3"/>
        <v>0</v>
      </c>
      <c r="U28" s="737">
        <f t="shared" si="10"/>
        <v>18568</v>
      </c>
    </row>
    <row r="29" spans="1:21" ht="15.75" thickBot="1" x14ac:dyDescent="0.3">
      <c r="B29" s="865">
        <f t="shared" si="4"/>
        <v>404</v>
      </c>
      <c r="C29" s="820"/>
      <c r="D29" s="994"/>
      <c r="E29" s="993"/>
      <c r="F29" s="994">
        <f t="shared" si="5"/>
        <v>0</v>
      </c>
      <c r="G29" s="995"/>
      <c r="H29" s="996"/>
      <c r="I29" s="868">
        <f t="shared" si="2"/>
        <v>0</v>
      </c>
      <c r="J29" s="737">
        <f t="shared" si="9"/>
        <v>11484.899999999996</v>
      </c>
      <c r="M29" s="865">
        <f t="shared" si="7"/>
        <v>620</v>
      </c>
      <c r="N29" s="820"/>
      <c r="O29" s="702"/>
      <c r="P29" s="857"/>
      <c r="Q29" s="702">
        <f t="shared" si="1"/>
        <v>0</v>
      </c>
      <c r="R29" s="700"/>
      <c r="S29" s="996"/>
      <c r="T29" s="868">
        <f t="shared" si="3"/>
        <v>0</v>
      </c>
      <c r="U29" s="737">
        <f t="shared" si="10"/>
        <v>18568</v>
      </c>
    </row>
    <row r="30" spans="1:21" ht="15.75" thickBot="1" x14ac:dyDescent="0.3">
      <c r="B30" s="865">
        <f t="shared" si="4"/>
        <v>404</v>
      </c>
      <c r="C30" s="869"/>
      <c r="D30" s="1008">
        <f t="shared" ref="D30" si="11">C30*B30</f>
        <v>0</v>
      </c>
      <c r="E30" s="1009"/>
      <c r="F30" s="1008">
        <f t="shared" si="5"/>
        <v>0</v>
      </c>
      <c r="G30" s="1010"/>
      <c r="H30" s="1011"/>
      <c r="I30" s="870">
        <f t="shared" si="2"/>
        <v>0</v>
      </c>
      <c r="J30" s="737">
        <f t="shared" si="9"/>
        <v>11484.899999999996</v>
      </c>
      <c r="M30" s="865">
        <f t="shared" si="7"/>
        <v>620</v>
      </c>
      <c r="N30" s="869"/>
      <c r="O30" s="1133">
        <f t="shared" ref="O30" si="12">N30*M30</f>
        <v>0</v>
      </c>
      <c r="P30" s="1134"/>
      <c r="Q30" s="1133">
        <f t="shared" si="1"/>
        <v>0</v>
      </c>
      <c r="R30" s="1135"/>
      <c r="S30" s="1011"/>
      <c r="T30" s="870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0">
        <f>SUM(C9:C30)</f>
        <v>264</v>
      </c>
      <c r="D31" s="871">
        <f>SUM(D9:D30)</f>
        <v>7519.6</v>
      </c>
      <c r="E31" s="872"/>
      <c r="F31" s="702">
        <f>SUM(F9:F30)</f>
        <v>7519.6</v>
      </c>
      <c r="G31" s="873"/>
      <c r="H31" s="870"/>
      <c r="I31" s="874">
        <f>SUM(I9:I30)</f>
        <v>375980</v>
      </c>
      <c r="J31" s="735"/>
      <c r="M31" s="735"/>
      <c r="N31" s="820">
        <f>SUM(N9:N30)</f>
        <v>0</v>
      </c>
      <c r="O31" s="871">
        <f>SUM(O9:O30)</f>
        <v>0</v>
      </c>
      <c r="P31" s="872"/>
      <c r="Q31" s="702">
        <f>SUM(Q9:Q30)</f>
        <v>0</v>
      </c>
      <c r="R31" s="873"/>
      <c r="S31" s="870"/>
      <c r="T31" s="874">
        <f>SUM(T9:T30)</f>
        <v>0</v>
      </c>
      <c r="U31" s="735"/>
    </row>
    <row r="32" spans="1:21" ht="15.75" thickBot="1" x14ac:dyDescent="0.3">
      <c r="B32" s="735"/>
      <c r="C32" s="820"/>
      <c r="D32" s="875"/>
      <c r="E32" s="872"/>
      <c r="F32" s="875"/>
      <c r="G32" s="873"/>
      <c r="H32" s="870"/>
      <c r="I32" s="735"/>
      <c r="J32" s="735"/>
      <c r="M32" s="735"/>
      <c r="N32" s="820"/>
      <c r="O32" s="875"/>
      <c r="P32" s="872"/>
      <c r="Q32" s="875"/>
      <c r="R32" s="873"/>
      <c r="S32" s="870"/>
      <c r="T32" s="735"/>
      <c r="U32" s="735"/>
    </row>
    <row r="33" spans="2:21" x14ac:dyDescent="0.25">
      <c r="B33" s="735"/>
      <c r="C33" s="876" t="s">
        <v>4</v>
      </c>
      <c r="D33" s="877">
        <f>F4+F5+F6+F7-C31</f>
        <v>404</v>
      </c>
      <c r="E33" s="878"/>
      <c r="F33" s="875"/>
      <c r="G33" s="873"/>
      <c r="H33" s="870"/>
      <c r="I33" s="735"/>
      <c r="J33" s="735"/>
      <c r="M33" s="735"/>
      <c r="N33" s="876" t="s">
        <v>4</v>
      </c>
      <c r="O33" s="877">
        <f>Q4+Q5+Q6+Q7-N31</f>
        <v>620</v>
      </c>
      <c r="P33" s="878"/>
      <c r="Q33" s="875"/>
      <c r="R33" s="873"/>
      <c r="S33" s="870"/>
      <c r="T33" s="735"/>
      <c r="U33" s="735"/>
    </row>
    <row r="34" spans="2:21" x14ac:dyDescent="0.25">
      <c r="B34" s="735"/>
      <c r="C34" s="1327" t="s">
        <v>19</v>
      </c>
      <c r="D34" s="1328"/>
      <c r="E34" s="879">
        <f>E4+E5+E6+E7-F31</f>
        <v>11484.9</v>
      </c>
      <c r="F34" s="875"/>
      <c r="G34" s="875"/>
      <c r="H34" s="870"/>
      <c r="I34" s="735"/>
      <c r="J34" s="735"/>
      <c r="M34" s="735"/>
      <c r="N34" s="1327" t="s">
        <v>19</v>
      </c>
      <c r="O34" s="1328"/>
      <c r="P34" s="879">
        <f>P4+P5+P6+P7-Q31</f>
        <v>18568</v>
      </c>
      <c r="Q34" s="875"/>
      <c r="R34" s="875"/>
      <c r="S34" s="870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29" t="s">
        <v>331</v>
      </c>
      <c r="B1" s="1329"/>
      <c r="C1" s="1329"/>
      <c r="D1" s="1329"/>
      <c r="E1" s="1329"/>
      <c r="F1" s="1329"/>
      <c r="G1" s="1329"/>
      <c r="H1" s="1329"/>
      <c r="I1" s="1329"/>
      <c r="J1" s="99">
        <v>1</v>
      </c>
      <c r="L1" s="1329" t="str">
        <f>A1</f>
        <v>INVENTARIO      DEL MES DE   NOVIEMBRE       2022</v>
      </c>
      <c r="M1" s="1329"/>
      <c r="N1" s="1329"/>
      <c r="O1" s="1329"/>
      <c r="P1" s="1329"/>
      <c r="Q1" s="1329"/>
      <c r="R1" s="1329"/>
      <c r="S1" s="1329"/>
      <c r="T1" s="1329"/>
      <c r="U1" s="99">
        <v>2</v>
      </c>
      <c r="W1" s="1329" t="str">
        <f>L1</f>
        <v>INVENTARIO      DEL MES DE   NOVIEMBRE       2022</v>
      </c>
      <c r="X1" s="1329"/>
      <c r="Y1" s="1329"/>
      <c r="Z1" s="1329"/>
      <c r="AA1" s="1329"/>
      <c r="AB1" s="1329"/>
      <c r="AC1" s="1329"/>
      <c r="AD1" s="1329"/>
      <c r="AE1" s="132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5">
        <v>1299.74</v>
      </c>
      <c r="Q4" s="856">
        <v>48</v>
      </c>
      <c r="R4" s="73"/>
      <c r="W4" s="887"/>
      <c r="X4" s="735"/>
      <c r="Y4" s="883"/>
      <c r="Z4" s="884"/>
      <c r="AA4" s="885"/>
      <c r="AB4" s="886"/>
      <c r="AC4" s="73"/>
    </row>
    <row r="5" spans="1:32" ht="15" customHeight="1" x14ac:dyDescent="0.25">
      <c r="A5" s="1331" t="s">
        <v>52</v>
      </c>
      <c r="B5" s="1332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331" t="s">
        <v>52</v>
      </c>
      <c r="M5" s="1332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330" t="s">
        <v>222</v>
      </c>
      <c r="X5" s="1333" t="s">
        <v>87</v>
      </c>
      <c r="Y5" s="883"/>
      <c r="Z5" s="884">
        <v>44867</v>
      </c>
      <c r="AA5" s="885">
        <v>18564</v>
      </c>
      <c r="AB5" s="886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331"/>
      <c r="B6" s="1288"/>
      <c r="C6" s="236">
        <v>85</v>
      </c>
      <c r="D6" s="336">
        <v>44764</v>
      </c>
      <c r="E6" s="255">
        <v>4005.63</v>
      </c>
      <c r="F6" s="241">
        <v>160</v>
      </c>
      <c r="G6" s="73"/>
      <c r="L6" s="1331"/>
      <c r="M6" s="1288"/>
      <c r="N6" s="236"/>
      <c r="O6" s="336"/>
      <c r="P6" s="255"/>
      <c r="Q6" s="241"/>
      <c r="R6" s="73"/>
      <c r="W6" s="1330"/>
      <c r="X6" s="1334"/>
      <c r="Y6" s="883"/>
      <c r="Z6" s="884"/>
      <c r="AA6" s="885"/>
      <c r="AB6" s="886"/>
      <c r="AC6" s="73"/>
    </row>
    <row r="7" spans="1:32" ht="15.75" customHeight="1" thickBot="1" x14ac:dyDescent="0.35">
      <c r="A7" s="1331"/>
      <c r="B7" s="1288"/>
      <c r="C7" s="236"/>
      <c r="D7" s="336"/>
      <c r="E7" s="255">
        <v>1.05</v>
      </c>
      <c r="F7" s="241"/>
      <c r="G7" s="73"/>
      <c r="I7" s="372"/>
      <c r="J7" s="372"/>
      <c r="L7" s="1331"/>
      <c r="M7" s="1288"/>
      <c r="N7" s="236"/>
      <c r="O7" s="336"/>
      <c r="P7" s="255"/>
      <c r="Q7" s="241"/>
      <c r="R7" s="73"/>
      <c r="T7" s="372"/>
      <c r="U7" s="372"/>
      <c r="W7" s="1330"/>
      <c r="X7" s="1335"/>
      <c r="Y7" s="883"/>
      <c r="Z7" s="884"/>
      <c r="AA7" s="885"/>
      <c r="AB7" s="88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322" t="s">
        <v>47</v>
      </c>
      <c r="J8" s="1336" t="s">
        <v>4</v>
      </c>
      <c r="M8" s="413"/>
      <c r="N8" s="236"/>
      <c r="O8" s="336"/>
      <c r="P8" s="239"/>
      <c r="Q8" s="240"/>
      <c r="R8" s="73"/>
      <c r="T8" s="1322" t="s">
        <v>47</v>
      </c>
      <c r="U8" s="1336" t="s">
        <v>4</v>
      </c>
      <c r="W8" s="3"/>
      <c r="X8" s="413"/>
      <c r="Y8" s="236"/>
      <c r="Z8" s="336"/>
      <c r="AA8" s="239"/>
      <c r="AB8" s="240"/>
      <c r="AC8" s="73"/>
      <c r="AE8" s="1322" t="s">
        <v>47</v>
      </c>
      <c r="AF8" s="133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3"/>
      <c r="J9" s="133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23"/>
      <c r="U9" s="133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23"/>
      <c r="AF9" s="1337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36">
        <f>P4+P5+P6-Q10+P7+P8</f>
        <v>1299.74</v>
      </c>
      <c r="U10" s="83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36">
        <f>AA4+AA5+AA6-AB10+AA7+AA8</f>
        <v>18564</v>
      </c>
      <c r="AF10" s="83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6">
        <f t="shared" si="11"/>
        <v>1819.0800000000013</v>
      </c>
      <c r="J75" s="837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44">
        <v>160.03</v>
      </c>
      <c r="E76" s="850">
        <v>44866</v>
      </c>
      <c r="F76" s="838">
        <f t="shared" si="6"/>
        <v>160.03</v>
      </c>
      <c r="G76" s="840" t="s">
        <v>236</v>
      </c>
      <c r="H76" s="84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44">
        <v>106.31</v>
      </c>
      <c r="E77" s="850">
        <v>44867</v>
      </c>
      <c r="F77" s="838">
        <f t="shared" si="6"/>
        <v>106.31</v>
      </c>
      <c r="G77" s="840" t="s">
        <v>237</v>
      </c>
      <c r="H77" s="84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44">
        <v>204.06</v>
      </c>
      <c r="E78" s="850">
        <v>44869</v>
      </c>
      <c r="F78" s="838">
        <f t="shared" si="6"/>
        <v>204.06</v>
      </c>
      <c r="G78" s="840" t="s">
        <v>242</v>
      </c>
      <c r="H78" s="84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44">
        <v>127.98</v>
      </c>
      <c r="E79" s="850">
        <v>44874</v>
      </c>
      <c r="F79" s="838">
        <f t="shared" si="6"/>
        <v>127.98</v>
      </c>
      <c r="G79" s="840" t="s">
        <v>255</v>
      </c>
      <c r="H79" s="84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44">
        <v>26.52</v>
      </c>
      <c r="E80" s="850">
        <v>44875</v>
      </c>
      <c r="F80" s="838">
        <f t="shared" si="6"/>
        <v>26.52</v>
      </c>
      <c r="G80" s="840" t="s">
        <v>259</v>
      </c>
      <c r="H80" s="84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44">
        <v>19.899999999999999</v>
      </c>
      <c r="E81" s="850">
        <v>44875</v>
      </c>
      <c r="F81" s="838">
        <f t="shared" si="6"/>
        <v>19.899999999999999</v>
      </c>
      <c r="G81" s="840" t="s">
        <v>260</v>
      </c>
      <c r="H81" s="84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44">
        <v>50.72</v>
      </c>
      <c r="E82" s="850">
        <v>44877</v>
      </c>
      <c r="F82" s="838">
        <f t="shared" si="6"/>
        <v>50.72</v>
      </c>
      <c r="G82" s="840" t="s">
        <v>267</v>
      </c>
      <c r="H82" s="84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44">
        <v>108.24</v>
      </c>
      <c r="E83" s="850">
        <v>44877</v>
      </c>
      <c r="F83" s="838">
        <f t="shared" si="6"/>
        <v>108.24</v>
      </c>
      <c r="G83" s="840" t="s">
        <v>270</v>
      </c>
      <c r="H83" s="84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44">
        <v>105.45</v>
      </c>
      <c r="E84" s="850">
        <v>44880</v>
      </c>
      <c r="F84" s="838">
        <f t="shared" si="6"/>
        <v>105.45</v>
      </c>
      <c r="G84" s="840" t="s">
        <v>278</v>
      </c>
      <c r="H84" s="84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44">
        <v>79.87</v>
      </c>
      <c r="E85" s="850">
        <v>44881</v>
      </c>
      <c r="F85" s="838">
        <f t="shared" si="6"/>
        <v>79.87</v>
      </c>
      <c r="G85" s="840" t="s">
        <v>280</v>
      </c>
      <c r="H85" s="84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44">
        <v>54.7</v>
      </c>
      <c r="E86" s="850">
        <v>44883</v>
      </c>
      <c r="F86" s="838">
        <f t="shared" si="6"/>
        <v>54.7</v>
      </c>
      <c r="G86" s="840" t="s">
        <v>286</v>
      </c>
      <c r="H86" s="84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44">
        <v>213.28</v>
      </c>
      <c r="E87" s="850">
        <v>44883</v>
      </c>
      <c r="F87" s="838">
        <f t="shared" si="6"/>
        <v>213.28</v>
      </c>
      <c r="G87" s="840" t="s">
        <v>287</v>
      </c>
      <c r="H87" s="84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44">
        <v>26.14</v>
      </c>
      <c r="E88" s="850">
        <v>44883</v>
      </c>
      <c r="F88" s="838">
        <f t="shared" si="6"/>
        <v>26.14</v>
      </c>
      <c r="G88" s="840" t="s">
        <v>290</v>
      </c>
      <c r="H88" s="84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44">
        <v>137.38999999999999</v>
      </c>
      <c r="E89" s="850">
        <v>44889</v>
      </c>
      <c r="F89" s="838">
        <f t="shared" si="6"/>
        <v>137.38999999999999</v>
      </c>
      <c r="G89" s="840" t="s">
        <v>303</v>
      </c>
      <c r="H89" s="84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44">
        <v>72.59</v>
      </c>
      <c r="E90" s="850">
        <v>44890</v>
      </c>
      <c r="F90" s="838">
        <f t="shared" si="6"/>
        <v>72.59</v>
      </c>
      <c r="G90" s="840" t="s">
        <v>306</v>
      </c>
      <c r="H90" s="84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44">
        <v>55.23</v>
      </c>
      <c r="E91" s="850">
        <v>44890</v>
      </c>
      <c r="F91" s="838">
        <f t="shared" si="6"/>
        <v>55.23</v>
      </c>
      <c r="G91" s="840" t="s">
        <v>308</v>
      </c>
      <c r="H91" s="84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44">
        <v>154</v>
      </c>
      <c r="E92" s="850">
        <v>44891</v>
      </c>
      <c r="F92" s="838">
        <f t="shared" si="6"/>
        <v>154</v>
      </c>
      <c r="G92" s="840" t="s">
        <v>316</v>
      </c>
      <c r="H92" s="841">
        <v>84</v>
      </c>
      <c r="I92" s="836">
        <f t="shared" ref="I92:I101" si="19">I91-F92</f>
        <v>116.67000000000121</v>
      </c>
      <c r="J92" s="837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44"/>
      <c r="E93" s="850"/>
      <c r="F93" s="838">
        <f t="shared" si="6"/>
        <v>0</v>
      </c>
      <c r="G93" s="840"/>
      <c r="H93" s="841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44"/>
      <c r="E94" s="850"/>
      <c r="F94" s="838">
        <f t="shared" si="6"/>
        <v>0</v>
      </c>
      <c r="G94" s="840"/>
      <c r="H94" s="841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44"/>
      <c r="E95" s="850"/>
      <c r="F95" s="838">
        <f t="shared" si="6"/>
        <v>0</v>
      </c>
      <c r="G95" s="840"/>
      <c r="H95" s="841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44"/>
      <c r="E96" s="850"/>
      <c r="F96" s="838">
        <f t="shared" si="6"/>
        <v>0</v>
      </c>
      <c r="G96" s="840"/>
      <c r="H96" s="841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44"/>
      <c r="E97" s="850"/>
      <c r="F97" s="838">
        <f t="shared" si="6"/>
        <v>0</v>
      </c>
      <c r="G97" s="840"/>
      <c r="H97" s="841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44"/>
      <c r="E98" s="850"/>
      <c r="F98" s="838">
        <f t="shared" si="6"/>
        <v>0</v>
      </c>
      <c r="G98" s="840"/>
      <c r="H98" s="841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44"/>
      <c r="E99" s="850"/>
      <c r="F99" s="838">
        <f t="shared" si="6"/>
        <v>0</v>
      </c>
      <c r="G99" s="840"/>
      <c r="H99" s="841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44"/>
      <c r="E100" s="850"/>
      <c r="F100" s="838">
        <f t="shared" si="6"/>
        <v>0</v>
      </c>
      <c r="G100" s="840"/>
      <c r="H100" s="841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5">
        <v>0</v>
      </c>
      <c r="E101" s="956"/>
      <c r="F101" s="950">
        <f t="shared" si="6"/>
        <v>0</v>
      </c>
      <c r="G101" s="951"/>
      <c r="H101" s="957"/>
      <c r="I101" s="958">
        <f t="shared" si="19"/>
        <v>116.67000000000121</v>
      </c>
      <c r="J101" s="95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13" t="s">
        <v>11</v>
      </c>
      <c r="D105" s="1314"/>
      <c r="E105" s="145">
        <f>E5+E4+E6+-F102+E7</f>
        <v>116.6700000000008</v>
      </c>
      <c r="F105" s="5"/>
      <c r="L105" s="47"/>
      <c r="N105" s="1313" t="s">
        <v>11</v>
      </c>
      <c r="O105" s="1314"/>
      <c r="P105" s="145">
        <f>P5+P4+P6+-Q102+P7</f>
        <v>1299.74</v>
      </c>
      <c r="Q105" s="5"/>
      <c r="W105" s="47"/>
      <c r="Y105" s="1313" t="s">
        <v>11</v>
      </c>
      <c r="Z105" s="1314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9"/>
      <c r="B1" s="1279"/>
      <c r="C1" s="1279"/>
      <c r="D1" s="1279"/>
      <c r="E1" s="1279"/>
      <c r="F1" s="1279"/>
      <c r="G1" s="12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40"/>
      <c r="B5" s="1342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41"/>
      <c r="B6" s="1343"/>
      <c r="C6" s="225"/>
      <c r="D6" s="118"/>
      <c r="E6" s="493"/>
      <c r="F6" s="240"/>
      <c r="I6" s="1344" t="s">
        <v>3</v>
      </c>
      <c r="J6" s="13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5"/>
      <c r="J7" s="1339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3" t="s">
        <v>11</v>
      </c>
      <c r="D100" s="131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9"/>
      <c r="B1" s="1279"/>
      <c r="C1" s="1279"/>
      <c r="D1" s="1279"/>
      <c r="E1" s="1279"/>
      <c r="F1" s="1279"/>
      <c r="G1" s="12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09"/>
      <c r="B5" s="1346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10"/>
      <c r="B6" s="1347"/>
      <c r="C6" s="225"/>
      <c r="D6" s="118"/>
      <c r="E6" s="144"/>
      <c r="F6" s="241"/>
      <c r="I6" s="1344" t="s">
        <v>3</v>
      </c>
      <c r="J6" s="13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5"/>
      <c r="J7" s="1339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3" t="s">
        <v>11</v>
      </c>
      <c r="D33" s="131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9" t="s">
        <v>332</v>
      </c>
      <c r="B1" s="1329"/>
      <c r="C1" s="1329"/>
      <c r="D1" s="1329"/>
      <c r="E1" s="1329"/>
      <c r="F1" s="1329"/>
      <c r="G1" s="1329"/>
      <c r="H1" s="1329"/>
      <c r="I1" s="132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48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49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49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22" t="s">
        <v>47</v>
      </c>
      <c r="J8" s="133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3"/>
      <c r="J9" s="1337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6">
        <f>E4+E5+E6-F10+E7+E8</f>
        <v>1950</v>
      </c>
      <c r="J10" s="83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6">
        <f t="shared" si="2"/>
        <v>1550</v>
      </c>
      <c r="J23" s="837">
        <f t="shared" si="3"/>
        <v>155</v>
      </c>
    </row>
    <row r="24" spans="1:10" x14ac:dyDescent="0.25">
      <c r="A24" s="2"/>
      <c r="B24" s="83">
        <v>10</v>
      </c>
      <c r="C24" s="15"/>
      <c r="D24" s="750">
        <f t="shared" si="1"/>
        <v>0</v>
      </c>
      <c r="E24" s="573"/>
      <c r="F24" s="537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0">
        <f t="shared" si="1"/>
        <v>0</v>
      </c>
      <c r="E25" s="573"/>
      <c r="F25" s="537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0">
        <f t="shared" si="1"/>
        <v>0</v>
      </c>
      <c r="E26" s="573"/>
      <c r="F26" s="537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0">
        <f t="shared" si="1"/>
        <v>0</v>
      </c>
      <c r="E27" s="573"/>
      <c r="F27" s="537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0">
        <f t="shared" si="1"/>
        <v>0</v>
      </c>
      <c r="E28" s="573"/>
      <c r="F28" s="537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0">
        <f t="shared" si="1"/>
        <v>0</v>
      </c>
      <c r="E29" s="573"/>
      <c r="F29" s="537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0">
        <f t="shared" si="1"/>
        <v>0</v>
      </c>
      <c r="E30" s="573"/>
      <c r="F30" s="537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0">
        <f t="shared" si="1"/>
        <v>0</v>
      </c>
      <c r="E31" s="573"/>
      <c r="F31" s="537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12">
        <v>0</v>
      </c>
      <c r="E38" s="1013"/>
      <c r="F38" s="537">
        <f t="shared" si="0"/>
        <v>0</v>
      </c>
      <c r="G38" s="1002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13" t="s">
        <v>11</v>
      </c>
      <c r="D42" s="1314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50" t="s">
        <v>327</v>
      </c>
      <c r="B1" s="1350"/>
      <c r="C1" s="1350"/>
      <c r="D1" s="1350"/>
      <c r="E1" s="1350"/>
      <c r="F1" s="1350"/>
      <c r="G1" s="1350"/>
      <c r="H1" s="269">
        <v>1</v>
      </c>
      <c r="I1" s="395"/>
      <c r="L1" s="1264" t="s">
        <v>340</v>
      </c>
      <c r="M1" s="1264"/>
      <c r="N1" s="1264"/>
      <c r="O1" s="1264"/>
      <c r="P1" s="1264"/>
      <c r="Q1" s="1264"/>
      <c r="R1" s="1264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8"/>
      <c r="S4" s="148"/>
      <c r="T4" s="400"/>
    </row>
    <row r="5" spans="1:21" ht="15" customHeight="1" x14ac:dyDescent="0.25">
      <c r="A5" s="1287" t="s">
        <v>226</v>
      </c>
      <c r="B5" s="1291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87" t="s">
        <v>226</v>
      </c>
      <c r="M5" s="1291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87"/>
      <c r="B6" s="1351"/>
      <c r="C6" s="394"/>
      <c r="D6" s="134"/>
      <c r="E6" s="75"/>
      <c r="F6" s="73"/>
      <c r="G6" s="73"/>
      <c r="H6" s="75"/>
      <c r="I6" s="244"/>
      <c r="L6" s="1287"/>
      <c r="M6" s="1351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6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26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57"/>
      <c r="F10" s="699">
        <f t="shared" si="0"/>
        <v>0</v>
      </c>
      <c r="G10" s="700"/>
      <c r="H10" s="701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57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58"/>
      <c r="F11" s="699">
        <f t="shared" si="0"/>
        <v>0</v>
      </c>
      <c r="G11" s="700"/>
      <c r="H11" s="701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58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58"/>
      <c r="F12" s="699">
        <f t="shared" si="0"/>
        <v>0</v>
      </c>
      <c r="G12" s="700"/>
      <c r="H12" s="701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58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58"/>
      <c r="F13" s="699">
        <f t="shared" si="0"/>
        <v>0</v>
      </c>
      <c r="G13" s="700"/>
      <c r="H13" s="701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58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58"/>
      <c r="F14" s="699">
        <f t="shared" si="0"/>
        <v>0</v>
      </c>
      <c r="G14" s="700"/>
      <c r="H14" s="701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58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45"/>
      <c r="F15" s="699">
        <f t="shared" si="0"/>
        <v>0</v>
      </c>
      <c r="G15" s="700"/>
      <c r="H15" s="701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5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70" t="s">
        <v>21</v>
      </c>
      <c r="E75" s="1271"/>
      <c r="F75" s="141">
        <f>G5-F73</f>
        <v>0</v>
      </c>
      <c r="M75" s="184"/>
      <c r="O75" s="1270" t="s">
        <v>21</v>
      </c>
      <c r="P75" s="1271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3" t="s">
        <v>4</v>
      </c>
      <c r="P76" s="1064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80" t="s">
        <v>509</v>
      </c>
      <c r="B5" s="1276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80"/>
      <c r="B6" s="1276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77" t="s">
        <v>11</v>
      </c>
      <c r="D83" s="1278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80"/>
      <c r="B5" s="135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80"/>
      <c r="B6" s="1352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77" t="s">
        <v>11</v>
      </c>
      <c r="D60" s="127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4" t="s">
        <v>499</v>
      </c>
      <c r="B1" s="1264"/>
      <c r="C1" s="1264"/>
      <c r="D1" s="1264"/>
      <c r="E1" s="1264"/>
      <c r="F1" s="1264"/>
      <c r="G1" s="12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80" t="s">
        <v>505</v>
      </c>
      <c r="B5" s="1291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80"/>
      <c r="B6" s="1291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91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70" t="s">
        <v>21</v>
      </c>
      <c r="E41" s="1271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Q1" zoomScaleNormal="100" workbookViewId="0">
      <pane ySplit="9" topLeftCell="A10" activePane="bottomLeft" state="frozen"/>
      <selection pane="bottomLeft" activeCell="U15" sqref="U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75" t="s">
        <v>333</v>
      </c>
      <c r="B1" s="1275"/>
      <c r="C1" s="1275"/>
      <c r="D1" s="1275"/>
      <c r="E1" s="1275"/>
      <c r="F1" s="1275"/>
      <c r="G1" s="1275"/>
      <c r="H1" s="11">
        <v>1</v>
      </c>
      <c r="K1" s="1275" t="str">
        <f>A1</f>
        <v xml:space="preserve"> INVENTARIO   DEL MES DE     NOVIEMBRE       2022</v>
      </c>
      <c r="L1" s="1275"/>
      <c r="M1" s="1275"/>
      <c r="N1" s="1275"/>
      <c r="O1" s="1275"/>
      <c r="P1" s="1275"/>
      <c r="Q1" s="1275"/>
      <c r="R1" s="11">
        <v>2</v>
      </c>
      <c r="U1" s="1279" t="s">
        <v>340</v>
      </c>
      <c r="V1" s="1279"/>
      <c r="W1" s="1279"/>
      <c r="X1" s="1279"/>
      <c r="Y1" s="1279"/>
      <c r="Z1" s="1279"/>
      <c r="AA1" s="1279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53" t="s">
        <v>52</v>
      </c>
      <c r="B4" s="485"/>
      <c r="C4" s="128"/>
      <c r="D4" s="135"/>
      <c r="E4" s="86">
        <v>142.04</v>
      </c>
      <c r="F4" s="73">
        <v>4</v>
      </c>
      <c r="G4" s="810"/>
      <c r="K4" s="1353" t="s">
        <v>52</v>
      </c>
      <c r="L4" s="485"/>
      <c r="M4" s="128"/>
      <c r="N4" s="135"/>
      <c r="O4" s="86"/>
      <c r="P4" s="73"/>
      <c r="Q4" s="935"/>
      <c r="U4" s="1353" t="s">
        <v>52</v>
      </c>
      <c r="V4" s="485"/>
      <c r="W4" s="128"/>
      <c r="X4" s="135"/>
      <c r="Y4" s="86"/>
      <c r="Z4" s="73"/>
      <c r="AA4" s="1128"/>
    </row>
    <row r="5" spans="1:30" ht="15" customHeight="1" x14ac:dyDescent="0.25">
      <c r="A5" s="1354"/>
      <c r="B5" s="135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54"/>
      <c r="L5" s="135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54"/>
      <c r="V5" s="1356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55"/>
      <c r="B6" s="1357"/>
      <c r="C6" s="550"/>
      <c r="D6" s="135"/>
      <c r="E6" s="86"/>
      <c r="F6" s="73"/>
      <c r="G6" s="73"/>
      <c r="K6" s="1355"/>
      <c r="L6" s="1357"/>
      <c r="M6" s="550"/>
      <c r="N6" s="135"/>
      <c r="O6" s="86"/>
      <c r="P6" s="73"/>
      <c r="Q6" s="73"/>
      <c r="U6" s="1355"/>
      <c r="V6" s="1357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8" t="s">
        <v>194</v>
      </c>
      <c r="B10" s="235">
        <f>F4+F5+F6+F7+F8-C10</f>
        <v>99</v>
      </c>
      <c r="C10" s="819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18" t="s">
        <v>194</v>
      </c>
      <c r="L10" s="844">
        <f>P4+P5+P6+P7+P8-M10</f>
        <v>94</v>
      </c>
      <c r="M10" s="936"/>
      <c r="N10" s="740"/>
      <c r="O10" s="937"/>
      <c r="P10" s="740">
        <f t="shared" ref="P10:P57" si="1">N10</f>
        <v>0</v>
      </c>
      <c r="Q10" s="938"/>
      <c r="R10" s="939"/>
      <c r="S10" s="828">
        <f>O6+O5+O4-P10+O7+O8</f>
        <v>2810.63</v>
      </c>
      <c r="U10" s="818" t="s">
        <v>194</v>
      </c>
      <c r="V10" s="1161">
        <f>Z4+Z5+Z6+Z7+Z8-W10</f>
        <v>205</v>
      </c>
      <c r="W10" s="936"/>
      <c r="X10" s="740"/>
      <c r="Y10" s="937"/>
      <c r="Z10" s="740">
        <f t="shared" ref="Z10:Z57" si="2">X10</f>
        <v>0</v>
      </c>
      <c r="AA10" s="938"/>
      <c r="AB10" s="939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0">
        <f>L10-M11</f>
        <v>94</v>
      </c>
      <c r="M11" s="936"/>
      <c r="N11" s="740"/>
      <c r="O11" s="937"/>
      <c r="P11" s="740">
        <f t="shared" si="1"/>
        <v>0</v>
      </c>
      <c r="Q11" s="938"/>
      <c r="R11" s="939"/>
      <c r="S11" s="697">
        <f>S10-P11</f>
        <v>2810.63</v>
      </c>
      <c r="U11" s="75"/>
      <c r="V11" s="940">
        <f>V10-W11</f>
        <v>205</v>
      </c>
      <c r="W11" s="936"/>
      <c r="X11" s="740"/>
      <c r="Y11" s="937"/>
      <c r="Z11" s="740">
        <f t="shared" si="2"/>
        <v>0</v>
      </c>
      <c r="AA11" s="938"/>
      <c r="AB11" s="939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0">
        <f t="shared" ref="L12:L58" si="5">L11-M12</f>
        <v>94</v>
      </c>
      <c r="M12" s="936"/>
      <c r="N12" s="740"/>
      <c r="O12" s="937"/>
      <c r="P12" s="740">
        <f t="shared" si="1"/>
        <v>0</v>
      </c>
      <c r="Q12" s="938"/>
      <c r="R12" s="939"/>
      <c r="S12" s="697">
        <f t="shared" ref="S12:S13" si="6">S11-P12</f>
        <v>2810.63</v>
      </c>
      <c r="U12" s="75"/>
      <c r="V12" s="940">
        <f t="shared" ref="V12:V58" si="7">V11-W12</f>
        <v>205</v>
      </c>
      <c r="W12" s="936"/>
      <c r="X12" s="740"/>
      <c r="Y12" s="937"/>
      <c r="Z12" s="740">
        <f t="shared" si="2"/>
        <v>0</v>
      </c>
      <c r="AA12" s="938"/>
      <c r="AB12" s="939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0">
        <f t="shared" si="5"/>
        <v>94</v>
      </c>
      <c r="M13" s="936"/>
      <c r="N13" s="740"/>
      <c r="O13" s="937"/>
      <c r="P13" s="740">
        <f t="shared" si="1"/>
        <v>0</v>
      </c>
      <c r="Q13" s="938"/>
      <c r="R13" s="939"/>
      <c r="S13" s="697">
        <f t="shared" si="6"/>
        <v>2810.63</v>
      </c>
      <c r="U13" s="55"/>
      <c r="V13" s="940">
        <f t="shared" si="7"/>
        <v>205</v>
      </c>
      <c r="W13" s="936"/>
      <c r="X13" s="740"/>
      <c r="Y13" s="937"/>
      <c r="Z13" s="740">
        <f t="shared" si="2"/>
        <v>0</v>
      </c>
      <c r="AA13" s="938"/>
      <c r="AB13" s="939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0">
        <f t="shared" si="5"/>
        <v>94</v>
      </c>
      <c r="M14" s="936"/>
      <c r="N14" s="740"/>
      <c r="O14" s="937"/>
      <c r="P14" s="740">
        <f t="shared" si="1"/>
        <v>0</v>
      </c>
      <c r="Q14" s="938"/>
      <c r="R14" s="939"/>
      <c r="S14" s="697">
        <f>S13-P14</f>
        <v>2810.63</v>
      </c>
      <c r="U14" s="75"/>
      <c r="V14" s="940">
        <f t="shared" si="7"/>
        <v>205</v>
      </c>
      <c r="W14" s="936"/>
      <c r="X14" s="740"/>
      <c r="Y14" s="937"/>
      <c r="Z14" s="740">
        <f t="shared" si="2"/>
        <v>0</v>
      </c>
      <c r="AA14" s="938"/>
      <c r="AB14" s="939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0">
        <f t="shared" si="5"/>
        <v>94</v>
      </c>
      <c r="M15" s="936"/>
      <c r="N15" s="740"/>
      <c r="O15" s="937"/>
      <c r="P15" s="740">
        <f t="shared" si="1"/>
        <v>0</v>
      </c>
      <c r="Q15" s="938"/>
      <c r="R15" s="939"/>
      <c r="S15" s="697">
        <f t="shared" ref="S15:S58" si="10">S14-P15</f>
        <v>2810.63</v>
      </c>
      <c r="U15" s="75"/>
      <c r="V15" s="940">
        <f t="shared" si="7"/>
        <v>205</v>
      </c>
      <c r="W15" s="936"/>
      <c r="X15" s="740"/>
      <c r="Y15" s="937"/>
      <c r="Z15" s="740">
        <f t="shared" si="2"/>
        <v>0</v>
      </c>
      <c r="AA15" s="938"/>
      <c r="AB15" s="939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0">
        <f t="shared" si="5"/>
        <v>94</v>
      </c>
      <c r="M16" s="936"/>
      <c r="N16" s="740"/>
      <c r="O16" s="937"/>
      <c r="P16" s="740">
        <f t="shared" si="1"/>
        <v>0</v>
      </c>
      <c r="Q16" s="938"/>
      <c r="R16" s="939"/>
      <c r="S16" s="697">
        <f t="shared" si="10"/>
        <v>2810.63</v>
      </c>
      <c r="V16" s="940">
        <f t="shared" si="7"/>
        <v>205</v>
      </c>
      <c r="W16" s="936"/>
      <c r="X16" s="740"/>
      <c r="Y16" s="937"/>
      <c r="Z16" s="740">
        <f t="shared" si="2"/>
        <v>0</v>
      </c>
      <c r="AA16" s="938"/>
      <c r="AB16" s="939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0">
        <f t="shared" si="5"/>
        <v>94</v>
      </c>
      <c r="M17" s="936"/>
      <c r="N17" s="740"/>
      <c r="O17" s="937"/>
      <c r="P17" s="740">
        <f t="shared" si="1"/>
        <v>0</v>
      </c>
      <c r="Q17" s="938"/>
      <c r="R17" s="939"/>
      <c r="S17" s="697">
        <f t="shared" si="10"/>
        <v>2810.63</v>
      </c>
      <c r="V17" s="940">
        <f t="shared" si="7"/>
        <v>205</v>
      </c>
      <c r="W17" s="936"/>
      <c r="X17" s="740"/>
      <c r="Y17" s="937"/>
      <c r="Z17" s="740">
        <f t="shared" si="2"/>
        <v>0</v>
      </c>
      <c r="AA17" s="938"/>
      <c r="AB17" s="939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0">
        <f t="shared" si="5"/>
        <v>94</v>
      </c>
      <c r="M18" s="936"/>
      <c r="N18" s="740"/>
      <c r="O18" s="937"/>
      <c r="P18" s="740">
        <f t="shared" si="1"/>
        <v>0</v>
      </c>
      <c r="Q18" s="938"/>
      <c r="R18" s="939"/>
      <c r="S18" s="697">
        <f t="shared" si="10"/>
        <v>2810.63</v>
      </c>
      <c r="V18" s="940">
        <f t="shared" si="7"/>
        <v>205</v>
      </c>
      <c r="W18" s="936"/>
      <c r="X18" s="740"/>
      <c r="Y18" s="937"/>
      <c r="Z18" s="740">
        <f t="shared" si="2"/>
        <v>0</v>
      </c>
      <c r="AA18" s="938"/>
      <c r="AB18" s="939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0">
        <f t="shared" si="5"/>
        <v>94</v>
      </c>
      <c r="M19" s="936"/>
      <c r="N19" s="740"/>
      <c r="O19" s="937"/>
      <c r="P19" s="740">
        <f t="shared" si="1"/>
        <v>0</v>
      </c>
      <c r="Q19" s="938"/>
      <c r="R19" s="939"/>
      <c r="S19" s="697">
        <f t="shared" si="10"/>
        <v>2810.63</v>
      </c>
      <c r="V19" s="940">
        <f t="shared" si="7"/>
        <v>205</v>
      </c>
      <c r="W19" s="936"/>
      <c r="X19" s="740"/>
      <c r="Y19" s="937"/>
      <c r="Z19" s="740">
        <f t="shared" si="2"/>
        <v>0</v>
      </c>
      <c r="AA19" s="938"/>
      <c r="AB19" s="939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0">
        <f t="shared" si="5"/>
        <v>94</v>
      </c>
      <c r="M20" s="936"/>
      <c r="N20" s="740"/>
      <c r="O20" s="937"/>
      <c r="P20" s="740">
        <f t="shared" si="1"/>
        <v>0</v>
      </c>
      <c r="Q20" s="938"/>
      <c r="R20" s="939"/>
      <c r="S20" s="697">
        <f t="shared" si="10"/>
        <v>2810.63</v>
      </c>
      <c r="V20" s="940">
        <f t="shared" si="7"/>
        <v>205</v>
      </c>
      <c r="W20" s="936"/>
      <c r="X20" s="740"/>
      <c r="Y20" s="937"/>
      <c r="Z20" s="740">
        <f t="shared" si="2"/>
        <v>0</v>
      </c>
      <c r="AA20" s="938"/>
      <c r="AB20" s="939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0">
        <f t="shared" si="5"/>
        <v>94</v>
      </c>
      <c r="M21" s="936"/>
      <c r="N21" s="740"/>
      <c r="O21" s="941"/>
      <c r="P21" s="740">
        <f t="shared" si="1"/>
        <v>0</v>
      </c>
      <c r="Q21" s="938"/>
      <c r="R21" s="939"/>
      <c r="S21" s="697">
        <f t="shared" si="10"/>
        <v>2810.63</v>
      </c>
      <c r="V21" s="940">
        <f t="shared" si="7"/>
        <v>205</v>
      </c>
      <c r="W21" s="936"/>
      <c r="X21" s="740"/>
      <c r="Y21" s="941"/>
      <c r="Z21" s="740">
        <f t="shared" si="2"/>
        <v>0</v>
      </c>
      <c r="AA21" s="938"/>
      <c r="AB21" s="939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0">
        <f t="shared" si="5"/>
        <v>94</v>
      </c>
      <c r="M22" s="936"/>
      <c r="N22" s="740"/>
      <c r="O22" s="941"/>
      <c r="P22" s="740">
        <f t="shared" si="1"/>
        <v>0</v>
      </c>
      <c r="Q22" s="938"/>
      <c r="R22" s="939"/>
      <c r="S22" s="697">
        <f t="shared" si="10"/>
        <v>2810.63</v>
      </c>
      <c r="V22" s="940">
        <f t="shared" si="7"/>
        <v>205</v>
      </c>
      <c r="W22" s="936"/>
      <c r="X22" s="740"/>
      <c r="Y22" s="941"/>
      <c r="Z22" s="740">
        <f t="shared" si="2"/>
        <v>0</v>
      </c>
      <c r="AA22" s="938"/>
      <c r="AB22" s="939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0">
        <f t="shared" si="5"/>
        <v>94</v>
      </c>
      <c r="M23" s="936"/>
      <c r="N23" s="740"/>
      <c r="O23" s="941"/>
      <c r="P23" s="740">
        <f t="shared" si="1"/>
        <v>0</v>
      </c>
      <c r="Q23" s="938"/>
      <c r="R23" s="939"/>
      <c r="S23" s="697">
        <f t="shared" si="10"/>
        <v>2810.63</v>
      </c>
      <c r="V23" s="940">
        <f t="shared" si="7"/>
        <v>205</v>
      </c>
      <c r="W23" s="936"/>
      <c r="X23" s="740"/>
      <c r="Y23" s="941"/>
      <c r="Z23" s="740">
        <f t="shared" si="2"/>
        <v>0</v>
      </c>
      <c r="AA23" s="938"/>
      <c r="AB23" s="939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0">
        <f t="shared" si="5"/>
        <v>94</v>
      </c>
      <c r="M24" s="936"/>
      <c r="N24" s="740"/>
      <c r="O24" s="941"/>
      <c r="P24" s="740">
        <f t="shared" si="1"/>
        <v>0</v>
      </c>
      <c r="Q24" s="938"/>
      <c r="R24" s="939"/>
      <c r="S24" s="697">
        <f t="shared" si="10"/>
        <v>2810.63</v>
      </c>
      <c r="V24" s="940">
        <f t="shared" si="7"/>
        <v>205</v>
      </c>
      <c r="W24" s="936"/>
      <c r="X24" s="740"/>
      <c r="Y24" s="941"/>
      <c r="Z24" s="740">
        <f t="shared" si="2"/>
        <v>0</v>
      </c>
      <c r="AA24" s="938"/>
      <c r="AB24" s="939"/>
      <c r="AC24" s="697">
        <f t="shared" si="11"/>
        <v>5922.77</v>
      </c>
    </row>
    <row r="25" spans="1:29" ht="15.75" x14ac:dyDescent="0.25">
      <c r="A25" s="963" t="s">
        <v>318</v>
      </c>
      <c r="B25" s="834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28">
        <f t="shared" si="9"/>
        <v>1426</v>
      </c>
      <c r="L25" s="940">
        <f t="shared" si="5"/>
        <v>94</v>
      </c>
      <c r="M25" s="936"/>
      <c r="N25" s="740"/>
      <c r="O25" s="941"/>
      <c r="P25" s="740">
        <f t="shared" si="1"/>
        <v>0</v>
      </c>
      <c r="Q25" s="938"/>
      <c r="R25" s="939"/>
      <c r="S25" s="697">
        <f t="shared" si="10"/>
        <v>2810.63</v>
      </c>
      <c r="V25" s="940">
        <f t="shared" si="7"/>
        <v>205</v>
      </c>
      <c r="W25" s="936"/>
      <c r="X25" s="740"/>
      <c r="Y25" s="941"/>
      <c r="Z25" s="740">
        <f t="shared" si="2"/>
        <v>0</v>
      </c>
      <c r="AA25" s="938"/>
      <c r="AB25" s="939"/>
      <c r="AC25" s="697">
        <f t="shared" si="11"/>
        <v>5922.77</v>
      </c>
    </row>
    <row r="26" spans="1:29" x14ac:dyDescent="0.25">
      <c r="B26" s="834">
        <f t="shared" si="3"/>
        <v>37</v>
      </c>
      <c r="C26" s="337">
        <v>8</v>
      </c>
      <c r="D26" s="945">
        <v>210.23</v>
      </c>
      <c r="E26" s="946">
        <v>44865</v>
      </c>
      <c r="F26" s="945">
        <f t="shared" si="0"/>
        <v>210.23</v>
      </c>
      <c r="G26" s="947" t="s">
        <v>234</v>
      </c>
      <c r="H26" s="948">
        <v>30</v>
      </c>
      <c r="I26" s="828">
        <f t="shared" si="9"/>
        <v>1215.77</v>
      </c>
      <c r="L26" s="940">
        <f t="shared" si="5"/>
        <v>94</v>
      </c>
      <c r="M26" s="936"/>
      <c r="N26" s="740"/>
      <c r="O26" s="941"/>
      <c r="P26" s="740">
        <f t="shared" si="1"/>
        <v>0</v>
      </c>
      <c r="Q26" s="938"/>
      <c r="R26" s="939"/>
      <c r="S26" s="697">
        <f t="shared" si="10"/>
        <v>2810.63</v>
      </c>
      <c r="V26" s="940">
        <f t="shared" si="7"/>
        <v>205</v>
      </c>
      <c r="W26" s="936"/>
      <c r="X26" s="740"/>
      <c r="Y26" s="941"/>
      <c r="Z26" s="740">
        <f t="shared" si="2"/>
        <v>0</v>
      </c>
      <c r="AA26" s="938"/>
      <c r="AB26" s="939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4"/>
      <c r="E27" s="1015"/>
      <c r="F27" s="1014">
        <f t="shared" si="0"/>
        <v>0</v>
      </c>
      <c r="G27" s="1016"/>
      <c r="H27" s="1017"/>
      <c r="I27" s="132">
        <f t="shared" si="9"/>
        <v>1215.77</v>
      </c>
      <c r="L27" s="940">
        <f t="shared" si="5"/>
        <v>94</v>
      </c>
      <c r="M27" s="936"/>
      <c r="N27" s="740"/>
      <c r="O27" s="941"/>
      <c r="P27" s="740">
        <f t="shared" si="1"/>
        <v>0</v>
      </c>
      <c r="Q27" s="938"/>
      <c r="R27" s="939"/>
      <c r="S27" s="697">
        <f t="shared" si="10"/>
        <v>2810.63</v>
      </c>
      <c r="V27" s="940">
        <f t="shared" si="7"/>
        <v>205</v>
      </c>
      <c r="W27" s="936"/>
      <c r="X27" s="740"/>
      <c r="Y27" s="941"/>
      <c r="Z27" s="740">
        <f t="shared" si="2"/>
        <v>0</v>
      </c>
      <c r="AA27" s="938"/>
      <c r="AB27" s="939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4"/>
      <c r="E28" s="1015"/>
      <c r="F28" s="1014">
        <f t="shared" si="0"/>
        <v>0</v>
      </c>
      <c r="G28" s="1016"/>
      <c r="H28" s="1017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4"/>
      <c r="E29" s="1015"/>
      <c r="F29" s="1014">
        <f t="shared" si="0"/>
        <v>0</v>
      </c>
      <c r="G29" s="1016"/>
      <c r="H29" s="1017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4"/>
      <c r="E30" s="1015"/>
      <c r="F30" s="1014">
        <f t="shared" si="0"/>
        <v>0</v>
      </c>
      <c r="G30" s="1016"/>
      <c r="H30" s="1017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4"/>
      <c r="E31" s="1018"/>
      <c r="F31" s="1014">
        <f t="shared" si="0"/>
        <v>0</v>
      </c>
      <c r="G31" s="1016"/>
      <c r="H31" s="1017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4"/>
      <c r="E32" s="1018"/>
      <c r="F32" s="1014">
        <f t="shared" si="0"/>
        <v>0</v>
      </c>
      <c r="G32" s="1016"/>
      <c r="H32" s="1017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4"/>
      <c r="E33" s="1018"/>
      <c r="F33" s="1014">
        <f t="shared" si="0"/>
        <v>0</v>
      </c>
      <c r="G33" s="1016"/>
      <c r="H33" s="1017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4"/>
      <c r="E34" s="1018"/>
      <c r="F34" s="1014">
        <f t="shared" si="0"/>
        <v>0</v>
      </c>
      <c r="G34" s="1016"/>
      <c r="H34" s="1017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4"/>
      <c r="E35" s="1018"/>
      <c r="F35" s="1014">
        <f t="shared" si="0"/>
        <v>0</v>
      </c>
      <c r="G35" s="1016"/>
      <c r="H35" s="1017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4"/>
      <c r="E36" s="1018"/>
      <c r="F36" s="1014">
        <f t="shared" si="0"/>
        <v>0</v>
      </c>
      <c r="G36" s="1016"/>
      <c r="H36" s="1017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4"/>
      <c r="E37" s="1018"/>
      <c r="F37" s="1014">
        <f t="shared" si="0"/>
        <v>0</v>
      </c>
      <c r="G37" s="1016"/>
      <c r="H37" s="1017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4"/>
      <c r="E38" s="1018"/>
      <c r="F38" s="1014">
        <f t="shared" si="0"/>
        <v>0</v>
      </c>
      <c r="G38" s="1016"/>
      <c r="H38" s="1017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4"/>
      <c r="E39" s="1018"/>
      <c r="F39" s="1014">
        <f t="shared" si="0"/>
        <v>0</v>
      </c>
      <c r="G39" s="1016"/>
      <c r="H39" s="1017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5"/>
      <c r="E40" s="949"/>
      <c r="F40" s="945">
        <f t="shared" si="0"/>
        <v>0</v>
      </c>
      <c r="G40" s="947"/>
      <c r="H40" s="948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5"/>
      <c r="E41" s="949"/>
      <c r="F41" s="945">
        <f t="shared" si="0"/>
        <v>0</v>
      </c>
      <c r="G41" s="947"/>
      <c r="H41" s="948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5"/>
      <c r="E42" s="949"/>
      <c r="F42" s="945">
        <f t="shared" si="0"/>
        <v>0</v>
      </c>
      <c r="G42" s="947"/>
      <c r="H42" s="948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5"/>
      <c r="E43" s="949"/>
      <c r="F43" s="945">
        <f t="shared" si="0"/>
        <v>0</v>
      </c>
      <c r="G43" s="947"/>
      <c r="H43" s="948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5"/>
      <c r="E44" s="949"/>
      <c r="F44" s="945">
        <f t="shared" si="0"/>
        <v>0</v>
      </c>
      <c r="G44" s="947"/>
      <c r="H44" s="948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5"/>
      <c r="E45" s="949"/>
      <c r="F45" s="945">
        <f t="shared" si="0"/>
        <v>0</v>
      </c>
      <c r="G45" s="947"/>
      <c r="H45" s="948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5"/>
      <c r="E46" s="949"/>
      <c r="F46" s="945">
        <f t="shared" si="0"/>
        <v>0</v>
      </c>
      <c r="G46" s="947"/>
      <c r="H46" s="948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5"/>
      <c r="E47" s="949"/>
      <c r="F47" s="945">
        <f t="shared" si="0"/>
        <v>0</v>
      </c>
      <c r="G47" s="947"/>
      <c r="H47" s="948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5"/>
      <c r="E48" s="949"/>
      <c r="F48" s="945">
        <f t="shared" si="0"/>
        <v>0</v>
      </c>
      <c r="G48" s="947"/>
      <c r="H48" s="948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5"/>
      <c r="E49" s="949"/>
      <c r="F49" s="945">
        <f t="shared" si="0"/>
        <v>0</v>
      </c>
      <c r="G49" s="947"/>
      <c r="H49" s="948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5"/>
      <c r="E50" s="949"/>
      <c r="F50" s="945">
        <f t="shared" si="0"/>
        <v>0</v>
      </c>
      <c r="G50" s="947"/>
      <c r="H50" s="948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5"/>
      <c r="E51" s="949"/>
      <c r="F51" s="945">
        <f t="shared" si="0"/>
        <v>0</v>
      </c>
      <c r="G51" s="947"/>
      <c r="H51" s="948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5"/>
      <c r="E52" s="949"/>
      <c r="F52" s="945">
        <f t="shared" si="0"/>
        <v>0</v>
      </c>
      <c r="G52" s="947"/>
      <c r="H52" s="948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5"/>
      <c r="E53" s="949"/>
      <c r="F53" s="945">
        <f t="shared" si="0"/>
        <v>0</v>
      </c>
      <c r="G53" s="947"/>
      <c r="H53" s="948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75" t="s">
        <v>334</v>
      </c>
      <c r="B1" s="1275"/>
      <c r="C1" s="1275"/>
      <c r="D1" s="1275"/>
      <c r="E1" s="1275"/>
      <c r="F1" s="1275"/>
      <c r="G1" s="1275"/>
      <c r="H1" s="11">
        <v>1</v>
      </c>
      <c r="K1" s="1275" t="str">
        <f>A1</f>
        <v>INVENTARIO DEL MES DE NOVIEMBRE 2022</v>
      </c>
      <c r="L1" s="1275"/>
      <c r="M1" s="1275"/>
      <c r="N1" s="1275"/>
      <c r="O1" s="1275"/>
      <c r="P1" s="1275"/>
      <c r="Q1" s="1275"/>
      <c r="R1" s="11">
        <v>2</v>
      </c>
      <c r="U1" s="1279" t="s">
        <v>340</v>
      </c>
      <c r="V1" s="1279"/>
      <c r="W1" s="1279"/>
      <c r="X1" s="1279"/>
      <c r="Y1" s="1279"/>
      <c r="Z1" s="1279"/>
      <c r="AA1" s="127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58" t="s">
        <v>120</v>
      </c>
      <c r="C4" s="102"/>
      <c r="D4" s="135"/>
      <c r="E4" s="952">
        <v>811.01</v>
      </c>
      <c r="F4" s="62">
        <v>28</v>
      </c>
      <c r="G4" s="810"/>
      <c r="L4" s="1358" t="s">
        <v>120</v>
      </c>
      <c r="M4" s="102"/>
      <c r="N4" s="135"/>
      <c r="O4" s="86"/>
      <c r="P4" s="73"/>
      <c r="Q4" s="934"/>
      <c r="V4" s="1358" t="s">
        <v>120</v>
      </c>
      <c r="W4" s="102"/>
      <c r="X4" s="135"/>
      <c r="Y4" s="86"/>
      <c r="Z4" s="73"/>
      <c r="AA4" s="1068"/>
    </row>
    <row r="5" spans="1:29" x14ac:dyDescent="0.25">
      <c r="A5" s="75" t="s">
        <v>52</v>
      </c>
      <c r="B5" s="1359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359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59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49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28">
        <f>E4+E5+E6-F8</f>
        <v>1847.7999999999997</v>
      </c>
      <c r="K8" s="55"/>
      <c r="L8" s="849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28">
        <f>O4+O5+O6-P8</f>
        <v>2081.2600000000002</v>
      </c>
      <c r="U8" s="55"/>
      <c r="V8" s="849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28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49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28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0"/>
      <c r="D11" s="1019"/>
      <c r="E11" s="1020"/>
      <c r="F11" s="1021">
        <f t="shared" si="1"/>
        <v>0</v>
      </c>
      <c r="G11" s="1022"/>
      <c r="H11" s="1023"/>
      <c r="I11" s="132">
        <f t="shared" si="2"/>
        <v>1610.0299999999997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0"/>
      <c r="D12" s="1019"/>
      <c r="E12" s="1020"/>
      <c r="F12" s="1021">
        <f t="shared" si="1"/>
        <v>0</v>
      </c>
      <c r="G12" s="1022"/>
      <c r="H12" s="1023"/>
      <c r="I12" s="132">
        <f t="shared" si="2"/>
        <v>1610.0299999999997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0"/>
      <c r="D13" s="1019"/>
      <c r="E13" s="1020"/>
      <c r="F13" s="1021">
        <f t="shared" si="1"/>
        <v>0</v>
      </c>
      <c r="G13" s="1022"/>
      <c r="H13" s="1023"/>
      <c r="I13" s="132">
        <f t="shared" si="2"/>
        <v>1610.0299999999997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54</v>
      </c>
      <c r="C14" s="620"/>
      <c r="D14" s="1019"/>
      <c r="E14" s="1020"/>
      <c r="F14" s="1021">
        <f t="shared" si="1"/>
        <v>0</v>
      </c>
      <c r="G14" s="1022"/>
      <c r="H14" s="1023"/>
      <c r="I14" s="132">
        <f t="shared" si="2"/>
        <v>1610.0299999999997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54</v>
      </c>
      <c r="C15" s="620"/>
      <c r="D15" s="1019"/>
      <c r="E15" s="1020"/>
      <c r="F15" s="1021">
        <f t="shared" si="1"/>
        <v>0</v>
      </c>
      <c r="G15" s="1022"/>
      <c r="H15" s="1023"/>
      <c r="I15" s="132">
        <f t="shared" si="2"/>
        <v>1610.0299999999997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54</v>
      </c>
      <c r="C16" s="620"/>
      <c r="D16" s="1019"/>
      <c r="E16" s="1020"/>
      <c r="F16" s="1021">
        <f t="shared" si="1"/>
        <v>0</v>
      </c>
      <c r="G16" s="1022"/>
      <c r="H16" s="1024"/>
      <c r="I16" s="132">
        <f t="shared" si="2"/>
        <v>1610.0299999999997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54</v>
      </c>
      <c r="C17" s="620"/>
      <c r="D17" s="1019"/>
      <c r="E17" s="1020"/>
      <c r="F17" s="1021">
        <f t="shared" si="1"/>
        <v>0</v>
      </c>
      <c r="G17" s="1022"/>
      <c r="H17" s="1024"/>
      <c r="I17" s="132">
        <f t="shared" si="2"/>
        <v>1610.0299999999997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54</v>
      </c>
      <c r="C18" s="620"/>
      <c r="D18" s="1019"/>
      <c r="E18" s="1020"/>
      <c r="F18" s="1021">
        <f t="shared" si="1"/>
        <v>0</v>
      </c>
      <c r="G18" s="1022"/>
      <c r="H18" s="1024"/>
      <c r="I18" s="132">
        <f t="shared" si="2"/>
        <v>1610.0299999999997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54</v>
      </c>
      <c r="C19" s="620"/>
      <c r="D19" s="1019"/>
      <c r="E19" s="1020"/>
      <c r="F19" s="1021">
        <f t="shared" si="1"/>
        <v>0</v>
      </c>
      <c r="G19" s="1022"/>
      <c r="H19" s="1024"/>
      <c r="I19" s="132">
        <f t="shared" si="2"/>
        <v>1610.0299999999997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54</v>
      </c>
      <c r="C20" s="620"/>
      <c r="D20" s="1019"/>
      <c r="E20" s="1020"/>
      <c r="F20" s="1021">
        <f t="shared" si="1"/>
        <v>0</v>
      </c>
      <c r="G20" s="1022"/>
      <c r="H20" s="1024"/>
      <c r="I20" s="132">
        <f t="shared" si="2"/>
        <v>1610.0299999999997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54</v>
      </c>
      <c r="C21" s="620"/>
      <c r="D21" s="1019"/>
      <c r="E21" s="1020"/>
      <c r="F21" s="1021">
        <f t="shared" si="1"/>
        <v>0</v>
      </c>
      <c r="G21" s="1022"/>
      <c r="H21" s="1025"/>
      <c r="I21" s="132">
        <f t="shared" si="2"/>
        <v>1610.0299999999997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54</v>
      </c>
      <c r="C22" s="620"/>
      <c r="D22" s="1019"/>
      <c r="E22" s="1020"/>
      <c r="F22" s="1021">
        <f t="shared" si="1"/>
        <v>0</v>
      </c>
      <c r="G22" s="1022"/>
      <c r="H22" s="1025"/>
      <c r="I22" s="132">
        <f t="shared" si="2"/>
        <v>1610.0299999999997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54</v>
      </c>
      <c r="C23" s="620"/>
      <c r="D23" s="1019"/>
      <c r="E23" s="1020"/>
      <c r="F23" s="1021">
        <f t="shared" si="1"/>
        <v>0</v>
      </c>
      <c r="G23" s="1022"/>
      <c r="H23" s="1025"/>
      <c r="I23" s="132">
        <f t="shared" si="2"/>
        <v>1610.0299999999997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54</v>
      </c>
      <c r="C24" s="620"/>
      <c r="D24" s="1019"/>
      <c r="E24" s="1020"/>
      <c r="F24" s="1021">
        <f t="shared" si="1"/>
        <v>0</v>
      </c>
      <c r="G24" s="1022"/>
      <c r="H24" s="1025"/>
      <c r="I24" s="132">
        <f t="shared" si="2"/>
        <v>1610.0299999999997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54</v>
      </c>
      <c r="C25" s="620"/>
      <c r="D25" s="1019"/>
      <c r="E25" s="1020"/>
      <c r="F25" s="1021">
        <f t="shared" si="1"/>
        <v>0</v>
      </c>
      <c r="G25" s="1022"/>
      <c r="H25" s="1025"/>
      <c r="I25" s="132">
        <f t="shared" si="2"/>
        <v>1610.0299999999997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54</v>
      </c>
      <c r="C26" s="620"/>
      <c r="D26" s="1019"/>
      <c r="E26" s="1020"/>
      <c r="F26" s="1021">
        <f t="shared" si="1"/>
        <v>0</v>
      </c>
      <c r="G26" s="1026"/>
      <c r="H26" s="1025"/>
      <c r="I26" s="132">
        <f t="shared" si="2"/>
        <v>1610.0299999999997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54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1610.0299999999997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1610.0299999999997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6" t="s">
        <v>21</v>
      </c>
      <c r="E33" s="807"/>
      <c r="F33" s="141">
        <f>E5-D32</f>
        <v>1981.36</v>
      </c>
      <c r="G33" s="75"/>
      <c r="H33" s="75"/>
      <c r="K33" s="75"/>
      <c r="L33" s="75"/>
      <c r="M33" s="75"/>
      <c r="N33" s="929" t="s">
        <v>21</v>
      </c>
      <c r="O33" s="930"/>
      <c r="P33" s="141">
        <f>O5-N32</f>
        <v>2081.2600000000002</v>
      </c>
      <c r="Q33" s="75"/>
      <c r="R33" s="75"/>
      <c r="U33" s="75"/>
      <c r="V33" s="75"/>
      <c r="W33" s="75"/>
      <c r="X33" s="1061" t="s">
        <v>21</v>
      </c>
      <c r="Y33" s="1062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8" t="s">
        <v>4</v>
      </c>
      <c r="E34" s="809"/>
      <c r="F34" s="49" t="e">
        <f>F4+F5-C32</f>
        <v>#REF!</v>
      </c>
      <c r="G34" s="75"/>
      <c r="H34" s="75"/>
      <c r="K34" s="75"/>
      <c r="L34" s="75"/>
      <c r="M34" s="75"/>
      <c r="N34" s="931" t="s">
        <v>4</v>
      </c>
      <c r="O34" s="932"/>
      <c r="P34" s="49">
        <f>P4+P5-M32</f>
        <v>80</v>
      </c>
      <c r="Q34" s="75"/>
      <c r="R34" s="75"/>
      <c r="U34" s="75"/>
      <c r="V34" s="75"/>
      <c r="W34" s="75"/>
      <c r="X34" s="1063" t="s">
        <v>4</v>
      </c>
      <c r="Y34" s="1064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5" t="s">
        <v>335</v>
      </c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8" t="s">
        <v>145</v>
      </c>
      <c r="C4" s="102"/>
      <c r="D4" s="135"/>
      <c r="E4" s="86"/>
      <c r="F4" s="73"/>
      <c r="G4" s="238"/>
    </row>
    <row r="5" spans="1:9" x14ac:dyDescent="0.25">
      <c r="A5" s="1287" t="s">
        <v>97</v>
      </c>
      <c r="B5" s="135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8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59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28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5"/>
      <c r="E11" s="633"/>
      <c r="F11" s="635">
        <f t="shared" si="0"/>
        <v>0</v>
      </c>
      <c r="G11" s="1027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5"/>
      <c r="E12" s="633"/>
      <c r="F12" s="635">
        <f t="shared" si="0"/>
        <v>0</v>
      </c>
      <c r="G12" s="1027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5"/>
      <c r="E13" s="633"/>
      <c r="F13" s="635">
        <f t="shared" si="0"/>
        <v>0</v>
      </c>
      <c r="G13" s="1027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5"/>
      <c r="E14" s="633"/>
      <c r="F14" s="635">
        <f t="shared" si="0"/>
        <v>0</v>
      </c>
      <c r="G14" s="1027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5"/>
      <c r="E15" s="633"/>
      <c r="F15" s="635">
        <f t="shared" si="0"/>
        <v>0</v>
      </c>
      <c r="G15" s="1027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5"/>
      <c r="E16" s="633"/>
      <c r="F16" s="635">
        <f t="shared" si="0"/>
        <v>0</v>
      </c>
      <c r="G16" s="1027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29"/>
      <c r="E17" s="633"/>
      <c r="F17" s="635">
        <f t="shared" si="0"/>
        <v>0</v>
      </c>
      <c r="G17" s="1027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5"/>
      <c r="E18" s="633"/>
      <c r="F18" s="635">
        <f t="shared" si="0"/>
        <v>0</v>
      </c>
      <c r="G18" s="1027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5"/>
      <c r="E19" s="633"/>
      <c r="F19" s="635">
        <f t="shared" si="0"/>
        <v>0</v>
      </c>
      <c r="G19" s="1027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5"/>
      <c r="E20" s="633"/>
      <c r="F20" s="635">
        <f t="shared" si="0"/>
        <v>0</v>
      </c>
      <c r="G20" s="1027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5"/>
      <c r="E21" s="633"/>
      <c r="F21" s="635">
        <f t="shared" si="0"/>
        <v>0</v>
      </c>
      <c r="G21" s="1027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5"/>
      <c r="E22" s="633"/>
      <c r="F22" s="635">
        <f t="shared" si="0"/>
        <v>0</v>
      </c>
      <c r="G22" s="1027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5"/>
      <c r="E23" s="633"/>
      <c r="F23" s="635">
        <f t="shared" si="0"/>
        <v>0</v>
      </c>
      <c r="G23" s="1027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1919.0100000000002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28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6"/>
      <c r="F30" s="6"/>
    </row>
    <row r="31" spans="1:9" ht="15.75" thickBot="1" x14ac:dyDescent="0.3">
      <c r="B31" s="74"/>
      <c r="C31" s="87"/>
      <c r="D31" s="76"/>
      <c r="E31" s="817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0" t="s">
        <v>83</v>
      </c>
      <c r="C4" s="102"/>
      <c r="D4" s="135"/>
      <c r="E4" s="86"/>
      <c r="F4" s="73"/>
      <c r="G4" s="238"/>
    </row>
    <row r="5" spans="1:9" x14ac:dyDescent="0.25">
      <c r="A5" s="75"/>
      <c r="B5" s="1361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9"/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8" t="s">
        <v>101</v>
      </c>
      <c r="C4" s="102"/>
      <c r="D4" s="135"/>
      <c r="E4" s="86"/>
      <c r="F4" s="73"/>
      <c r="G4" s="238"/>
    </row>
    <row r="5" spans="1:9" x14ac:dyDescent="0.25">
      <c r="A5" s="1280"/>
      <c r="B5" s="13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8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2" t="s">
        <v>102</v>
      </c>
      <c r="C4" s="102"/>
      <c r="D4" s="135"/>
      <c r="E4" s="86"/>
      <c r="F4" s="73"/>
      <c r="G4" s="238"/>
    </row>
    <row r="5" spans="1:9" x14ac:dyDescent="0.25">
      <c r="A5" s="1280" t="s">
        <v>507</v>
      </c>
      <c r="B5" s="136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8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79" t="s">
        <v>499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81"/>
      <c r="C5" s="392"/>
      <c r="D5" s="134"/>
      <c r="E5" s="208"/>
      <c r="F5" s="62"/>
      <c r="G5" s="5"/>
    </row>
    <row r="6" spans="1:9" ht="20.25" x14ac:dyDescent="0.3">
      <c r="A6" s="1162" t="s">
        <v>52</v>
      </c>
      <c r="B6" s="1281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77" t="s">
        <v>11</v>
      </c>
      <c r="D83" s="1278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Q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5" t="s">
        <v>321</v>
      </c>
      <c r="B1" s="1275"/>
      <c r="C1" s="1275"/>
      <c r="D1" s="1275"/>
      <c r="E1" s="1275"/>
      <c r="F1" s="1275"/>
      <c r="G1" s="1275"/>
      <c r="H1" s="11">
        <v>1</v>
      </c>
      <c r="K1" s="1275" t="str">
        <f>A1</f>
        <v>INVENTARIO   DEL MES DE    NOVIEMBRE 2022</v>
      </c>
      <c r="L1" s="1275"/>
      <c r="M1" s="1275"/>
      <c r="N1" s="1275"/>
      <c r="O1" s="1275"/>
      <c r="P1" s="1275"/>
      <c r="Q1" s="1275"/>
      <c r="R1" s="11">
        <v>2</v>
      </c>
      <c r="U1" s="1279" t="s">
        <v>340</v>
      </c>
      <c r="V1" s="1279"/>
      <c r="W1" s="1279"/>
      <c r="X1" s="1279"/>
      <c r="Y1" s="1279"/>
      <c r="Z1" s="1279"/>
      <c r="AA1" s="127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82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82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82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82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82"/>
      <c r="M6" s="484"/>
      <c r="N6" s="134"/>
      <c r="O6" s="69"/>
      <c r="P6" s="73"/>
      <c r="Q6" s="47">
        <f>P48</f>
        <v>0</v>
      </c>
      <c r="R6" s="7">
        <f>O6-Q6+O7+O5-Q5</f>
        <v>507.83</v>
      </c>
      <c r="U6" s="405"/>
      <c r="V6" s="1282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4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3">
        <f>E6-F9+E5+E7+E4</f>
        <v>511.01000000000005</v>
      </c>
      <c r="K9" s="80" t="s">
        <v>32</v>
      </c>
      <c r="L9" s="824">
        <f>P6-M9+P5+P7+P4</f>
        <v>43</v>
      </c>
      <c r="M9" s="15"/>
      <c r="N9" s="69"/>
      <c r="O9" s="202"/>
      <c r="P9" s="69">
        <f>N9</f>
        <v>0</v>
      </c>
      <c r="Q9" s="70"/>
      <c r="R9" s="71"/>
      <c r="S9" s="823">
        <f>O6-P9+O5+O7+O4</f>
        <v>507.83</v>
      </c>
      <c r="U9" s="80" t="s">
        <v>32</v>
      </c>
      <c r="V9" s="896">
        <f>Z6-W9+Z5+Z7+Z4</f>
        <v>42</v>
      </c>
      <c r="W9" s="820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8">
        <v>12.2</v>
      </c>
      <c r="E10" s="839">
        <v>44872</v>
      </c>
      <c r="F10" s="838">
        <f>D10</f>
        <v>12.2</v>
      </c>
      <c r="G10" s="840" t="s">
        <v>248</v>
      </c>
      <c r="H10" s="841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8">
        <v>118.47</v>
      </c>
      <c r="E11" s="839">
        <v>44872</v>
      </c>
      <c r="F11" s="838">
        <f>D11</f>
        <v>118.47</v>
      </c>
      <c r="G11" s="840" t="s">
        <v>250</v>
      </c>
      <c r="H11" s="841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8">
        <v>59.94</v>
      </c>
      <c r="E12" s="839">
        <v>44876</v>
      </c>
      <c r="F12" s="838">
        <f>D12</f>
        <v>59.94</v>
      </c>
      <c r="G12" s="840" t="s">
        <v>262</v>
      </c>
      <c r="H12" s="841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8">
        <v>119.76</v>
      </c>
      <c r="E13" s="839">
        <v>44882</v>
      </c>
      <c r="F13" s="838">
        <f t="shared" ref="F13:F45" si="6">D13</f>
        <v>119.76</v>
      </c>
      <c r="G13" s="840" t="s">
        <v>282</v>
      </c>
      <c r="H13" s="841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507.83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4">
        <f t="shared" si="0"/>
        <v>9</v>
      </c>
      <c r="C14" s="15">
        <v>8</v>
      </c>
      <c r="D14" s="838">
        <v>94.28</v>
      </c>
      <c r="E14" s="839">
        <v>44887</v>
      </c>
      <c r="F14" s="838">
        <f t="shared" si="6"/>
        <v>94.28</v>
      </c>
      <c r="G14" s="840" t="s">
        <v>295</v>
      </c>
      <c r="H14" s="841">
        <v>98</v>
      </c>
      <c r="I14" s="823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507.83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507.83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507.83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9</v>
      </c>
      <c r="C17" s="15"/>
      <c r="D17" s="537"/>
      <c r="E17" s="732"/>
      <c r="F17" s="537">
        <f t="shared" si="6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507.83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9</v>
      </c>
      <c r="C18" s="15"/>
      <c r="D18" s="537"/>
      <c r="E18" s="732"/>
      <c r="F18" s="537">
        <f t="shared" si="6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507.83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9</v>
      </c>
      <c r="C19" s="15"/>
      <c r="D19" s="537"/>
      <c r="E19" s="732"/>
      <c r="F19" s="537">
        <f t="shared" si="6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507.83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9</v>
      </c>
      <c r="C20" s="15"/>
      <c r="D20" s="537"/>
      <c r="E20" s="732"/>
      <c r="F20" s="537">
        <f t="shared" si="6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507.83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9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507.83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9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507.83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9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507.83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9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507.83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9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507.83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9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507.83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9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507.83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9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507.83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9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507.83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9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507.83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9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507.83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9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507.83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9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507.83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9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507.83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9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507.83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507.83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9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507.83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9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507.83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9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507.83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9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507.83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9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507.83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9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507.83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9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507.83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9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507.83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507.83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77" t="s">
        <v>11</v>
      </c>
      <c r="D53" s="1278"/>
      <c r="E53" s="57">
        <f>E5+E6-F48+E7</f>
        <v>94.550000000000068</v>
      </c>
      <c r="F53" s="73"/>
      <c r="M53" s="1277" t="s">
        <v>11</v>
      </c>
      <c r="N53" s="1278"/>
      <c r="O53" s="57">
        <f>O5+O6-P48+O7</f>
        <v>507.83</v>
      </c>
      <c r="P53" s="73"/>
      <c r="W53" s="1277" t="s">
        <v>11</v>
      </c>
      <c r="X53" s="1278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9" t="s">
        <v>340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1">
        <v>248.57</v>
      </c>
      <c r="F4" s="882">
        <v>21</v>
      </c>
      <c r="G4" s="155"/>
      <c r="H4" s="155"/>
    </row>
    <row r="5" spans="1:9" ht="15.75" customHeight="1" x14ac:dyDescent="0.25">
      <c r="A5" s="226" t="s">
        <v>62</v>
      </c>
      <c r="B5" s="1283" t="s">
        <v>72</v>
      </c>
      <c r="C5" s="591">
        <v>85</v>
      </c>
      <c r="D5" s="1029">
        <v>44897</v>
      </c>
      <c r="E5" s="852">
        <v>106.18</v>
      </c>
      <c r="F5" s="882">
        <v>9</v>
      </c>
      <c r="G5" s="5"/>
    </row>
    <row r="6" spans="1:9" x14ac:dyDescent="0.25">
      <c r="A6" s="226"/>
      <c r="B6" s="1283"/>
      <c r="C6" s="392">
        <v>85</v>
      </c>
      <c r="D6" s="716">
        <v>44911</v>
      </c>
      <c r="E6" s="1030">
        <v>508.54</v>
      </c>
      <c r="F6" s="882">
        <v>43</v>
      </c>
      <c r="G6" s="47">
        <f>F42</f>
        <v>0</v>
      </c>
      <c r="H6" s="7">
        <f>E6-G6+E7+E5-G5+E4</f>
        <v>863.29</v>
      </c>
    </row>
    <row r="7" spans="1:9" ht="15.75" thickBot="1" x14ac:dyDescent="0.3">
      <c r="B7" s="19"/>
      <c r="C7" s="392"/>
      <c r="D7" s="716"/>
      <c r="E7" s="1031"/>
      <c r="F7" s="88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6">
        <f>F6-C9+F5+F7+F4</f>
        <v>73</v>
      </c>
      <c r="C9" s="820"/>
      <c r="D9" s="702"/>
      <c r="E9" s="733"/>
      <c r="F9" s="702">
        <f t="shared" ref="F9:F40" si="0">D9</f>
        <v>0</v>
      </c>
      <c r="G9" s="700"/>
      <c r="H9" s="701"/>
      <c r="I9" s="737">
        <f>E6-F9+E5+E7+E4</f>
        <v>863.29</v>
      </c>
    </row>
    <row r="10" spans="1:9" x14ac:dyDescent="0.25">
      <c r="A10" s="194"/>
      <c r="B10" s="896">
        <f>B9-C10</f>
        <v>73</v>
      </c>
      <c r="C10" s="714"/>
      <c r="D10" s="702"/>
      <c r="E10" s="733"/>
      <c r="F10" s="702">
        <f t="shared" si="0"/>
        <v>0</v>
      </c>
      <c r="G10" s="700"/>
      <c r="H10" s="701"/>
      <c r="I10" s="737">
        <f>I9-F10</f>
        <v>863.29</v>
      </c>
    </row>
    <row r="11" spans="1:9" x14ac:dyDescent="0.25">
      <c r="A11" s="182"/>
      <c r="B11" s="896">
        <f t="shared" ref="B11:B40" si="1">B10-C11</f>
        <v>73</v>
      </c>
      <c r="C11" s="714"/>
      <c r="D11" s="702"/>
      <c r="E11" s="733"/>
      <c r="F11" s="702">
        <f t="shared" si="0"/>
        <v>0</v>
      </c>
      <c r="G11" s="700"/>
      <c r="H11" s="701"/>
      <c r="I11" s="737">
        <f t="shared" ref="I11:I40" si="2">I10-F11</f>
        <v>863.29</v>
      </c>
    </row>
    <row r="12" spans="1:9" x14ac:dyDescent="0.25">
      <c r="A12" s="182"/>
      <c r="B12" s="896">
        <f t="shared" si="1"/>
        <v>73</v>
      </c>
      <c r="C12" s="714"/>
      <c r="D12" s="702"/>
      <c r="E12" s="733"/>
      <c r="F12" s="702">
        <f t="shared" si="0"/>
        <v>0</v>
      </c>
      <c r="G12" s="700"/>
      <c r="H12" s="701"/>
      <c r="I12" s="737">
        <f t="shared" si="2"/>
        <v>863.29</v>
      </c>
    </row>
    <row r="13" spans="1:9" x14ac:dyDescent="0.25">
      <c r="A13" s="82" t="s">
        <v>33</v>
      </c>
      <c r="B13" s="896">
        <f t="shared" si="1"/>
        <v>73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863.29</v>
      </c>
    </row>
    <row r="14" spans="1:9" x14ac:dyDescent="0.25">
      <c r="A14" s="73"/>
      <c r="B14" s="896">
        <f t="shared" si="1"/>
        <v>73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863.29</v>
      </c>
    </row>
    <row r="15" spans="1:9" x14ac:dyDescent="0.25">
      <c r="A15" s="73"/>
      <c r="B15" s="896">
        <f t="shared" si="1"/>
        <v>73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863.29</v>
      </c>
    </row>
    <row r="16" spans="1:9" x14ac:dyDescent="0.25">
      <c r="B16" s="896">
        <f t="shared" si="1"/>
        <v>73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863.29</v>
      </c>
    </row>
    <row r="17" spans="1:9" x14ac:dyDescent="0.25">
      <c r="B17" s="896">
        <f t="shared" si="1"/>
        <v>73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863.29</v>
      </c>
    </row>
    <row r="18" spans="1:9" x14ac:dyDescent="0.25">
      <c r="A18" s="122"/>
      <c r="B18" s="896">
        <f t="shared" si="1"/>
        <v>73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863.29</v>
      </c>
    </row>
    <row r="19" spans="1:9" x14ac:dyDescent="0.25">
      <c r="A19" s="122"/>
      <c r="B19" s="83">
        <f t="shared" si="1"/>
        <v>73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863.29</v>
      </c>
    </row>
    <row r="20" spans="1:9" x14ac:dyDescent="0.25">
      <c r="A20" s="122"/>
      <c r="B20" s="83">
        <f t="shared" si="1"/>
        <v>73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863.29</v>
      </c>
    </row>
    <row r="21" spans="1:9" x14ac:dyDescent="0.25">
      <c r="A21" s="122"/>
      <c r="B21" s="83">
        <f t="shared" si="1"/>
        <v>73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863.29</v>
      </c>
    </row>
    <row r="22" spans="1:9" x14ac:dyDescent="0.25">
      <c r="A22" s="122"/>
      <c r="B22" s="233">
        <f t="shared" si="1"/>
        <v>73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863.29</v>
      </c>
    </row>
    <row r="23" spans="1:9" x14ac:dyDescent="0.25">
      <c r="A23" s="123"/>
      <c r="B23" s="233">
        <f t="shared" si="1"/>
        <v>73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863.29</v>
      </c>
    </row>
    <row r="24" spans="1:9" x14ac:dyDescent="0.25">
      <c r="A24" s="122"/>
      <c r="B24" s="233">
        <f t="shared" si="1"/>
        <v>73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863.29</v>
      </c>
    </row>
    <row r="25" spans="1:9" x14ac:dyDescent="0.25">
      <c r="A25" s="122"/>
      <c r="B25" s="233">
        <f t="shared" si="1"/>
        <v>73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863.29</v>
      </c>
    </row>
    <row r="26" spans="1:9" x14ac:dyDescent="0.25">
      <c r="A26" s="122"/>
      <c r="B26" s="182">
        <f t="shared" si="1"/>
        <v>73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863.29</v>
      </c>
    </row>
    <row r="27" spans="1:9" x14ac:dyDescent="0.25">
      <c r="A27" s="122"/>
      <c r="B27" s="233">
        <f t="shared" si="1"/>
        <v>73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863.29</v>
      </c>
    </row>
    <row r="28" spans="1:9" x14ac:dyDescent="0.25">
      <c r="A28" s="122"/>
      <c r="B28" s="182">
        <f t="shared" si="1"/>
        <v>73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863.29</v>
      </c>
    </row>
    <row r="29" spans="1:9" x14ac:dyDescent="0.25">
      <c r="A29" s="122"/>
      <c r="B29" s="233">
        <f t="shared" si="1"/>
        <v>73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863.29</v>
      </c>
    </row>
    <row r="30" spans="1:9" x14ac:dyDescent="0.25">
      <c r="A30" s="122"/>
      <c r="B30" s="233">
        <f t="shared" si="1"/>
        <v>73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863.29</v>
      </c>
    </row>
    <row r="31" spans="1:9" x14ac:dyDescent="0.25">
      <c r="A31" s="122"/>
      <c r="B31" s="233">
        <f t="shared" si="1"/>
        <v>73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863.29</v>
      </c>
    </row>
    <row r="32" spans="1:9" x14ac:dyDescent="0.25">
      <c r="A32" s="122"/>
      <c r="B32" s="233">
        <f t="shared" si="1"/>
        <v>73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863.29</v>
      </c>
    </row>
    <row r="33" spans="1:9" x14ac:dyDescent="0.25">
      <c r="A33" s="122"/>
      <c r="B33" s="233">
        <f t="shared" si="1"/>
        <v>73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863.29</v>
      </c>
    </row>
    <row r="34" spans="1:9" x14ac:dyDescent="0.25">
      <c r="A34" s="122"/>
      <c r="B34" s="233">
        <f t="shared" si="1"/>
        <v>73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863.29</v>
      </c>
    </row>
    <row r="35" spans="1:9" x14ac:dyDescent="0.25">
      <c r="A35" s="122"/>
      <c r="B35" s="233">
        <f t="shared" si="1"/>
        <v>73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863.29</v>
      </c>
    </row>
    <row r="36" spans="1:9" x14ac:dyDescent="0.25">
      <c r="A36" s="122" t="s">
        <v>22</v>
      </c>
      <c r="B36" s="233">
        <f t="shared" si="1"/>
        <v>73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863.29</v>
      </c>
    </row>
    <row r="37" spans="1:9" x14ac:dyDescent="0.25">
      <c r="A37" s="123"/>
      <c r="B37" s="233">
        <f t="shared" si="1"/>
        <v>73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863.29</v>
      </c>
    </row>
    <row r="38" spans="1:9" x14ac:dyDescent="0.25">
      <c r="A38" s="122"/>
      <c r="B38" s="233">
        <f t="shared" si="1"/>
        <v>73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863.29</v>
      </c>
    </row>
    <row r="39" spans="1:9" x14ac:dyDescent="0.25">
      <c r="A39" s="122"/>
      <c r="B39" s="83">
        <f t="shared" si="1"/>
        <v>73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863.29</v>
      </c>
    </row>
    <row r="40" spans="1:9" x14ac:dyDescent="0.25">
      <c r="A40" s="122"/>
      <c r="B40" s="83">
        <f t="shared" si="1"/>
        <v>73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863.29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52</v>
      </c>
    </row>
    <row r="46" spans="1:9" ht="15.75" thickBot="1" x14ac:dyDescent="0.3"/>
    <row r="47" spans="1:9" ht="15.75" thickBot="1" x14ac:dyDescent="0.3">
      <c r="C47" s="1277" t="s">
        <v>11</v>
      </c>
      <c r="D47" s="1278"/>
      <c r="E47" s="57">
        <f>E5+E6-F42+E7</f>
        <v>614.72</v>
      </c>
      <c r="F47" s="73"/>
    </row>
    <row r="50" spans="1:7" x14ac:dyDescent="0.25">
      <c r="A50" s="226"/>
      <c r="B50" s="1280"/>
      <c r="C50" s="483"/>
      <c r="D50" s="232"/>
      <c r="E50" s="78"/>
      <c r="F50" s="62"/>
      <c r="G50" s="5"/>
    </row>
    <row r="51" spans="1:7" x14ac:dyDescent="0.25">
      <c r="A51" s="226"/>
      <c r="B51" s="1280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75" t="s">
        <v>227</v>
      </c>
      <c r="B1" s="1275"/>
      <c r="C1" s="1275"/>
      <c r="D1" s="1275"/>
      <c r="E1" s="1275"/>
      <c r="F1" s="1275"/>
      <c r="G1" s="1275"/>
      <c r="H1" s="11">
        <v>1</v>
      </c>
      <c r="K1" s="1279" t="s">
        <v>339</v>
      </c>
      <c r="L1" s="1279"/>
      <c r="M1" s="1279"/>
      <c r="N1" s="1279"/>
      <c r="O1" s="1279"/>
      <c r="P1" s="1279"/>
      <c r="Q1" s="12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81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81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81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81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0</v>
      </c>
      <c r="R6" s="7">
        <f>O6-Q6+O7+O5-Q5+O4</f>
        <v>2013.1599999999999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2013.1599999999999</v>
      </c>
    </row>
    <row r="10" spans="1:19" x14ac:dyDescent="0.25">
      <c r="A10" s="194"/>
      <c r="B10" s="888">
        <f>B9-C10</f>
        <v>114</v>
      </c>
      <c r="C10" s="820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88">
        <f>L9-M10</f>
        <v>166</v>
      </c>
      <c r="M10" s="820"/>
      <c r="N10" s="702"/>
      <c r="O10" s="733"/>
      <c r="P10" s="702">
        <f t="shared" si="1"/>
        <v>0</v>
      </c>
      <c r="Q10" s="700"/>
      <c r="R10" s="701"/>
      <c r="S10" s="737">
        <f>S9-P10</f>
        <v>2013.1599999999999</v>
      </c>
    </row>
    <row r="11" spans="1:19" x14ac:dyDescent="0.25">
      <c r="A11" s="182"/>
      <c r="B11" s="888">
        <f t="shared" ref="B11:B74" si="3">B10-C11</f>
        <v>104</v>
      </c>
      <c r="C11" s="820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88">
        <f t="shared" ref="L11:L74" si="5">L10-M11</f>
        <v>166</v>
      </c>
      <c r="M11" s="820"/>
      <c r="N11" s="702"/>
      <c r="O11" s="733"/>
      <c r="P11" s="702">
        <f t="shared" si="1"/>
        <v>0</v>
      </c>
      <c r="Q11" s="700"/>
      <c r="R11" s="701"/>
      <c r="S11" s="737">
        <f t="shared" ref="S11:S74" si="6">S10-P11</f>
        <v>2013.1599999999999</v>
      </c>
    </row>
    <row r="12" spans="1:19" x14ac:dyDescent="0.25">
      <c r="A12" s="182"/>
      <c r="B12" s="888">
        <f t="shared" si="3"/>
        <v>94</v>
      </c>
      <c r="C12" s="820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88">
        <f t="shared" si="5"/>
        <v>166</v>
      </c>
      <c r="M12" s="820"/>
      <c r="N12" s="702"/>
      <c r="O12" s="733"/>
      <c r="P12" s="702">
        <f t="shared" si="1"/>
        <v>0</v>
      </c>
      <c r="Q12" s="700"/>
      <c r="R12" s="701"/>
      <c r="S12" s="737">
        <f t="shared" si="6"/>
        <v>2013.1599999999999</v>
      </c>
    </row>
    <row r="13" spans="1:19" x14ac:dyDescent="0.25">
      <c r="A13" s="82" t="s">
        <v>33</v>
      </c>
      <c r="B13" s="888">
        <f t="shared" si="3"/>
        <v>84</v>
      </c>
      <c r="C13" s="820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88">
        <f t="shared" si="5"/>
        <v>166</v>
      </c>
      <c r="M13" s="820"/>
      <c r="N13" s="702"/>
      <c r="O13" s="733"/>
      <c r="P13" s="702">
        <f t="shared" si="1"/>
        <v>0</v>
      </c>
      <c r="Q13" s="700"/>
      <c r="R13" s="701"/>
      <c r="S13" s="737">
        <f t="shared" si="6"/>
        <v>2013.1599999999999</v>
      </c>
    </row>
    <row r="14" spans="1:19" x14ac:dyDescent="0.25">
      <c r="A14" s="73"/>
      <c r="B14" s="888">
        <f t="shared" si="3"/>
        <v>82</v>
      </c>
      <c r="C14" s="820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88">
        <f t="shared" si="5"/>
        <v>166</v>
      </c>
      <c r="M14" s="820"/>
      <c r="N14" s="702"/>
      <c r="O14" s="733"/>
      <c r="P14" s="702">
        <f t="shared" si="1"/>
        <v>0</v>
      </c>
      <c r="Q14" s="700"/>
      <c r="R14" s="701"/>
      <c r="S14" s="737">
        <f t="shared" si="6"/>
        <v>2013.1599999999999</v>
      </c>
    </row>
    <row r="15" spans="1:19" ht="15.75" customHeight="1" x14ac:dyDescent="0.25">
      <c r="A15" s="73"/>
      <c r="B15" s="888">
        <f t="shared" si="3"/>
        <v>81</v>
      </c>
      <c r="C15" s="820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88">
        <f t="shared" si="5"/>
        <v>166</v>
      </c>
      <c r="M15" s="820"/>
      <c r="N15" s="702"/>
      <c r="O15" s="733"/>
      <c r="P15" s="702">
        <f t="shared" si="1"/>
        <v>0</v>
      </c>
      <c r="Q15" s="700"/>
      <c r="R15" s="701"/>
      <c r="S15" s="737">
        <f t="shared" si="6"/>
        <v>2013.1599999999999</v>
      </c>
    </row>
    <row r="16" spans="1:19" ht="15.75" customHeight="1" x14ac:dyDescent="0.25">
      <c r="B16" s="888">
        <f t="shared" si="3"/>
        <v>76</v>
      </c>
      <c r="C16" s="820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88">
        <f t="shared" si="5"/>
        <v>166</v>
      </c>
      <c r="M16" s="820"/>
      <c r="N16" s="702"/>
      <c r="O16" s="733"/>
      <c r="P16" s="702">
        <f t="shared" si="1"/>
        <v>0</v>
      </c>
      <c r="Q16" s="700"/>
      <c r="R16" s="701"/>
      <c r="S16" s="737">
        <f t="shared" si="6"/>
        <v>2013.1599999999999</v>
      </c>
    </row>
    <row r="17" spans="1:19" x14ac:dyDescent="0.25">
      <c r="B17" s="888">
        <f t="shared" si="3"/>
        <v>75</v>
      </c>
      <c r="C17" s="820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88">
        <f t="shared" si="5"/>
        <v>166</v>
      </c>
      <c r="M17" s="820"/>
      <c r="N17" s="702"/>
      <c r="O17" s="733"/>
      <c r="P17" s="702">
        <f t="shared" si="1"/>
        <v>0</v>
      </c>
      <c r="Q17" s="700"/>
      <c r="R17" s="701"/>
      <c r="S17" s="737">
        <f t="shared" si="6"/>
        <v>2013.1599999999999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8">
        <f t="shared" si="5"/>
        <v>166</v>
      </c>
      <c r="M18" s="820"/>
      <c r="N18" s="702"/>
      <c r="O18" s="733"/>
      <c r="P18" s="702">
        <f t="shared" si="1"/>
        <v>0</v>
      </c>
      <c r="Q18" s="700"/>
      <c r="R18" s="701"/>
      <c r="S18" s="737">
        <f t="shared" si="6"/>
        <v>2013.1599999999999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8">
        <f t="shared" si="5"/>
        <v>166</v>
      </c>
      <c r="M19" s="820"/>
      <c r="N19" s="702"/>
      <c r="O19" s="733"/>
      <c r="P19" s="702">
        <f t="shared" si="1"/>
        <v>0</v>
      </c>
      <c r="Q19" s="700"/>
      <c r="R19" s="701"/>
      <c r="S19" s="737">
        <f t="shared" si="6"/>
        <v>2013.1599999999999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8">
        <f t="shared" si="5"/>
        <v>166</v>
      </c>
      <c r="M20" s="820"/>
      <c r="N20" s="702"/>
      <c r="O20" s="733"/>
      <c r="P20" s="702">
        <f t="shared" si="1"/>
        <v>0</v>
      </c>
      <c r="Q20" s="700"/>
      <c r="R20" s="701"/>
      <c r="S20" s="737">
        <f t="shared" si="6"/>
        <v>2013.1599999999999</v>
      </c>
    </row>
    <row r="21" spans="1:19" x14ac:dyDescent="0.25">
      <c r="A21" s="122"/>
      <c r="B21" s="826">
        <f t="shared" si="3"/>
        <v>41</v>
      </c>
      <c r="C21" s="820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3">
        <f t="shared" si="4"/>
        <v>483.13999999999993</v>
      </c>
      <c r="K21" s="122"/>
      <c r="L21" s="888">
        <f t="shared" si="5"/>
        <v>166</v>
      </c>
      <c r="M21" s="820"/>
      <c r="N21" s="702"/>
      <c r="O21" s="733"/>
      <c r="P21" s="702">
        <f t="shared" si="1"/>
        <v>0</v>
      </c>
      <c r="Q21" s="700"/>
      <c r="R21" s="701"/>
      <c r="S21" s="737">
        <f t="shared" si="6"/>
        <v>2013.1599999999999</v>
      </c>
    </row>
    <row r="22" spans="1:19" x14ac:dyDescent="0.25">
      <c r="A22" s="122"/>
      <c r="B22" s="182">
        <f t="shared" si="3"/>
        <v>41</v>
      </c>
      <c r="C22" s="15"/>
      <c r="D22" s="537"/>
      <c r="E22" s="732"/>
      <c r="F22" s="537">
        <f t="shared" si="2"/>
        <v>0</v>
      </c>
      <c r="G22" s="330"/>
      <c r="H22" s="331"/>
      <c r="I22" s="105">
        <f t="shared" si="4"/>
        <v>483.13999999999993</v>
      </c>
      <c r="K22" s="122"/>
      <c r="L22" s="888">
        <f t="shared" si="5"/>
        <v>166</v>
      </c>
      <c r="M22" s="820"/>
      <c r="N22" s="994"/>
      <c r="O22" s="998"/>
      <c r="P22" s="994">
        <f t="shared" si="1"/>
        <v>0</v>
      </c>
      <c r="Q22" s="995"/>
      <c r="R22" s="996"/>
      <c r="S22" s="737">
        <f t="shared" si="6"/>
        <v>2013.1599999999999</v>
      </c>
    </row>
    <row r="23" spans="1:19" x14ac:dyDescent="0.25">
      <c r="A23" s="123"/>
      <c r="B23" s="182">
        <f t="shared" si="3"/>
        <v>41</v>
      </c>
      <c r="C23" s="15"/>
      <c r="D23" s="537"/>
      <c r="E23" s="732"/>
      <c r="F23" s="537">
        <f t="shared" si="2"/>
        <v>0</v>
      </c>
      <c r="G23" s="330"/>
      <c r="H23" s="331"/>
      <c r="I23" s="105">
        <f t="shared" si="4"/>
        <v>483.13999999999993</v>
      </c>
      <c r="K23" s="123"/>
      <c r="L23" s="888">
        <f t="shared" si="5"/>
        <v>166</v>
      </c>
      <c r="M23" s="820"/>
      <c r="N23" s="994"/>
      <c r="O23" s="998"/>
      <c r="P23" s="994">
        <f t="shared" si="1"/>
        <v>0</v>
      </c>
      <c r="Q23" s="995"/>
      <c r="R23" s="996"/>
      <c r="S23" s="737">
        <f t="shared" si="6"/>
        <v>2013.1599999999999</v>
      </c>
    </row>
    <row r="24" spans="1:19" x14ac:dyDescent="0.25">
      <c r="A24" s="122"/>
      <c r="B24" s="182">
        <f t="shared" si="3"/>
        <v>41</v>
      </c>
      <c r="C24" s="15"/>
      <c r="D24" s="537"/>
      <c r="E24" s="732"/>
      <c r="F24" s="537">
        <f t="shared" si="2"/>
        <v>0</v>
      </c>
      <c r="G24" s="330"/>
      <c r="H24" s="331"/>
      <c r="I24" s="105">
        <f t="shared" si="4"/>
        <v>483.13999999999993</v>
      </c>
      <c r="K24" s="122"/>
      <c r="L24" s="888">
        <f t="shared" si="5"/>
        <v>166</v>
      </c>
      <c r="M24" s="820"/>
      <c r="N24" s="994"/>
      <c r="O24" s="998"/>
      <c r="P24" s="994">
        <f t="shared" si="1"/>
        <v>0</v>
      </c>
      <c r="Q24" s="995"/>
      <c r="R24" s="996"/>
      <c r="S24" s="737">
        <f t="shared" si="6"/>
        <v>2013.1599999999999</v>
      </c>
    </row>
    <row r="25" spans="1:19" x14ac:dyDescent="0.25">
      <c r="A25" s="122"/>
      <c r="B25" s="182">
        <f t="shared" si="3"/>
        <v>41</v>
      </c>
      <c r="C25" s="15"/>
      <c r="D25" s="537"/>
      <c r="E25" s="732"/>
      <c r="F25" s="537">
        <f t="shared" si="2"/>
        <v>0</v>
      </c>
      <c r="G25" s="330"/>
      <c r="H25" s="331"/>
      <c r="I25" s="105">
        <f t="shared" si="4"/>
        <v>483.13999999999993</v>
      </c>
      <c r="K25" s="122"/>
      <c r="L25" s="888">
        <f t="shared" si="5"/>
        <v>166</v>
      </c>
      <c r="M25" s="820"/>
      <c r="N25" s="994"/>
      <c r="O25" s="998"/>
      <c r="P25" s="994">
        <f t="shared" si="1"/>
        <v>0</v>
      </c>
      <c r="Q25" s="995"/>
      <c r="R25" s="996"/>
      <c r="S25" s="737">
        <f t="shared" si="6"/>
        <v>2013.1599999999999</v>
      </c>
    </row>
    <row r="26" spans="1:19" x14ac:dyDescent="0.25">
      <c r="A26" s="122"/>
      <c r="B26" s="182">
        <f t="shared" si="3"/>
        <v>41</v>
      </c>
      <c r="C26" s="15"/>
      <c r="D26" s="537"/>
      <c r="E26" s="732"/>
      <c r="F26" s="537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166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2013.1599999999999</v>
      </c>
    </row>
    <row r="27" spans="1:19" x14ac:dyDescent="0.25">
      <c r="A27" s="122"/>
      <c r="B27" s="182">
        <f t="shared" si="3"/>
        <v>41</v>
      </c>
      <c r="C27" s="15"/>
      <c r="D27" s="537"/>
      <c r="E27" s="732"/>
      <c r="F27" s="537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166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2013.1599999999999</v>
      </c>
    </row>
    <row r="28" spans="1:19" x14ac:dyDescent="0.25">
      <c r="A28" s="122"/>
      <c r="B28" s="182">
        <f t="shared" si="3"/>
        <v>41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166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2013.1599999999999</v>
      </c>
    </row>
    <row r="29" spans="1:19" x14ac:dyDescent="0.25">
      <c r="A29" s="122"/>
      <c r="B29" s="182">
        <f t="shared" si="3"/>
        <v>41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166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2013.1599999999999</v>
      </c>
    </row>
    <row r="30" spans="1:19" x14ac:dyDescent="0.25">
      <c r="A30" s="122"/>
      <c r="B30" s="182">
        <f t="shared" si="3"/>
        <v>41</v>
      </c>
      <c r="C30" s="15"/>
      <c r="D30" s="537"/>
      <c r="E30" s="732"/>
      <c r="F30" s="537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166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2013.1599999999999</v>
      </c>
    </row>
    <row r="31" spans="1:19" x14ac:dyDescent="0.25">
      <c r="A31" s="122"/>
      <c r="B31" s="182">
        <f t="shared" si="3"/>
        <v>41</v>
      </c>
      <c r="C31" s="15"/>
      <c r="D31" s="537"/>
      <c r="E31" s="732"/>
      <c r="F31" s="537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166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2013.1599999999999</v>
      </c>
    </row>
    <row r="32" spans="1:19" x14ac:dyDescent="0.25">
      <c r="A32" s="122"/>
      <c r="B32" s="182">
        <f t="shared" si="3"/>
        <v>41</v>
      </c>
      <c r="C32" s="15"/>
      <c r="D32" s="537"/>
      <c r="E32" s="732"/>
      <c r="F32" s="537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166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2013.1599999999999</v>
      </c>
    </row>
    <row r="33" spans="1:19" x14ac:dyDescent="0.25">
      <c r="A33" s="122"/>
      <c r="B33" s="182">
        <f t="shared" si="3"/>
        <v>41</v>
      </c>
      <c r="C33" s="15"/>
      <c r="D33" s="537"/>
      <c r="E33" s="732"/>
      <c r="F33" s="537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166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2013.1599999999999</v>
      </c>
    </row>
    <row r="34" spans="1:19" x14ac:dyDescent="0.25">
      <c r="A34" s="122"/>
      <c r="B34" s="182">
        <f t="shared" si="3"/>
        <v>41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166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2013.1599999999999</v>
      </c>
    </row>
    <row r="35" spans="1:19" x14ac:dyDescent="0.25">
      <c r="A35" s="122"/>
      <c r="B35" s="182">
        <f t="shared" si="3"/>
        <v>41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166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2013.1599999999999</v>
      </c>
    </row>
    <row r="36" spans="1:19" x14ac:dyDescent="0.25">
      <c r="A36" s="122" t="s">
        <v>22</v>
      </c>
      <c r="B36" s="182">
        <f t="shared" si="3"/>
        <v>41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166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2013.1599999999999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166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2013.1599999999999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166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2013.1599999999999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166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2013.1599999999999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166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2013.1599999999999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166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2013.1599999999999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166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2013.1599999999999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166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2013.1599999999999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166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2013.1599999999999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166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2013.1599999999999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166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2013.1599999999999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166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2013.1599999999999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166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2013.1599999999999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166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2013.1599999999999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166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2013.1599999999999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166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2013.1599999999999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166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2013.1599999999999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166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2013.1599999999999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166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2013.1599999999999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166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2013.1599999999999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166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2013.1599999999999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166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2013.1599999999999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166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2013.1599999999999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166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2013.1599999999999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166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2013.1599999999999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166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2013.1599999999999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166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2013.1599999999999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166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2013.1599999999999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166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2013.1599999999999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166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2013.1599999999999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166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2013.1599999999999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166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2013.1599999999999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166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2013.1599999999999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166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2013.1599999999999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166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2013.1599999999999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166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2013.1599999999999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166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2013.1599999999999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166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2013.1599999999999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166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2013.1599999999999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166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2013.1599999999999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2013.1599999999999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166</v>
      </c>
    </row>
    <row r="82" spans="3:16" ht="15.75" thickBot="1" x14ac:dyDescent="0.3"/>
    <row r="83" spans="3:16" ht="15.75" thickBot="1" x14ac:dyDescent="0.3">
      <c r="C83" s="1277" t="s">
        <v>11</v>
      </c>
      <c r="D83" s="1278"/>
      <c r="E83" s="57">
        <f>E5+E6-F78+E7</f>
        <v>390.55999999999995</v>
      </c>
      <c r="F83" s="73"/>
      <c r="M83" s="1277" t="s">
        <v>11</v>
      </c>
      <c r="N83" s="1278"/>
      <c r="O83" s="57">
        <f>O5+O6-P78+O7</f>
        <v>2013.1599999999999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75" t="s">
        <v>322</v>
      </c>
      <c r="B1" s="1275"/>
      <c r="C1" s="1275"/>
      <c r="D1" s="1275"/>
      <c r="E1" s="1275"/>
      <c r="F1" s="1275"/>
      <c r="G1" s="1275"/>
      <c r="H1" s="11">
        <v>1</v>
      </c>
      <c r="L1" s="1279" t="s">
        <v>340</v>
      </c>
      <c r="M1" s="1279"/>
      <c r="N1" s="1279"/>
      <c r="O1" s="1279"/>
      <c r="P1" s="1279"/>
      <c r="Q1" s="1279"/>
      <c r="R1" s="127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84" t="s">
        <v>73</v>
      </c>
      <c r="C4" s="244"/>
      <c r="D4" s="134"/>
      <c r="E4" s="477">
        <v>6.93</v>
      </c>
      <c r="F4" s="73"/>
      <c r="G4" s="155"/>
      <c r="H4" s="155"/>
      <c r="L4" s="448"/>
      <c r="M4" s="1284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86" t="s">
        <v>225</v>
      </c>
      <c r="B5" s="1285"/>
      <c r="C5" s="244"/>
      <c r="D5" s="134">
        <v>44886</v>
      </c>
      <c r="E5" s="477">
        <v>17078.599999999999</v>
      </c>
      <c r="F5" s="73">
        <v>551</v>
      </c>
      <c r="G5" s="5"/>
      <c r="L5" s="1268" t="s">
        <v>97</v>
      </c>
      <c r="M5" s="1285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86"/>
      <c r="B6" s="1285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268"/>
      <c r="M6" s="1285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3"/>
      <c r="B7" s="1285"/>
      <c r="C7" s="234"/>
      <c r="D7" s="232"/>
      <c r="E7" s="477"/>
      <c r="F7" s="73"/>
      <c r="L7" s="933"/>
      <c r="M7" s="1285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7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7" t="s">
        <v>3</v>
      </c>
    </row>
    <row r="10" spans="1:21" ht="15.75" thickTop="1" x14ac:dyDescent="0.25">
      <c r="A10" s="80" t="s">
        <v>32</v>
      </c>
      <c r="B10" s="88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0">
        <f>F10*H10</f>
        <v>21210.34</v>
      </c>
      <c r="L10" s="80" t="s">
        <v>32</v>
      </c>
      <c r="M10" s="888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0">
        <f>Q10*S10</f>
        <v>0</v>
      </c>
    </row>
    <row r="11" spans="1:21" x14ac:dyDescent="0.25">
      <c r="A11" s="194"/>
      <c r="B11" s="88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0">
        <f t="shared" ref="J11:J74" si="2">F11*H11</f>
        <v>34447.279999999999</v>
      </c>
      <c r="L11" s="194"/>
      <c r="M11" s="888">
        <f>M10-N11</f>
        <v>296</v>
      </c>
      <c r="N11" s="820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0">
        <f t="shared" ref="U11:U74" si="3">Q11*S11</f>
        <v>0</v>
      </c>
    </row>
    <row r="12" spans="1:21" x14ac:dyDescent="0.25">
      <c r="A12" s="182"/>
      <c r="B12" s="888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0">
        <f t="shared" si="2"/>
        <v>3604.47</v>
      </c>
      <c r="L12" s="182"/>
      <c r="M12" s="888">
        <f t="shared" ref="M12:M75" si="6">M11-N12</f>
        <v>296</v>
      </c>
      <c r="N12" s="820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0">
        <f t="shared" si="3"/>
        <v>0</v>
      </c>
    </row>
    <row r="13" spans="1:21" x14ac:dyDescent="0.25">
      <c r="A13" s="182"/>
      <c r="B13" s="888">
        <f t="shared" si="4"/>
        <v>536</v>
      </c>
      <c r="C13" s="820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0">
        <f t="shared" si="2"/>
        <v>4536.07</v>
      </c>
      <c r="L13" s="182"/>
      <c r="M13" s="888">
        <f t="shared" si="6"/>
        <v>296</v>
      </c>
      <c r="N13" s="820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0">
        <f t="shared" si="3"/>
        <v>0</v>
      </c>
    </row>
    <row r="14" spans="1:21" x14ac:dyDescent="0.25">
      <c r="A14" s="82" t="s">
        <v>33</v>
      </c>
      <c r="B14" s="888">
        <f t="shared" si="4"/>
        <v>529</v>
      </c>
      <c r="C14" s="820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0">
        <f t="shared" si="2"/>
        <v>27863.059999999998</v>
      </c>
      <c r="L14" s="82" t="s">
        <v>33</v>
      </c>
      <c r="M14" s="888">
        <f t="shared" si="6"/>
        <v>296</v>
      </c>
      <c r="N14" s="820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0">
        <f t="shared" si="3"/>
        <v>0</v>
      </c>
    </row>
    <row r="15" spans="1:21" x14ac:dyDescent="0.25">
      <c r="A15" s="73"/>
      <c r="B15" s="888">
        <f t="shared" si="4"/>
        <v>510</v>
      </c>
      <c r="C15" s="820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0">
        <f t="shared" si="2"/>
        <v>76045.960000000006</v>
      </c>
      <c r="L15" s="73"/>
      <c r="M15" s="888">
        <f t="shared" si="6"/>
        <v>296</v>
      </c>
      <c r="N15" s="820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0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8">
        <f t="shared" si="6"/>
        <v>296</v>
      </c>
      <c r="N16" s="820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0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8">
        <f t="shared" si="6"/>
        <v>296</v>
      </c>
      <c r="N17" s="820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0">
        <f t="shared" si="3"/>
        <v>0</v>
      </c>
    </row>
    <row r="18" spans="1:21" x14ac:dyDescent="0.25">
      <c r="B18" s="826">
        <f t="shared" si="4"/>
        <v>464</v>
      </c>
      <c r="C18" s="820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3">
        <f t="shared" si="5"/>
        <v>14386.439999999997</v>
      </c>
      <c r="J18" s="17">
        <f t="shared" si="2"/>
        <v>133392.79</v>
      </c>
      <c r="M18" s="888">
        <f t="shared" si="6"/>
        <v>296</v>
      </c>
      <c r="N18" s="820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0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7"/>
      <c r="E19" s="732"/>
      <c r="F19" s="537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88">
        <f t="shared" si="6"/>
        <v>296</v>
      </c>
      <c r="N19" s="820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0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7"/>
      <c r="E20" s="732"/>
      <c r="F20" s="537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88">
        <f t="shared" si="6"/>
        <v>296</v>
      </c>
      <c r="N20" s="820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0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7"/>
      <c r="E21" s="732"/>
      <c r="F21" s="537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88">
        <f t="shared" si="6"/>
        <v>296</v>
      </c>
      <c r="N21" s="820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0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7"/>
      <c r="E22" s="732"/>
      <c r="F22" s="537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88">
        <f t="shared" si="6"/>
        <v>296</v>
      </c>
      <c r="N22" s="820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0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7"/>
      <c r="E23" s="732"/>
      <c r="F23" s="537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7"/>
      <c r="E24" s="732"/>
      <c r="F24" s="537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7"/>
      <c r="E25" s="732"/>
      <c r="F25" s="537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7"/>
      <c r="E26" s="732"/>
      <c r="F26" s="537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7"/>
      <c r="E27" s="732"/>
      <c r="F27" s="537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7"/>
      <c r="E28" s="732"/>
      <c r="F28" s="537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7"/>
      <c r="E29" s="732"/>
      <c r="F29" s="537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7"/>
      <c r="E30" s="732"/>
      <c r="F30" s="537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7"/>
      <c r="E31" s="732"/>
      <c r="F31" s="537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7"/>
      <c r="E32" s="732"/>
      <c r="F32" s="537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7"/>
      <c r="E33" s="732"/>
      <c r="F33" s="537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7"/>
      <c r="E34" s="732"/>
      <c r="F34" s="537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7"/>
      <c r="E35" s="732"/>
      <c r="F35" s="537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7"/>
      <c r="E36" s="732"/>
      <c r="F36" s="537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7"/>
      <c r="E37" s="732"/>
      <c r="F37" s="537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7"/>
      <c r="E38" s="732"/>
      <c r="F38" s="537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7"/>
      <c r="E39" s="732"/>
      <c r="F39" s="537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7"/>
      <c r="E40" s="732"/>
      <c r="F40" s="537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77" t="s">
        <v>11</v>
      </c>
      <c r="D84" s="1278"/>
      <c r="E84" s="57">
        <f>E5+E6-F79+E7+E4</f>
        <v>14386.439999999999</v>
      </c>
      <c r="F84" s="73"/>
      <c r="N84" s="1277" t="s">
        <v>11</v>
      </c>
      <c r="O84" s="1278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2023-01-05T17:02:49Z</dcterms:modified>
</cp:coreProperties>
</file>