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0" yWindow="0" windowWidth="20715" windowHeight="11730" firstSheet="14" activeTab="14"/>
  </bookViews>
  <sheets>
    <sheet name="  E N E R O    2 0 2 3     " sheetId="1" r:id="rId1"/>
    <sheet name=" COMPRAS   ENERO  2023   " sheetId="2" r:id="rId2"/>
    <sheet name="  F E B R E R O    2 0 2 3    " sheetId="8" r:id="rId3"/>
    <sheet name="COMPRAS FEBRERO 2023   " sheetId="4" r:id="rId4"/>
    <sheet name="  M A R Z O    2 0 2 3       " sheetId="5" r:id="rId5"/>
    <sheet name="  COMPRAS    MARZO  2023     " sheetId="10" r:id="rId6"/>
    <sheet name="   A B R I L   2 0 2 3      " sheetId="9" r:id="rId7"/>
    <sheet name="  COMPRAS   ABRIL    2 0 2 3   " sheetId="6" r:id="rId8"/>
    <sheet name="    M A Y O     2 0 2 3        " sheetId="11" r:id="rId9"/>
    <sheet name="  COMPRAS   MAYO    2 0 2 3    " sheetId="12" r:id="rId10"/>
    <sheet name="   J U N I O     2 0 2 3     " sheetId="13" r:id="rId11"/>
    <sheet name=" COMPRAS    JUNIO   2 0 2 3    " sheetId="14" r:id="rId12"/>
    <sheet name="   J U L I O     2 0 2 3       " sheetId="15" r:id="rId13"/>
    <sheet name="   COMPRAS   JULIO    2 0 2 3  " sheetId="16" r:id="rId14"/>
    <sheet name="   A G O S T O     2 0 2 3     " sheetId="17" r:id="rId15"/>
    <sheet name="  COMPRAS  AGOSTO   20 23      " sheetId="18" r:id="rId16"/>
    <sheet name="Hoja3" sheetId="19" r:id="rId17"/>
    <sheet name="Hoja1" sheetId="20" r:id="rId18"/>
    <sheet name="PAGOS SEPTIEMBRE    " sheetId="21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9" i="18" l="1"/>
  <c r="C79" i="18"/>
  <c r="J37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K66" i="17"/>
  <c r="L60" i="17"/>
  <c r="I60" i="17"/>
  <c r="F60" i="17"/>
  <c r="C60" i="17"/>
  <c r="Q58" i="17"/>
  <c r="Q57" i="17"/>
  <c r="N56" i="17"/>
  <c r="P55" i="17"/>
  <c r="Q55" i="17" s="1"/>
  <c r="Q54" i="17"/>
  <c r="Q53" i="17"/>
  <c r="Q41" i="17"/>
  <c r="Q40" i="17"/>
  <c r="Q39" i="17"/>
  <c r="Q38" i="17"/>
  <c r="Q37" i="17"/>
  <c r="P36" i="17"/>
  <c r="Q36" i="17" s="1"/>
  <c r="P35" i="17"/>
  <c r="Q35" i="17" s="1"/>
  <c r="P34" i="17"/>
  <c r="Q34" i="17" s="1"/>
  <c r="P33" i="17"/>
  <c r="Q33" i="17" s="1"/>
  <c r="P32" i="17"/>
  <c r="Q32" i="17" s="1"/>
  <c r="P31" i="17"/>
  <c r="Q31" i="17" s="1"/>
  <c r="P30" i="17"/>
  <c r="Q30" i="17" s="1"/>
  <c r="P29" i="17"/>
  <c r="Q29" i="17" s="1"/>
  <c r="Q28" i="17"/>
  <c r="P28" i="17"/>
  <c r="P27" i="17"/>
  <c r="Q27" i="17" s="1"/>
  <c r="P26" i="17"/>
  <c r="Q26" i="17" s="1"/>
  <c r="P25" i="17"/>
  <c r="Q25" i="17" s="1"/>
  <c r="P24" i="17"/>
  <c r="Q24" i="17" s="1"/>
  <c r="P23" i="17"/>
  <c r="Q23" i="17" s="1"/>
  <c r="P22" i="17"/>
  <c r="Q22" i="17" s="1"/>
  <c r="P21" i="17"/>
  <c r="Q21" i="17" s="1"/>
  <c r="P20" i="17"/>
  <c r="Q20" i="17" s="1"/>
  <c r="P19" i="17"/>
  <c r="Q19" i="17" s="1"/>
  <c r="P18" i="17"/>
  <c r="Q18" i="17" s="1"/>
  <c r="P17" i="17"/>
  <c r="Q17" i="17" s="1"/>
  <c r="P16" i="17"/>
  <c r="Q16" i="17" s="1"/>
  <c r="P15" i="17"/>
  <c r="Q15" i="17" s="1"/>
  <c r="P14" i="17"/>
  <c r="Q14" i="17" s="1"/>
  <c r="P13" i="17"/>
  <c r="Q13" i="17" s="1"/>
  <c r="P12" i="17"/>
  <c r="Q12" i="17" s="1"/>
  <c r="P11" i="17"/>
  <c r="P10" i="17"/>
  <c r="Q10" i="17" s="1"/>
  <c r="P9" i="17"/>
  <c r="P8" i="17"/>
  <c r="Q8" i="17" s="1"/>
  <c r="P7" i="17"/>
  <c r="Q7" i="17" s="1"/>
  <c r="P6" i="17"/>
  <c r="P5" i="17"/>
  <c r="K62" i="17" l="1"/>
  <c r="F63" i="17" s="1"/>
  <c r="F66" i="17" s="1"/>
  <c r="K64" i="17" s="1"/>
  <c r="K68" i="17" s="1"/>
  <c r="Q56" i="17"/>
  <c r="R5" i="17"/>
  <c r="R56" i="17" s="1"/>
  <c r="M56" i="17"/>
  <c r="P56" i="17" s="1"/>
  <c r="M32" i="15"/>
  <c r="M62" i="17" l="1"/>
  <c r="M31" i="15"/>
  <c r="M30" i="15"/>
  <c r="M29" i="15"/>
  <c r="M28" i="15" l="1"/>
  <c r="M27" i="15"/>
  <c r="M26" i="15"/>
  <c r="Q25" i="15" l="1"/>
  <c r="M25" i="15" l="1"/>
  <c r="M24" i="15"/>
  <c r="M23" i="15"/>
  <c r="M22" i="15"/>
  <c r="M21" i="15" l="1"/>
  <c r="M20" i="15"/>
  <c r="M19" i="15"/>
  <c r="M18" i="15"/>
  <c r="M17" i="15"/>
  <c r="M16" i="15"/>
  <c r="M15" i="15"/>
  <c r="M13" i="15" l="1"/>
  <c r="M12" i="15" l="1"/>
  <c r="Q11" i="15"/>
  <c r="M11" i="15"/>
  <c r="M10" i="15" l="1"/>
  <c r="M9" i="15"/>
  <c r="M8" i="15"/>
  <c r="Q33" i="15"/>
  <c r="Q37" i="15"/>
  <c r="Q38" i="15"/>
  <c r="Q39" i="15"/>
  <c r="Q40" i="15"/>
  <c r="Q41" i="15"/>
  <c r="Q42" i="15"/>
  <c r="Q43" i="15"/>
  <c r="Q44" i="15"/>
  <c r="Q46" i="15"/>
  <c r="Q47" i="15"/>
  <c r="Q7" i="15"/>
  <c r="M6" i="15" l="1"/>
  <c r="M5" i="15"/>
  <c r="R5" i="15" s="1"/>
  <c r="P5" i="15" l="1"/>
  <c r="E79" i="16" l="1"/>
  <c r="C79" i="16"/>
  <c r="J37" i="16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K55" i="15"/>
  <c r="L49" i="15"/>
  <c r="I49" i="15"/>
  <c r="F49" i="15"/>
  <c r="C49" i="15"/>
  <c r="R45" i="15"/>
  <c r="N45" i="15"/>
  <c r="P44" i="15"/>
  <c r="P36" i="15"/>
  <c r="Q36" i="15" s="1"/>
  <c r="P35" i="15"/>
  <c r="Q35" i="15" s="1"/>
  <c r="P34" i="15"/>
  <c r="Q34" i="15" s="1"/>
  <c r="P33" i="15"/>
  <c r="P32" i="15"/>
  <c r="Q32" i="15" s="1"/>
  <c r="P31" i="15"/>
  <c r="Q31" i="15" s="1"/>
  <c r="P30" i="15"/>
  <c r="Q30" i="15" s="1"/>
  <c r="P29" i="15"/>
  <c r="Q29" i="15" s="1"/>
  <c r="P28" i="15"/>
  <c r="Q28" i="15" s="1"/>
  <c r="P27" i="15"/>
  <c r="Q27" i="15" s="1"/>
  <c r="P26" i="15"/>
  <c r="Q26" i="15" s="1"/>
  <c r="P25" i="15"/>
  <c r="P24" i="15"/>
  <c r="Q24" i="15" s="1"/>
  <c r="P23" i="15"/>
  <c r="Q23" i="15" s="1"/>
  <c r="P22" i="15"/>
  <c r="Q22" i="15" s="1"/>
  <c r="P21" i="15"/>
  <c r="Q21" i="15" s="1"/>
  <c r="P20" i="15"/>
  <c r="Q20" i="15" s="1"/>
  <c r="P19" i="15"/>
  <c r="Q19" i="15" s="1"/>
  <c r="P18" i="15"/>
  <c r="Q18" i="15" s="1"/>
  <c r="P17" i="15"/>
  <c r="Q17" i="15" s="1"/>
  <c r="P16" i="15"/>
  <c r="Q16" i="15" s="1"/>
  <c r="P15" i="15"/>
  <c r="Q15" i="15" s="1"/>
  <c r="P14" i="15"/>
  <c r="Q14" i="15" s="1"/>
  <c r="P13" i="15"/>
  <c r="Q13" i="15" s="1"/>
  <c r="P12" i="15"/>
  <c r="Q12" i="15" s="1"/>
  <c r="P11" i="15"/>
  <c r="P10" i="15"/>
  <c r="Q10" i="15" s="1"/>
  <c r="P9" i="15"/>
  <c r="P8" i="15"/>
  <c r="Q8" i="15" s="1"/>
  <c r="P7" i="15"/>
  <c r="P6" i="15"/>
  <c r="Q6" i="15" s="1"/>
  <c r="Q45" i="15" l="1"/>
  <c r="K51" i="15"/>
  <c r="F52" i="15" s="1"/>
  <c r="F55" i="15" s="1"/>
  <c r="K53" i="15" s="1"/>
  <c r="K57" i="15" s="1"/>
  <c r="M45" i="15"/>
  <c r="M51" i="15" s="1"/>
  <c r="M32" i="13"/>
  <c r="P45" i="15" l="1"/>
  <c r="M31" i="13"/>
  <c r="M30" i="13" l="1"/>
  <c r="M29" i="13"/>
  <c r="M28" i="13"/>
  <c r="M27" i="13"/>
  <c r="M26" i="13" l="1"/>
  <c r="M25" i="13" l="1"/>
  <c r="M24" i="13"/>
  <c r="M23" i="13"/>
  <c r="M22" i="13" l="1"/>
  <c r="M21" i="13"/>
  <c r="M20" i="13" l="1"/>
  <c r="M19" i="13"/>
  <c r="M18" i="13"/>
  <c r="M17" i="13"/>
  <c r="M16" i="13" l="1"/>
  <c r="M15" i="13"/>
  <c r="M14" i="13" l="1"/>
  <c r="M13" i="13"/>
  <c r="M12" i="13"/>
  <c r="M11" i="13" l="1"/>
  <c r="M10" i="13" l="1"/>
  <c r="M8" i="13" l="1"/>
  <c r="M6" i="13"/>
  <c r="Q33" i="13" l="1"/>
  <c r="Q34" i="13"/>
  <c r="Q37" i="13"/>
  <c r="Q38" i="13"/>
  <c r="Q39" i="13"/>
  <c r="Q40" i="13"/>
  <c r="Q41" i="13"/>
  <c r="Q42" i="13"/>
  <c r="Q43" i="13"/>
  <c r="Q44" i="13"/>
  <c r="M5" i="13"/>
  <c r="E79" i="14" l="1"/>
  <c r="C79" i="14"/>
  <c r="J37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K55" i="13"/>
  <c r="L49" i="13"/>
  <c r="I49" i="13"/>
  <c r="F49" i="13"/>
  <c r="C49" i="13"/>
  <c r="R45" i="13"/>
  <c r="N45" i="13"/>
  <c r="P44" i="13"/>
  <c r="P36" i="13"/>
  <c r="P35" i="13"/>
  <c r="Q45" i="13" s="1"/>
  <c r="P34" i="13"/>
  <c r="P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P19" i="13"/>
  <c r="Q19" i="13" s="1"/>
  <c r="P18" i="13"/>
  <c r="Q18" i="13" s="1"/>
  <c r="P17" i="13"/>
  <c r="Q17" i="13" s="1"/>
  <c r="P16" i="13"/>
  <c r="Q16" i="13" s="1"/>
  <c r="P15" i="13"/>
  <c r="Q15" i="13" s="1"/>
  <c r="P14" i="13"/>
  <c r="Q14" i="13" s="1"/>
  <c r="P13" i="13"/>
  <c r="Q13" i="13" s="1"/>
  <c r="P12" i="13"/>
  <c r="Q12" i="13" s="1"/>
  <c r="P11" i="13"/>
  <c r="P10" i="13"/>
  <c r="Q10" i="13" s="1"/>
  <c r="P9" i="13"/>
  <c r="Q9" i="13" s="1"/>
  <c r="M45" i="13"/>
  <c r="P7" i="13"/>
  <c r="P6" i="13"/>
  <c r="P5" i="13"/>
  <c r="K51" i="13" l="1"/>
  <c r="F52" i="13" s="1"/>
  <c r="F55" i="13" s="1"/>
  <c r="K53" i="13" s="1"/>
  <c r="K57" i="13" s="1"/>
  <c r="M51" i="13"/>
  <c r="P45" i="13"/>
  <c r="P8" i="13"/>
  <c r="Q8" i="13" s="1"/>
  <c r="M35" i="11"/>
  <c r="M34" i="11"/>
  <c r="M33" i="11"/>
  <c r="M31" i="11" l="1"/>
  <c r="M29" i="11"/>
  <c r="M28" i="11"/>
  <c r="M27" i="11"/>
  <c r="M26" i="11"/>
  <c r="M24" i="11" l="1"/>
  <c r="M23" i="11"/>
  <c r="M22" i="11" l="1"/>
  <c r="M21" i="11" l="1"/>
  <c r="M20" i="11"/>
  <c r="M19" i="11" l="1"/>
  <c r="M18" i="11"/>
  <c r="M16" i="11" l="1"/>
  <c r="M15" i="11"/>
  <c r="M14" i="11"/>
  <c r="M13" i="11" l="1"/>
  <c r="M12" i="11" l="1"/>
  <c r="M11" i="11"/>
  <c r="M10" i="11"/>
  <c r="M8" i="11"/>
  <c r="M7" i="11"/>
  <c r="Q36" i="11" l="1"/>
  <c r="Q41" i="11"/>
  <c r="M5" i="11"/>
  <c r="C79" i="6" l="1"/>
  <c r="E79" i="12" l="1"/>
  <c r="C79" i="12"/>
  <c r="J37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5" i="11"/>
  <c r="L49" i="11"/>
  <c r="I49" i="11"/>
  <c r="F49" i="11"/>
  <c r="C49" i="11"/>
  <c r="R45" i="11"/>
  <c r="P44" i="11"/>
  <c r="Q44" i="11" s="1"/>
  <c r="Q43" i="11"/>
  <c r="Q42" i="11"/>
  <c r="Q40" i="11"/>
  <c r="Q39" i="11"/>
  <c r="Q38" i="11"/>
  <c r="Q37" i="11"/>
  <c r="P36" i="11"/>
  <c r="P35" i="11"/>
  <c r="Q35" i="11" s="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P10" i="11"/>
  <c r="Q10" i="11" s="1"/>
  <c r="P9" i="11"/>
  <c r="Q9" i="11" s="1"/>
  <c r="N45" i="11"/>
  <c r="P8" i="11"/>
  <c r="P7" i="11"/>
  <c r="P6" i="11"/>
  <c r="Q6" i="11" s="1"/>
  <c r="M45" i="11"/>
  <c r="K51" i="11" l="1"/>
  <c r="F52" i="11" s="1"/>
  <c r="F55" i="11" s="1"/>
  <c r="K53" i="11" s="1"/>
  <c r="K57" i="11" s="1"/>
  <c r="M51" i="11"/>
  <c r="P45" i="11"/>
  <c r="Q45" i="11"/>
  <c r="P5" i="11"/>
  <c r="M39" i="9"/>
  <c r="P37" i="9"/>
  <c r="P38" i="9"/>
  <c r="P39" i="9"/>
  <c r="P40" i="9"/>
  <c r="M37" i="9"/>
  <c r="M36" i="9"/>
  <c r="M35" i="9" l="1"/>
  <c r="M34" i="9" l="1"/>
  <c r="M33" i="9"/>
  <c r="M32" i="9"/>
  <c r="M30" i="9"/>
  <c r="M29" i="9"/>
  <c r="M28" i="9" l="1"/>
  <c r="M27" i="9"/>
  <c r="M26" i="9"/>
  <c r="M25" i="9"/>
  <c r="M24" i="9"/>
  <c r="M23" i="9"/>
  <c r="M22" i="9"/>
  <c r="M21" i="9"/>
  <c r="M20" i="9"/>
  <c r="M19" i="9" l="1"/>
  <c r="M18" i="9"/>
  <c r="M16" i="9"/>
  <c r="M15" i="9" l="1"/>
  <c r="M14" i="9" l="1"/>
  <c r="M13" i="9" l="1"/>
  <c r="M11" i="9" l="1"/>
  <c r="N9" i="9"/>
  <c r="M9" i="9"/>
  <c r="M8" i="9"/>
  <c r="M7" i="9"/>
  <c r="M6" i="9" l="1"/>
  <c r="Q37" i="9"/>
  <c r="Q38" i="9"/>
  <c r="Q39" i="9"/>
  <c r="Q40" i="9"/>
  <c r="Q41" i="9"/>
  <c r="M5" i="9"/>
  <c r="Q42" i="9" l="1"/>
  <c r="E79" i="6"/>
  <c r="J37" i="6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K55" i="9"/>
  <c r="L49" i="9"/>
  <c r="I49" i="9"/>
  <c r="F49" i="9"/>
  <c r="C49" i="9"/>
  <c r="R45" i="9"/>
  <c r="P44" i="9"/>
  <c r="Q44" i="9" s="1"/>
  <c r="P43" i="9"/>
  <c r="Q43" i="9" s="1"/>
  <c r="P36" i="9"/>
  <c r="Q36" i="9" s="1"/>
  <c r="P35" i="9"/>
  <c r="Q35" i="9" s="1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P12" i="9"/>
  <c r="Q12" i="9" s="1"/>
  <c r="P11" i="9"/>
  <c r="Q11" i="9" s="1"/>
  <c r="P10" i="9"/>
  <c r="Q10" i="9" s="1"/>
  <c r="P9" i="9"/>
  <c r="Q9" i="9" s="1"/>
  <c r="P8" i="9"/>
  <c r="Q8" i="9" s="1"/>
  <c r="P7" i="9"/>
  <c r="P6" i="9"/>
  <c r="P5" i="9"/>
  <c r="Q45" i="9" l="1"/>
  <c r="K51" i="9"/>
  <c r="F52" i="9" s="1"/>
  <c r="F55" i="9" s="1"/>
  <c r="K53" i="9" s="1"/>
  <c r="K57" i="9" s="1"/>
  <c r="M45" i="9"/>
  <c r="N45" i="9"/>
  <c r="M51" i="9" l="1"/>
  <c r="P45" i="9"/>
  <c r="M32" i="5" l="1"/>
  <c r="M31" i="5"/>
  <c r="M30" i="5" l="1"/>
  <c r="M29" i="5"/>
  <c r="M28" i="5"/>
  <c r="M27" i="5" l="1"/>
  <c r="N25" i="5" l="1"/>
  <c r="M25" i="5"/>
  <c r="M23" i="5"/>
  <c r="N22" i="5"/>
  <c r="M22" i="5"/>
  <c r="M24" i="5"/>
  <c r="M21" i="5" l="1"/>
  <c r="M20" i="5"/>
  <c r="M19" i="5" l="1"/>
  <c r="M18" i="5"/>
  <c r="M17" i="5" l="1"/>
  <c r="M16" i="5"/>
  <c r="M15" i="5"/>
  <c r="M14" i="5"/>
  <c r="M13" i="5"/>
  <c r="M12" i="5"/>
  <c r="M11" i="5"/>
  <c r="M10" i="5" l="1"/>
  <c r="M9" i="5"/>
  <c r="M8" i="5"/>
  <c r="Q7" i="5"/>
  <c r="M7" i="5"/>
  <c r="M6" i="5"/>
  <c r="M5" i="5" l="1"/>
  <c r="P5" i="5"/>
  <c r="E79" i="10" l="1"/>
  <c r="C79" i="10"/>
  <c r="J37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5" i="5"/>
  <c r="L49" i="5"/>
  <c r="I49" i="5"/>
  <c r="F49" i="5"/>
  <c r="C49" i="5"/>
  <c r="R45" i="5"/>
  <c r="N45" i="5"/>
  <c r="Q44" i="5"/>
  <c r="P44" i="5"/>
  <c r="P43" i="5"/>
  <c r="Q43" i="5" s="1"/>
  <c r="Q42" i="5"/>
  <c r="Q41" i="5"/>
  <c r="Q40" i="5"/>
  <c r="Q39" i="5"/>
  <c r="Q38" i="5"/>
  <c r="Q37" i="5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P8" i="5"/>
  <c r="P7" i="5"/>
  <c r="P6" i="5"/>
  <c r="K51" i="5" l="1"/>
  <c r="F52" i="5" s="1"/>
  <c r="F55" i="5" s="1"/>
  <c r="K53" i="5" s="1"/>
  <c r="K57" i="5" s="1"/>
  <c r="Q45" i="5"/>
  <c r="M45" i="5"/>
  <c r="P43" i="8"/>
  <c r="P44" i="8"/>
  <c r="R45" i="8"/>
  <c r="M51" i="5" l="1"/>
  <c r="P45" i="5"/>
  <c r="M34" i="8"/>
  <c r="M33" i="8"/>
  <c r="M32" i="8"/>
  <c r="M31" i="8"/>
  <c r="M30" i="8"/>
  <c r="M29" i="8"/>
  <c r="M27" i="8"/>
  <c r="M26" i="8"/>
  <c r="M25" i="8" l="1"/>
  <c r="M24" i="8"/>
  <c r="M23" i="8"/>
  <c r="M22" i="8"/>
  <c r="M21" i="8"/>
  <c r="M20" i="8"/>
  <c r="M19" i="8"/>
  <c r="M18" i="8" l="1"/>
  <c r="M17" i="8"/>
  <c r="M15" i="8" l="1"/>
  <c r="M13" i="8" l="1"/>
  <c r="M12" i="8"/>
  <c r="M11" i="8"/>
  <c r="M9" i="8"/>
  <c r="M8" i="8"/>
  <c r="M7" i="8"/>
  <c r="M6" i="8"/>
  <c r="M5" i="8"/>
  <c r="M25" i="1" l="1"/>
  <c r="M24" i="1" l="1"/>
  <c r="C23" i="1"/>
  <c r="M23" i="1"/>
  <c r="M22" i="1"/>
  <c r="M21" i="1" l="1"/>
  <c r="M20" i="1"/>
  <c r="M19" i="1" l="1"/>
  <c r="M18" i="1"/>
  <c r="M17" i="1"/>
  <c r="M16" i="1"/>
  <c r="M15" i="1"/>
  <c r="M13" i="1"/>
  <c r="M12" i="1"/>
  <c r="M11" i="1"/>
  <c r="M10" i="1" l="1"/>
  <c r="M9" i="1"/>
  <c r="M8" i="1"/>
  <c r="M5" i="1" l="1"/>
  <c r="F53" i="1" l="1"/>
  <c r="K55" i="8" l="1"/>
  <c r="L49" i="8"/>
  <c r="I49" i="8"/>
  <c r="F49" i="8"/>
  <c r="C49" i="8"/>
  <c r="N45" i="8"/>
  <c r="M45" i="8"/>
  <c r="Q44" i="8"/>
  <c r="Q43" i="8"/>
  <c r="Q42" i="8"/>
  <c r="Q41" i="8"/>
  <c r="Q40" i="8"/>
  <c r="Q39" i="8"/>
  <c r="Q38" i="8"/>
  <c r="Q37" i="8"/>
  <c r="P36" i="8"/>
  <c r="Q36" i="8" s="1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P10" i="8"/>
  <c r="Q10" i="8" s="1"/>
  <c r="P9" i="8"/>
  <c r="Q9" i="8" s="1"/>
  <c r="P8" i="8"/>
  <c r="Q8" i="8" s="1"/>
  <c r="P7" i="8"/>
  <c r="Q7" i="8" s="1"/>
  <c r="P6" i="8"/>
  <c r="P5" i="8"/>
  <c r="E79" i="4"/>
  <c r="C79" i="4"/>
  <c r="J3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E79" i="2"/>
  <c r="C79" i="2"/>
  <c r="J3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59" i="1"/>
  <c r="L53" i="1"/>
  <c r="I53" i="1"/>
  <c r="C53" i="1"/>
  <c r="N49" i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P10" i="1"/>
  <c r="Q10" i="1" s="1"/>
  <c r="P9" i="1"/>
  <c r="Q9" i="1" s="1"/>
  <c r="P8" i="1"/>
  <c r="P7" i="1"/>
  <c r="Q7" i="1" s="1"/>
  <c r="P6" i="1"/>
  <c r="P5" i="1"/>
  <c r="P45" i="8" l="1"/>
  <c r="K51" i="8"/>
  <c r="F52" i="8" s="1"/>
  <c r="F55" i="8" s="1"/>
  <c r="K53" i="8" s="1"/>
  <c r="K57" i="8" s="1"/>
  <c r="Q45" i="8"/>
  <c r="M51" i="8"/>
  <c r="K55" i="1"/>
  <c r="F56" i="1" s="1"/>
  <c r="F59" i="1" s="1"/>
  <c r="K57" i="1" s="1"/>
  <c r="K61" i="1" s="1"/>
  <c r="Q49" i="1"/>
  <c r="M49" i="1"/>
  <c r="M55" i="1" s="1"/>
  <c r="P49" i="1" l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<sst xmlns="http://schemas.openxmlformats.org/spreadsheetml/2006/main" count="866" uniqueCount="491">
  <si>
    <t>COMPRAS</t>
  </si>
  <si>
    <t>MARISOL ORTIZ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</si>
  <si>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</si>
  <si>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</si>
  <si>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</si>
  <si>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</si>
  <si>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</si>
  <si>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</si>
  <si>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</si>
  <si>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</si>
  <si>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</si>
  <si>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</si>
  <si>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</si>
  <si>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</si>
  <si>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</si>
  <si>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</si>
  <si>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</si>
  <si>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</si>
  <si>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</si>
  <si>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</si>
  <si>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</si>
  <si>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</si>
  <si>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</si>
  <si>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</si>
  <si>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</si>
  <si>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</si>
  <si>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</si>
  <si>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</si>
  <si>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</si>
  <si>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BALANCE      ABASTO 4 CARNES    H E R R A D U R A    ENERO    2 0 2 3</t>
  </si>
  <si>
    <t xml:space="preserve">      REMISIONES  ABASTO 4 CARNES       2 0 2 3</t>
  </si>
  <si>
    <t>22848 D</t>
  </si>
  <si>
    <t>22894 D</t>
  </si>
  <si>
    <t>22962 D</t>
  </si>
  <si>
    <t>23115 D</t>
  </si>
  <si>
    <t>23224 D</t>
  </si>
  <si>
    <t>23348 D</t>
  </si>
  <si>
    <t>23409 D</t>
  </si>
  <si>
    <t>23496 D</t>
  </si>
  <si>
    <t>23554 D</t>
  </si>
  <si>
    <t>23638 D</t>
  </si>
  <si>
    <t>23643 D</t>
  </si>
  <si>
    <t>23737 D</t>
  </si>
  <si>
    <t>23842 D</t>
  </si>
  <si>
    <t>24029 D</t>
  </si>
  <si>
    <t>24118 D</t>
  </si>
  <si>
    <t>24321 D</t>
  </si>
  <si>
    <t>24520 D</t>
  </si>
  <si>
    <t>24525 D</t>
  </si>
  <si>
    <t>24564 D</t>
  </si>
  <si>
    <t>24607 D</t>
  </si>
  <si>
    <t>24661 D</t>
  </si>
  <si>
    <t>24729 D</t>
  </si>
  <si>
    <t>24739 D</t>
  </si>
  <si>
    <t>24829 D</t>
  </si>
  <si>
    <t>24930 D</t>
  </si>
  <si>
    <t>00163 E</t>
  </si>
  <si>
    <t>00141 E</t>
  </si>
  <si>
    <t>00168 E</t>
  </si>
  <si>
    <t>00265 E</t>
  </si>
  <si>
    <t>00272 E</t>
  </si>
  <si>
    <t>BALANCE      ABASTO 4 CARNES    H E R R A D U R A    FEBRERO   2 0 2 3</t>
  </si>
  <si>
    <t>00399 E</t>
  </si>
  <si>
    <t>00406 E</t>
  </si>
  <si>
    <t>00529 D</t>
  </si>
  <si>
    <t>00575 D</t>
  </si>
  <si>
    <t>00643 D</t>
  </si>
  <si>
    <t>LONGANIZA</t>
  </si>
  <si>
    <t>LONGANIZA--ARABE</t>
  </si>
  <si>
    <t>COMPRAS CENTRAL</t>
  </si>
  <si>
    <t>NOMINA # 2</t>
  </si>
  <si>
    <t>Inspeccion Bascula</t>
  </si>
  <si>
    <t>BONOS ANUAL</t>
  </si>
  <si>
    <t>NOMINA # 3</t>
  </si>
  <si>
    <t>GOUDA</t>
  </si>
  <si>
    <t xml:space="preserve">LONGANIZA--COMPRAS CENTRAL </t>
  </si>
  <si>
    <t>NOMINA # 4</t>
  </si>
  <si>
    <t>00735 E</t>
  </si>
  <si>
    <t>00841 E</t>
  </si>
  <si>
    <t>00856 E</t>
  </si>
  <si>
    <t>00994 E</t>
  </si>
  <si>
    <t>01082 E</t>
  </si>
  <si>
    <t>01222 E</t>
  </si>
  <si>
    <t>01330 E</t>
  </si>
  <si>
    <t>01369 E</t>
  </si>
  <si>
    <t>01407 E</t>
  </si>
  <si>
    <t>01504 E</t>
  </si>
  <si>
    <t>01524 E</t>
  </si>
  <si>
    <t>01628 E</t>
  </si>
  <si>
    <t>01742 E</t>
  </si>
  <si>
    <t>01809 E</t>
  </si>
  <si>
    <t>01812 E</t>
  </si>
  <si>
    <t>01868 E</t>
  </si>
  <si>
    <t>01904 E</t>
  </si>
  <si>
    <t>02052 E</t>
  </si>
  <si>
    <t>02197 E</t>
  </si>
  <si>
    <t>02403 E</t>
  </si>
  <si>
    <t>02520 E</t>
  </si>
  <si>
    <t>02598 E</t>
  </si>
  <si>
    <t>02237 E</t>
  </si>
  <si>
    <t>CHORIZO</t>
  </si>
  <si>
    <t>Base Refri</t>
  </si>
  <si>
    <t>NOMINA # 5</t>
  </si>
  <si>
    <t>LONGANIZA-CHORIZO</t>
  </si>
  <si>
    <t>NOMINA # 6</t>
  </si>
  <si>
    <t>QUESO-Y PALITOS DE QUESO</t>
  </si>
  <si>
    <t>NOMINA # 7</t>
  </si>
  <si>
    <t>NOMINA # 8</t>
  </si>
  <si>
    <t>Fumigacion</t>
  </si>
  <si>
    <t>ADT</t>
  </si>
  <si>
    <t>LUZ</t>
  </si>
  <si>
    <t>TELMEX</t>
  </si>
  <si>
    <t>COMISIONES BANCO</t>
  </si>
  <si>
    <t>FUMIGACION</t>
  </si>
  <si>
    <t>FEBRERO.,</t>
  </si>
  <si>
    <t>BALANCE      ABASTO 4 CARNES    H E R R A D U R A     MARZO       2 0 2 3</t>
  </si>
  <si>
    <t>2776 E</t>
  </si>
  <si>
    <t>2844 E</t>
  </si>
  <si>
    <t>2916 E</t>
  </si>
  <si>
    <t>3040 E</t>
  </si>
  <si>
    <t>3155 E</t>
  </si>
  <si>
    <t>3173 E</t>
  </si>
  <si>
    <t>3174 E</t>
  </si>
  <si>
    <t>3176 E</t>
  </si>
  <si>
    <t>3266 E</t>
  </si>
  <si>
    <t>3378 E</t>
  </si>
  <si>
    <t>3379 E</t>
  </si>
  <si>
    <t>3427 E</t>
  </si>
  <si>
    <t>3604 E</t>
  </si>
  <si>
    <t>3606 E</t>
  </si>
  <si>
    <t>3607 E</t>
  </si>
  <si>
    <t>3693 E</t>
  </si>
  <si>
    <t>3811 E</t>
  </si>
  <si>
    <t>3816 E</t>
  </si>
  <si>
    <t>3851 E</t>
  </si>
  <si>
    <t>3852 E</t>
  </si>
  <si>
    <t>3865 E</t>
  </si>
  <si>
    <t>4008 E</t>
  </si>
  <si>
    <t>4040 E</t>
  </si>
  <si>
    <t>4210 E--4213</t>
  </si>
  <si>
    <t>4211-E---4204</t>
  </si>
  <si>
    <t>4231 E</t>
  </si>
  <si>
    <t>4294 E</t>
  </si>
  <si>
    <t>4350 E</t>
  </si>
  <si>
    <t>4481 E</t>
  </si>
  <si>
    <t>4486 E</t>
  </si>
  <si>
    <t>4550 E</t>
  </si>
  <si>
    <t>4564 E</t>
  </si>
  <si>
    <t>4700 E</t>
  </si>
  <si>
    <t>4750 E</t>
  </si>
  <si>
    <t>4883 E</t>
  </si>
  <si>
    <t>4905 E</t>
  </si>
  <si>
    <t>5044 E</t>
  </si>
  <si>
    <t>5046 E</t>
  </si>
  <si>
    <t>5167 E</t>
  </si>
  <si>
    <t>5200 E</t>
  </si>
  <si>
    <t>5245 E</t>
  </si>
  <si>
    <t>5279 E</t>
  </si>
  <si>
    <t>5368 E</t>
  </si>
  <si>
    <t>5464 E</t>
  </si>
  <si>
    <t>NOMINA # 9</t>
  </si>
  <si>
    <t>queso</t>
  </si>
  <si>
    <t>NOMINA # 10</t>
  </si>
  <si>
    <t>NOMINA # 11</t>
  </si>
  <si>
    <t>chaorizo-queso gouda</t>
  </si>
  <si>
    <t>NOMINA # 12</t>
  </si>
  <si>
    <t xml:space="preserve">LONGANIZA-COMPRAS CENTRAL </t>
  </si>
  <si>
    <t>proteccion civil Marzo</t>
  </si>
  <si>
    <t>5587 E</t>
  </si>
  <si>
    <t>Vitrina</t>
  </si>
  <si>
    <t>PERDIDA</t>
  </si>
  <si>
    <t>BALANCE      ABASTO 4 CARNES    H E R R A D U R A     ABRIL       2 0 2 3</t>
  </si>
  <si>
    <t>5688 E</t>
  </si>
  <si>
    <t>5772 E</t>
  </si>
  <si>
    <t>5817 E</t>
  </si>
  <si>
    <t>6103 E</t>
  </si>
  <si>
    <t>6117 E</t>
  </si>
  <si>
    <t>6135 E</t>
  </si>
  <si>
    <t>6206 E</t>
  </si>
  <si>
    <t>6236 E</t>
  </si>
  <si>
    <t>6294 E</t>
  </si>
  <si>
    <t>6297 E</t>
  </si>
  <si>
    <t>6302 E</t>
  </si>
  <si>
    <t>6403 E</t>
  </si>
  <si>
    <t>6416 E</t>
  </si>
  <si>
    <t>6575 E</t>
  </si>
  <si>
    <t>6760 E</t>
  </si>
  <si>
    <t>06971 E</t>
  </si>
  <si>
    <t>6977 E</t>
  </si>
  <si>
    <t>7015 E</t>
  </si>
  <si>
    <t>7055 E</t>
  </si>
  <si>
    <t>7182 E</t>
  </si>
  <si>
    <t>7214 E</t>
  </si>
  <si>
    <t>7335 E</t>
  </si>
  <si>
    <t>7475 E</t>
  </si>
  <si>
    <t>7492 E</t>
  </si>
  <si>
    <t>7653 E</t>
  </si>
  <si>
    <t>7772 E</t>
  </si>
  <si>
    <t>7874 E</t>
  </si>
  <si>
    <t>7952 E</t>
  </si>
  <si>
    <t>8096 E</t>
  </si>
  <si>
    <t>8100 E</t>
  </si>
  <si>
    <t>8327 E</t>
  </si>
  <si>
    <t>8414 E</t>
  </si>
  <si>
    <t>NOMINA #13</t>
  </si>
  <si>
    <t>Vac. Marisol</t>
  </si>
  <si>
    <t>QUESO GOUDA</t>
  </si>
  <si>
    <t>NOMINA # 14</t>
  </si>
  <si>
    <t>NOMINA #15</t>
  </si>
  <si>
    <t>BONO MARISOL</t>
  </si>
  <si>
    <t>NOMINA #17</t>
  </si>
  <si>
    <t>CHORIZO-LONGANIZA</t>
  </si>
  <si>
    <t>NOMINA #18</t>
  </si>
  <si>
    <t>LONGANIZA-</t>
  </si>
  <si>
    <t>ABRIO  EN AGOSTO 2021</t>
  </si>
  <si>
    <t>8579 E</t>
  </si>
  <si>
    <t>8592 E</t>
  </si>
  <si>
    <t>8594 E</t>
  </si>
  <si>
    <t>8728 E</t>
  </si>
  <si>
    <t>8729 E</t>
  </si>
  <si>
    <t>8745 E</t>
  </si>
  <si>
    <t xml:space="preserve">8847 E </t>
  </si>
  <si>
    <t>8882 E</t>
  </si>
  <si>
    <t>8903 E</t>
  </si>
  <si>
    <t>9014 E</t>
  </si>
  <si>
    <t>9026 E</t>
  </si>
  <si>
    <t>9172 E</t>
  </si>
  <si>
    <t>Recibo POQ8LB1801N1</t>
  </si>
  <si>
    <t>COMISION BANCO</t>
  </si>
  <si>
    <t>LUZ Bimestre</t>
  </si>
  <si>
    <t>Guardia Seguridad</t>
  </si>
  <si>
    <t>BALANCE      ABASTO 4 CARNES    H E R R A D U R A     MAYO       2 0 2 3</t>
  </si>
  <si>
    <t>9228 E</t>
  </si>
  <si>
    <t>9271 E</t>
  </si>
  <si>
    <t>9299 E</t>
  </si>
  <si>
    <t>9300 E</t>
  </si>
  <si>
    <t>9318 E</t>
  </si>
  <si>
    <t>9338 E</t>
  </si>
  <si>
    <t>9436 E</t>
  </si>
  <si>
    <t>9457 E</t>
  </si>
  <si>
    <t>9484 E</t>
  </si>
  <si>
    <t>9526 E</t>
  </si>
  <si>
    <t>9716 E</t>
  </si>
  <si>
    <t>9720 E</t>
  </si>
  <si>
    <t>9844 E</t>
  </si>
  <si>
    <t>9878 E</t>
  </si>
  <si>
    <t>9880 E</t>
  </si>
  <si>
    <t>9951 E</t>
  </si>
  <si>
    <t>9954 E</t>
  </si>
  <si>
    <t>10142 E</t>
  </si>
  <si>
    <t>10143 E</t>
  </si>
  <si>
    <t>10212 E</t>
  </si>
  <si>
    <r>
      <t>--------10241-E--------</t>
    </r>
    <r>
      <rPr>
        <b/>
        <sz val="13"/>
        <color theme="5" tint="-0.499984740745262"/>
        <rFont val="Calibri"/>
        <family val="2"/>
        <scheme val="minor"/>
      </rPr>
      <t>--11251 E</t>
    </r>
  </si>
  <si>
    <t>10312 E</t>
  </si>
  <si>
    <t>10326 E</t>
  </si>
  <si>
    <t>10427 E</t>
  </si>
  <si>
    <t>10572 E</t>
  </si>
  <si>
    <t>10680 E</t>
  </si>
  <si>
    <t>10782 E</t>
  </si>
  <si>
    <t>10783 E</t>
  </si>
  <si>
    <t>108796 E</t>
  </si>
  <si>
    <t>10886 E</t>
  </si>
  <si>
    <t>10889 E</t>
  </si>
  <si>
    <t>11006 E</t>
  </si>
  <si>
    <t>11054 E</t>
  </si>
  <si>
    <t>11158 E</t>
  </si>
  <si>
    <t>NOMINA  # 18</t>
  </si>
  <si>
    <t xml:space="preserve">COMPRAS CENTRAL </t>
  </si>
  <si>
    <t>NOMINA # 19</t>
  </si>
  <si>
    <t>LONGANIZA-ENCHILADA</t>
  </si>
  <si>
    <t>s/comision</t>
  </si>
  <si>
    <t xml:space="preserve">LONGANIZA   </t>
  </si>
  <si>
    <t>NOMINA # 20</t>
  </si>
  <si>
    <t>NORMA</t>
  </si>
  <si>
    <t>ESTHER</t>
  </si>
  <si>
    <t>P.T.U.  2022</t>
  </si>
  <si>
    <t>NOMIAN # 21</t>
  </si>
  <si>
    <t>11226 E</t>
  </si>
  <si>
    <t>11292 E</t>
  </si>
  <si>
    <t>11337 E</t>
  </si>
  <si>
    <t>12188 E</t>
  </si>
  <si>
    <t>11524 E</t>
  </si>
  <si>
    <t>11680 E</t>
  </si>
  <si>
    <t>11686 E</t>
  </si>
  <si>
    <t>11802 E</t>
  </si>
  <si>
    <t>11836 E</t>
  </si>
  <si>
    <t>11862 E</t>
  </si>
  <si>
    <t>11878 E</t>
  </si>
  <si>
    <t>12054 E</t>
  </si>
  <si>
    <t>12125 E</t>
  </si>
  <si>
    <t>12378 E</t>
  </si>
  <si>
    <t>12393 E</t>
  </si>
  <si>
    <t>12394 E</t>
  </si>
  <si>
    <t>NOMINA # 22</t>
  </si>
  <si>
    <t>ENCHILADA</t>
  </si>
  <si>
    <t>Servicio Banco</t>
  </si>
  <si>
    <t>comision ???</t>
  </si>
  <si>
    <t>Comsiones banco</t>
  </si>
  <si>
    <t xml:space="preserve">guadia </t>
  </si>
  <si>
    <t>6-jun-2023</t>
  </si>
  <si>
    <t>E-12533</t>
  </si>
  <si>
    <t>E-12593</t>
  </si>
  <si>
    <t>E-12606</t>
  </si>
  <si>
    <t>7-jun-2023</t>
  </si>
  <si>
    <t>E-12709</t>
  </si>
  <si>
    <t>8-jun-2023</t>
  </si>
  <si>
    <t>E-12837</t>
  </si>
  <si>
    <t>E-12840</t>
  </si>
  <si>
    <t>9-jun-2023</t>
  </si>
  <si>
    <t>E-12871</t>
  </si>
  <si>
    <t>E-12969</t>
  </si>
  <si>
    <t>10-jun-2023</t>
  </si>
  <si>
    <t>E-13074</t>
  </si>
  <si>
    <t>E-13086</t>
  </si>
  <si>
    <t>12-jun-2023</t>
  </si>
  <si>
    <t>E-13220</t>
  </si>
  <si>
    <t>E-13221</t>
  </si>
  <si>
    <t>13-jun-2023</t>
  </si>
  <si>
    <t>E-13236</t>
  </si>
  <si>
    <t>E-13307</t>
  </si>
  <si>
    <t>15-jun-2023</t>
  </si>
  <si>
    <t>E-13436</t>
  </si>
  <si>
    <t>E-13456</t>
  </si>
  <si>
    <t>E-13530</t>
  </si>
  <si>
    <t>16-jun-2023</t>
  </si>
  <si>
    <t>E-13625</t>
  </si>
  <si>
    <t>17-jun-2023</t>
  </si>
  <si>
    <t>E-13769</t>
  </si>
  <si>
    <t>E-13775</t>
  </si>
  <si>
    <t>E-13807</t>
  </si>
  <si>
    <t>19-jun-2023</t>
  </si>
  <si>
    <t>E-13871</t>
  </si>
  <si>
    <t>20-jun-2023</t>
  </si>
  <si>
    <t>E-14022</t>
  </si>
  <si>
    <t>E-14024</t>
  </si>
  <si>
    <t>22-jun-2023</t>
  </si>
  <si>
    <t>E-14204</t>
  </si>
  <si>
    <t>E-14205</t>
  </si>
  <si>
    <t>E-14232</t>
  </si>
  <si>
    <t>E-14234</t>
  </si>
  <si>
    <t>E-14244</t>
  </si>
  <si>
    <t>23-jun-2023</t>
  </si>
  <si>
    <t>E-14295</t>
  </si>
  <si>
    <t>E-14296</t>
  </si>
  <si>
    <t>E-14297</t>
  </si>
  <si>
    <t>24-jun-2023</t>
  </si>
  <si>
    <t>E-14478</t>
  </si>
  <si>
    <t>E-14483</t>
  </si>
  <si>
    <t>26-jun-2023</t>
  </si>
  <si>
    <t>E-14536</t>
  </si>
  <si>
    <t>E-14553</t>
  </si>
  <si>
    <t>27-jun-2023</t>
  </si>
  <si>
    <t>E-14675</t>
  </si>
  <si>
    <t>28-jun-2023</t>
  </si>
  <si>
    <t>E-14765</t>
  </si>
  <si>
    <t>E-14819</t>
  </si>
  <si>
    <t>29-jun-2023</t>
  </si>
  <si>
    <t>E-14842</t>
  </si>
  <si>
    <t>E-14854</t>
  </si>
  <si>
    <t>E-14898</t>
  </si>
  <si>
    <t>E-14902</t>
  </si>
  <si>
    <t>30-jun-2023</t>
  </si>
  <si>
    <t>E-14960</t>
  </si>
  <si>
    <t xml:space="preserve">  </t>
  </si>
  <si>
    <t>E-15127</t>
  </si>
  <si>
    <t>E-15132</t>
  </si>
  <si>
    <t>NOMINA # 23</t>
  </si>
  <si>
    <t>NOMINA # 24 y Vacaciones Esther Morlaes Alarcon</t>
  </si>
  <si>
    <t>LONGANIZA--QUESO GOUDA</t>
  </si>
  <si>
    <t>NOMINA # 25</t>
  </si>
  <si>
    <t>NOMINA # 26</t>
  </si>
  <si>
    <t>bancanet</t>
  </si>
  <si>
    <t>comision ????</t>
  </si>
  <si>
    <t>guardia junio</t>
  </si>
  <si>
    <t>telmex</t>
  </si>
  <si>
    <t>fumigacion</t>
  </si>
  <si>
    <t>ADT SEGURITY</t>
  </si>
  <si>
    <t>Comisiones banco</t>
  </si>
  <si>
    <t>Material limpieza</t>
  </si>
  <si>
    <t>Bascuela</t>
  </si>
  <si>
    <t>BALANCE      ABASTO 4 CARNES    H E R R A D U R A    JUNIO       2 0 2 3</t>
  </si>
  <si>
    <t>BALANCE      ABASTO 4 CARNES    H E R R A D U R A    JULIO       2 0 2 3</t>
  </si>
  <si>
    <t>NOMINA # 27</t>
  </si>
  <si>
    <t>NOMINA # 28</t>
  </si>
  <si>
    <t xml:space="preserve">CHORIZO  </t>
  </si>
  <si>
    <t xml:space="preserve">LONGANIZA  </t>
  </si>
  <si>
    <t>COMPRAS CENTRAL--chorizo</t>
  </si>
  <si>
    <t>NOMINA # 29</t>
  </si>
  <si>
    <t>DEBE $ 8.00</t>
  </si>
  <si>
    <t>NOMINA # 30</t>
  </si>
  <si>
    <t>Guardias</t>
  </si>
  <si>
    <t>fumigacin</t>
  </si>
  <si>
    <t>COMISIONES Bco</t>
  </si>
  <si>
    <t xml:space="preserve">Comision </t>
  </si>
  <si>
    <t>15304 E</t>
  </si>
  <si>
    <t>15348 E</t>
  </si>
  <si>
    <t>15501 E</t>
  </si>
  <si>
    <t>15578 E</t>
  </si>
  <si>
    <t>15735 E</t>
  </si>
  <si>
    <t>15751 E</t>
  </si>
  <si>
    <t>15780 E</t>
  </si>
  <si>
    <t>15785 E</t>
  </si>
  <si>
    <t>15956 E</t>
  </si>
  <si>
    <t>15825 E</t>
  </si>
  <si>
    <t>16008 E</t>
  </si>
  <si>
    <t>16078 E</t>
  </si>
  <si>
    <t>16124 E</t>
  </si>
  <si>
    <t>16182 E</t>
  </si>
  <si>
    <t>16252 E</t>
  </si>
  <si>
    <t>16253 E</t>
  </si>
  <si>
    <t>16351 E</t>
  </si>
  <si>
    <t>16502 E</t>
  </si>
  <si>
    <t>16566 E</t>
  </si>
  <si>
    <t>16567 E</t>
  </si>
  <si>
    <t>16569 E</t>
  </si>
  <si>
    <t>16654 E</t>
  </si>
  <si>
    <t>16740 E</t>
  </si>
  <si>
    <t>167587 E</t>
  </si>
  <si>
    <t>16758 E</t>
  </si>
  <si>
    <t>16831 E</t>
  </si>
  <si>
    <t>16833 E</t>
  </si>
  <si>
    <t>16836 E</t>
  </si>
  <si>
    <t>16882 E</t>
  </si>
  <si>
    <t>16986 E</t>
  </si>
  <si>
    <t>16987 E</t>
  </si>
  <si>
    <t>17005 E</t>
  </si>
  <si>
    <t>17006 E</t>
  </si>
  <si>
    <t>17079 E</t>
  </si>
  <si>
    <t>17082 E</t>
  </si>
  <si>
    <t>17243 E</t>
  </si>
  <si>
    <t>17244 E</t>
  </si>
  <si>
    <t>17245 E</t>
  </si>
  <si>
    <t>17277 E</t>
  </si>
  <si>
    <t>17278 E</t>
  </si>
  <si>
    <t>17426 E</t>
  </si>
  <si>
    <t>17427 E</t>
  </si>
  <si>
    <t>17438 E</t>
  </si>
  <si>
    <t>17439 E</t>
  </si>
  <si>
    <t>17465 E</t>
  </si>
  <si>
    <t>17516 E</t>
  </si>
  <si>
    <t>17682 E</t>
  </si>
  <si>
    <t>17683 E</t>
  </si>
  <si>
    <t>17815 E</t>
  </si>
  <si>
    <t>17822 E</t>
  </si>
  <si>
    <t>17842 E</t>
  </si>
  <si>
    <t>17922 E</t>
  </si>
  <si>
    <t>17923 E</t>
  </si>
  <si>
    <t>17951 E</t>
  </si>
  <si>
    <t>18064 E</t>
  </si>
  <si>
    <t>18065 E</t>
  </si>
  <si>
    <t>18074 E</t>
  </si>
  <si>
    <t>BALANCE      ABASTO 4 CARNES    H E R R A D U R A    AGOSTO       2 0 2 3</t>
  </si>
  <si>
    <t>EXTINTOR Rec</t>
  </si>
  <si>
    <t>GUARDIA</t>
  </si>
  <si>
    <t>XXXXXX</t>
  </si>
  <si>
    <t>Cargo Seguro</t>
  </si>
  <si>
    <t>Aduana ACCE23-08</t>
  </si>
  <si>
    <t>Flete ACCSE23-08</t>
  </si>
  <si>
    <t>F-3577  combos</t>
  </si>
  <si>
    <t>REMISIOENS</t>
  </si>
  <si>
    <t>ADUANA  ACCSE23-09</t>
  </si>
  <si>
    <t>F-1012</t>
  </si>
  <si>
    <t>FLETE      ACCSE23-09</t>
  </si>
  <si>
    <t>F-C300</t>
  </si>
  <si>
    <t xml:space="preserve">GUARDIA  </t>
  </si>
  <si>
    <t>F-908</t>
  </si>
  <si>
    <t>VECTOR  ACCSE23-10</t>
  </si>
  <si>
    <t>F-2218992</t>
  </si>
  <si>
    <t>F-807</t>
  </si>
  <si>
    <t>SEGURO DE  ACCSE23-08</t>
  </si>
  <si>
    <t>F-D-6495</t>
  </si>
  <si>
    <t>PAGOS REMISIONES</t>
  </si>
  <si>
    <t>NLP</t>
  </si>
  <si>
    <t>ADUANA   ACCSE23-10</t>
  </si>
  <si>
    <t>F-1069</t>
  </si>
  <si>
    <t>FLETE       ACCSE23-10</t>
  </si>
  <si>
    <t>VECTOR   ACCSE23-12</t>
  </si>
  <si>
    <t>F-2224377</t>
  </si>
  <si>
    <t>ADT  PRIVATE</t>
  </si>
  <si>
    <t>MAESCY SEGUROS ACCSE23-06-----ACCSE23-07   ZAVALETA</t>
  </si>
  <si>
    <t>F-4959</t>
  </si>
  <si>
    <t xml:space="preserve">debe zavaleta a herradura </t>
  </si>
  <si>
    <t>ACCSE23-01</t>
  </si>
  <si>
    <t>ADUANA ACCSE23-01</t>
  </si>
  <si>
    <t>FLETE  ACCSE23-01</t>
  </si>
  <si>
    <t>Rollos termicos</t>
  </si>
  <si>
    <t>ACCSE23-03</t>
  </si>
  <si>
    <t>ADUANA ACCSE23-03</t>
  </si>
  <si>
    <t>FLETE  ACCSE23-03</t>
  </si>
  <si>
    <t>ACCSE23-08</t>
  </si>
  <si>
    <t>ACCSE23-09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</si>
</sst>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;[Red]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rgb="FF66003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1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1" fillId="0" borderId="7" xfId="0" applyFont="1" applyBorder="1"/>
    <xf numFmtId="164" fontId="12" fillId="0" borderId="8" xfId="0" applyNumberFormat="1" applyFont="1" applyBorder="1" applyAlignment="1">
      <alignment horizontal="center"/>
    </xf>
    <xf numFmtId="44" fontId="13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20" xfId="0" applyNumberFormat="1" applyFont="1" applyFill="1" applyBorder="1"/>
    <xf numFmtId="44" fontId="2" fillId="0" borderId="21" xfId="1" applyFont="1" applyFill="1" applyBorder="1"/>
    <xf numFmtId="0" fontId="5" fillId="0" borderId="0" xfId="0" applyFont="1" applyFill="1" applyAlignment="1">
      <alignment horizontal="center"/>
    </xf>
    <xf numFmtId="44" fontId="19" fillId="0" borderId="22" xfId="1" applyFont="1" applyFill="1" applyBorder="1"/>
    <xf numFmtId="44" fontId="2" fillId="0" borderId="23" xfId="1" applyFont="1" applyFill="1" applyBorder="1"/>
    <xf numFmtId="1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16" fontId="5" fillId="0" borderId="0" xfId="0" applyNumberFormat="1" applyFont="1" applyFill="1" applyAlignment="1">
      <alignment horizontal="center"/>
    </xf>
    <xf numFmtId="166" fontId="20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4" xfId="0" applyFont="1" applyFill="1" applyBorder="1" applyAlignment="1">
      <alignment horizontal="center"/>
    </xf>
    <xf numFmtId="44" fontId="2" fillId="0" borderId="25" xfId="1" applyFont="1" applyFill="1" applyBorder="1"/>
    <xf numFmtId="166" fontId="18" fillId="0" borderId="10" xfId="0" applyNumberFormat="1" applyFont="1" applyFill="1" applyBorder="1"/>
    <xf numFmtId="0" fontId="5" fillId="0" borderId="24" xfId="0" applyFont="1" applyFill="1" applyBorder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" fillId="0" borderId="24" xfId="0" applyFont="1" applyFill="1" applyBorder="1"/>
    <xf numFmtId="166" fontId="22" fillId="0" borderId="10" xfId="0" applyNumberFormat="1" applyFont="1" applyFill="1" applyBorder="1"/>
    <xf numFmtId="16" fontId="2" fillId="0" borderId="24" xfId="0" applyNumberFormat="1" applyFont="1" applyFill="1" applyBorder="1"/>
    <xf numFmtId="165" fontId="21" fillId="0" borderId="26" xfId="0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" fontId="21" fillId="0" borderId="24" xfId="0" applyNumberFormat="1" applyFont="1" applyFill="1" applyBorder="1"/>
    <xf numFmtId="0" fontId="23" fillId="0" borderId="24" xfId="0" applyFont="1" applyFill="1" applyBorder="1" applyAlignment="1">
      <alignment wrapText="1"/>
    </xf>
    <xf numFmtId="166" fontId="5" fillId="0" borderId="10" xfId="0" applyNumberFormat="1" applyFont="1" applyFill="1" applyBorder="1"/>
    <xf numFmtId="0" fontId="23" fillId="0" borderId="24" xfId="0" applyFont="1" applyFill="1" applyBorder="1"/>
    <xf numFmtId="16" fontId="24" fillId="0" borderId="26" xfId="0" applyNumberFormat="1" applyFont="1" applyFill="1" applyBorder="1"/>
    <xf numFmtId="0" fontId="23" fillId="0" borderId="27" xfId="0" applyFont="1" applyFill="1" applyBorder="1" applyAlignment="1">
      <alignment horizontal="center" wrapText="1"/>
    </xf>
    <xf numFmtId="44" fontId="2" fillId="0" borderId="28" xfId="1" applyFont="1" applyFill="1" applyBorder="1"/>
    <xf numFmtId="165" fontId="2" fillId="0" borderId="26" xfId="0" applyNumberFormat="1" applyFont="1" applyFill="1" applyBorder="1" applyAlignment="1">
      <alignment horizontal="left"/>
    </xf>
    <xf numFmtId="16" fontId="5" fillId="0" borderId="26" xfId="0" applyNumberFormat="1" applyFont="1" applyFill="1" applyBorder="1" applyAlignment="1">
      <alignment horizontal="center"/>
    </xf>
    <xf numFmtId="44" fontId="2" fillId="0" borderId="28" xfId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6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1" fillId="0" borderId="29" xfId="1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5" fontId="2" fillId="0" borderId="24" xfId="1" applyNumberFormat="1" applyFont="1" applyFill="1" applyBorder="1" applyAlignment="1">
      <alignment horizontal="left"/>
    </xf>
    <xf numFmtId="0" fontId="21" fillId="0" borderId="24" xfId="0" applyFont="1" applyFill="1" applyBorder="1" applyAlignment="1">
      <alignment horizontal="left"/>
    </xf>
    <xf numFmtId="165" fontId="2" fillId="0" borderId="24" xfId="1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66" fontId="18" fillId="0" borderId="31" xfId="0" applyNumberFormat="1" applyFont="1" applyFill="1" applyBorder="1"/>
    <xf numFmtId="16" fontId="2" fillId="0" borderId="27" xfId="0" applyNumberFormat="1" applyFont="1" applyFill="1" applyBorder="1" applyAlignment="1">
      <alignment horizontal="left"/>
    </xf>
    <xf numFmtId="165" fontId="5" fillId="0" borderId="24" xfId="1" applyNumberFormat="1" applyFont="1" applyFill="1" applyBorder="1" applyAlignment="1">
      <alignment horizontal="center"/>
    </xf>
    <xf numFmtId="0" fontId="5" fillId="0" borderId="24" xfId="0" applyFont="1" applyFill="1" applyBorder="1"/>
    <xf numFmtId="44" fontId="5" fillId="0" borderId="25" xfId="1" applyFont="1" applyFill="1" applyBorder="1"/>
    <xf numFmtId="166" fontId="22" fillId="0" borderId="24" xfId="0" applyNumberFormat="1" applyFont="1" applyFill="1" applyBorder="1"/>
    <xf numFmtId="0" fontId="5" fillId="0" borderId="24" xfId="0" applyFont="1" applyFill="1" applyBorder="1" applyAlignment="1">
      <alignment horizontal="left"/>
    </xf>
    <xf numFmtId="44" fontId="5" fillId="0" borderId="24" xfId="1" applyFont="1" applyFill="1" applyBorder="1" applyAlignment="1">
      <alignment horizontal="right"/>
    </xf>
    <xf numFmtId="166" fontId="5" fillId="0" borderId="24" xfId="0" applyNumberFormat="1" applyFont="1" applyFill="1" applyBorder="1"/>
    <xf numFmtId="44" fontId="5" fillId="0" borderId="24" xfId="1" applyFont="1" applyFill="1" applyBorder="1"/>
    <xf numFmtId="166" fontId="18" fillId="0" borderId="24" xfId="0" applyNumberFormat="1" applyFont="1" applyFill="1" applyBorder="1"/>
    <xf numFmtId="0" fontId="13" fillId="0" borderId="0" xfId="0" applyFont="1" applyFill="1" applyAlignment="1">
      <alignment horizontal="left" wrapText="1"/>
    </xf>
    <xf numFmtId="44" fontId="5" fillId="0" borderId="0" xfId="1" applyFont="1" applyFill="1"/>
    <xf numFmtId="166" fontId="20" fillId="0" borderId="24" xfId="0" applyNumberFormat="1" applyFont="1" applyFill="1" applyBorder="1"/>
    <xf numFmtId="165" fontId="13" fillId="0" borderId="24" xfId="1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wrapText="1"/>
    </xf>
    <xf numFmtId="0" fontId="22" fillId="0" borderId="24" xfId="0" applyFont="1" applyFill="1" applyBorder="1" applyAlignment="1">
      <alignment horizontal="left" vertical="center"/>
    </xf>
    <xf numFmtId="16" fontId="18" fillId="0" borderId="24" xfId="0" applyNumberFormat="1" applyFont="1" applyFill="1" applyBorder="1" applyAlignment="1">
      <alignment horizontal="left"/>
    </xf>
    <xf numFmtId="44" fontId="2" fillId="0" borderId="32" xfId="1" applyFont="1" applyFill="1" applyBorder="1"/>
    <xf numFmtId="44" fontId="2" fillId="0" borderId="5" xfId="1" applyFont="1" applyFill="1" applyBorder="1"/>
    <xf numFmtId="44" fontId="19" fillId="0" borderId="33" xfId="1" applyFont="1" applyFill="1" applyBorder="1"/>
    <xf numFmtId="44" fontId="2" fillId="0" borderId="34" xfId="1" applyFont="1" applyFill="1" applyBorder="1"/>
    <xf numFmtId="166" fontId="13" fillId="0" borderId="24" xfId="0" applyNumberFormat="1" applyFont="1" applyFill="1" applyBorder="1"/>
    <xf numFmtId="0" fontId="26" fillId="0" borderId="32" xfId="0" applyFont="1" applyFill="1" applyBorder="1" applyAlignment="1">
      <alignment horizontal="center"/>
    </xf>
    <xf numFmtId="44" fontId="2" fillId="0" borderId="35" xfId="1" applyFont="1" applyFill="1" applyBorder="1"/>
    <xf numFmtId="16" fontId="5" fillId="0" borderId="24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38" xfId="1" applyFont="1" applyFill="1" applyBorder="1"/>
    <xf numFmtId="44" fontId="2" fillId="0" borderId="24" xfId="1" applyFont="1" applyFill="1" applyBorder="1"/>
    <xf numFmtId="0" fontId="26" fillId="0" borderId="2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center"/>
    </xf>
    <xf numFmtId="0" fontId="0" fillId="0" borderId="24" xfId="0" applyFill="1" applyBorder="1"/>
    <xf numFmtId="44" fontId="16" fillId="0" borderId="42" xfId="1" applyFont="1" applyFill="1" applyBorder="1" applyAlignment="1">
      <alignment horizontal="center" vertical="center"/>
    </xf>
    <xf numFmtId="44" fontId="16" fillId="0" borderId="34" xfId="1" applyFont="1" applyFill="1" applyBorder="1" applyAlignment="1">
      <alignment horizontal="center" vertical="center"/>
    </xf>
    <xf numFmtId="44" fontId="2" fillId="0" borderId="43" xfId="1" applyFont="1" applyFill="1" applyBorder="1"/>
    <xf numFmtId="166" fontId="13" fillId="0" borderId="0" xfId="0" applyNumberFormat="1" applyFont="1"/>
    <xf numFmtId="0" fontId="26" fillId="0" borderId="24" xfId="0" applyFont="1" applyBorder="1" applyAlignment="1">
      <alignment horizontal="center"/>
    </xf>
    <xf numFmtId="0" fontId="0" fillId="0" borderId="24" xfId="0" applyBorder="1"/>
    <xf numFmtId="164" fontId="2" fillId="0" borderId="16" xfId="0" applyNumberFormat="1" applyFont="1" applyBorder="1" applyAlignment="1">
      <alignment horizontal="center"/>
    </xf>
    <xf numFmtId="15" fontId="2" fillId="0" borderId="44" xfId="0" applyNumberFormat="1" applyFont="1" applyBorder="1"/>
    <xf numFmtId="15" fontId="2" fillId="0" borderId="24" xfId="0" applyNumberFormat="1" applyFont="1" applyBorder="1"/>
    <xf numFmtId="0" fontId="5" fillId="0" borderId="24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5" fontId="2" fillId="0" borderId="45" xfId="0" applyNumberFormat="1" applyFont="1" applyBorder="1"/>
    <xf numFmtId="15" fontId="2" fillId="0" borderId="29" xfId="0" applyNumberFormat="1" applyFont="1" applyBorder="1"/>
    <xf numFmtId="165" fontId="22" fillId="0" borderId="20" xfId="1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44" fontId="2" fillId="0" borderId="22" xfId="1" applyFont="1" applyFill="1" applyBorder="1"/>
    <xf numFmtId="164" fontId="5" fillId="0" borderId="46" xfId="0" applyNumberFormat="1" applyFont="1" applyBorder="1" applyAlignment="1">
      <alignment horizontal="center"/>
    </xf>
    <xf numFmtId="44" fontId="13" fillId="0" borderId="47" xfId="1" applyFont="1" applyBorder="1"/>
    <xf numFmtId="0" fontId="0" fillId="0" borderId="48" xfId="0" applyBorder="1"/>
    <xf numFmtId="0" fontId="27" fillId="0" borderId="48" xfId="0" applyFont="1" applyBorder="1" applyAlignment="1">
      <alignment horizontal="center"/>
    </xf>
    <xf numFmtId="44" fontId="28" fillId="0" borderId="48" xfId="1" applyFont="1" applyBorder="1"/>
    <xf numFmtId="0" fontId="2" fillId="0" borderId="48" xfId="0" applyFont="1" applyBorder="1" applyAlignment="1">
      <alignment horizontal="center"/>
    </xf>
    <xf numFmtId="44" fontId="2" fillId="0" borderId="49" xfId="1" applyFont="1" applyBorder="1"/>
    <xf numFmtId="165" fontId="2" fillId="0" borderId="0" xfId="1" applyNumberFormat="1" applyFont="1" applyBorder="1"/>
    <xf numFmtId="166" fontId="2" fillId="0" borderId="50" xfId="0" applyNumberFormat="1" applyFont="1" applyBorder="1" applyAlignment="1">
      <alignment horizontal="center"/>
    </xf>
    <xf numFmtId="44" fontId="2" fillId="0" borderId="3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13" fillId="0" borderId="51" xfId="0" applyNumberFormat="1" applyFont="1" applyBorder="1" applyAlignment="1">
      <alignment horizontal="center" vertical="center" wrapText="1"/>
    </xf>
    <xf numFmtId="44" fontId="3" fillId="0" borderId="24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5" xfId="0" applyFont="1" applyBorder="1" applyAlignment="1">
      <alignment horizontal="left"/>
    </xf>
    <xf numFmtId="165" fontId="3" fillId="0" borderId="52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4" xfId="1" applyFont="1" applyFill="1" applyBorder="1"/>
    <xf numFmtId="168" fontId="30" fillId="0" borderId="25" xfId="1" applyNumberFormat="1" applyFont="1" applyBorder="1"/>
    <xf numFmtId="44" fontId="31" fillId="0" borderId="5" xfId="1" applyFont="1" applyBorder="1"/>
    <xf numFmtId="44" fontId="32" fillId="0" borderId="0" xfId="1" applyFont="1"/>
    <xf numFmtId="0" fontId="32" fillId="0" borderId="0" xfId="0" applyFont="1" applyAlignment="1">
      <alignment horizontal="center"/>
    </xf>
    <xf numFmtId="0" fontId="5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3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21" fillId="0" borderId="0" xfId="0" applyFont="1"/>
    <xf numFmtId="44" fontId="34" fillId="0" borderId="0" xfId="1" applyFont="1"/>
    <xf numFmtId="166" fontId="13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" fillId="7" borderId="56" xfId="0" applyFont="1" applyFill="1" applyBorder="1" applyAlignment="1">
      <alignment horizontal="center"/>
    </xf>
    <xf numFmtId="44" fontId="2" fillId="7" borderId="56" xfId="1" applyFont="1" applyFill="1" applyBorder="1"/>
    <xf numFmtId="164" fontId="3" fillId="7" borderId="56" xfId="0" applyNumberFormat="1" applyFont="1" applyFill="1" applyBorder="1"/>
    <xf numFmtId="164" fontId="38" fillId="7" borderId="5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53" xfId="1" applyFont="1" applyBorder="1" applyAlignment="1">
      <alignment horizontal="center"/>
    </xf>
    <xf numFmtId="164" fontId="3" fillId="0" borderId="58" xfId="0" applyNumberFormat="1" applyFont="1" applyFill="1" applyBorder="1"/>
    <xf numFmtId="49" fontId="3" fillId="0" borderId="59" xfId="0" applyNumberFormat="1" applyFont="1" applyFill="1" applyBorder="1" applyAlignment="1">
      <alignment horizontal="center" wrapText="1"/>
    </xf>
    <xf numFmtId="44" fontId="3" fillId="0" borderId="59" xfId="1" applyFont="1" applyFill="1" applyBorder="1"/>
    <xf numFmtId="44" fontId="3" fillId="0" borderId="0" xfId="1" applyFont="1" applyBorder="1" applyAlignment="1">
      <alignment horizontal="center"/>
    </xf>
    <xf numFmtId="164" fontId="3" fillId="0" borderId="24" xfId="0" applyNumberFormat="1" applyFont="1" applyFill="1" applyBorder="1"/>
    <xf numFmtId="49" fontId="3" fillId="0" borderId="24" xfId="0" applyNumberFormat="1" applyFont="1" applyFill="1" applyBorder="1" applyAlignment="1">
      <alignment horizontal="center"/>
    </xf>
    <xf numFmtId="44" fontId="39" fillId="0" borderId="60" xfId="1" applyFont="1" applyBorder="1"/>
    <xf numFmtId="0" fontId="15" fillId="0" borderId="0" xfId="0" applyFont="1"/>
    <xf numFmtId="164" fontId="3" fillId="0" borderId="24" xfId="0" applyNumberFormat="1" applyFont="1" applyBorder="1"/>
    <xf numFmtId="49" fontId="3" fillId="0" borderId="24" xfId="0" applyNumberFormat="1" applyFont="1" applyBorder="1" applyAlignment="1">
      <alignment horizontal="center"/>
    </xf>
    <xf numFmtId="44" fontId="2" fillId="0" borderId="0" xfId="0" applyNumberFormat="1" applyFont="1"/>
    <xf numFmtId="164" fontId="2" fillId="0" borderId="24" xfId="0" applyNumberFormat="1" applyFont="1" applyBorder="1"/>
    <xf numFmtId="49" fontId="2" fillId="0" borderId="24" xfId="0" applyNumberFormat="1" applyFont="1" applyBorder="1" applyAlignment="1">
      <alignment horizontal="center"/>
    </xf>
    <xf numFmtId="164" fontId="40" fillId="0" borderId="24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40" fillId="0" borderId="24" xfId="0" applyNumberFormat="1" applyFont="1" applyFill="1" applyBorder="1" applyAlignment="1">
      <alignment horizontal="center"/>
    </xf>
    <xf numFmtId="1" fontId="41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Fill="1" applyBorder="1" applyAlignment="1">
      <alignment horizontal="center"/>
    </xf>
    <xf numFmtId="1" fontId="42" fillId="0" borderId="6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2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Border="1" applyAlignment="1">
      <alignment horizontal="center"/>
    </xf>
    <xf numFmtId="1" fontId="42" fillId="0" borderId="61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44" fontId="16" fillId="0" borderId="8" xfId="1" applyFont="1" applyBorder="1"/>
    <xf numFmtId="44" fontId="2" fillId="0" borderId="53" xfId="1" applyFont="1" applyBorder="1"/>
    <xf numFmtId="44" fontId="43" fillId="4" borderId="60" xfId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/>
    <xf numFmtId="44" fontId="14" fillId="0" borderId="0" xfId="1" applyFont="1"/>
    <xf numFmtId="164" fontId="37" fillId="7" borderId="55" xfId="0" applyNumberFormat="1" applyFont="1" applyFill="1" applyBorder="1" applyAlignment="1">
      <alignment horizontal="left" vertical="center"/>
    </xf>
    <xf numFmtId="164" fontId="44" fillId="0" borderId="59" xfId="0" applyNumberFormat="1" applyFont="1" applyBorder="1"/>
    <xf numFmtId="44" fontId="44" fillId="0" borderId="59" xfId="1" applyFont="1" applyFill="1" applyBorder="1"/>
    <xf numFmtId="44" fontId="44" fillId="0" borderId="24" xfId="1" applyFont="1" applyFill="1" applyBorder="1"/>
    <xf numFmtId="164" fontId="13" fillId="0" borderId="59" xfId="0" applyNumberFormat="1" applyFont="1" applyBorder="1"/>
    <xf numFmtId="44" fontId="13" fillId="0" borderId="24" xfId="1" applyFont="1" applyFill="1" applyBorder="1"/>
    <xf numFmtId="164" fontId="45" fillId="0" borderId="24" xfId="0" applyNumberFormat="1" applyFont="1" applyBorder="1"/>
    <xf numFmtId="44" fontId="45" fillId="0" borderId="24" xfId="1" applyFont="1" applyFill="1" applyBorder="1"/>
    <xf numFmtId="164" fontId="46" fillId="0" borderId="24" xfId="0" applyNumberFormat="1" applyFont="1" applyBorder="1"/>
    <xf numFmtId="44" fontId="46" fillId="0" borderId="24" xfId="1" applyFont="1" applyFill="1" applyBorder="1"/>
    <xf numFmtId="164" fontId="46" fillId="0" borderId="59" xfId="0" applyNumberFormat="1" applyFont="1" applyBorder="1"/>
    <xf numFmtId="44" fontId="3" fillId="8" borderId="0" xfId="1" applyFont="1" applyFill="1"/>
    <xf numFmtId="0" fontId="2" fillId="9" borderId="24" xfId="0" applyFont="1" applyFill="1" applyBorder="1" applyAlignment="1">
      <alignment horizontal="center" wrapText="1"/>
    </xf>
    <xf numFmtId="0" fontId="2" fillId="10" borderId="24" xfId="0" applyFont="1" applyFill="1" applyBorder="1"/>
    <xf numFmtId="164" fontId="3" fillId="4" borderId="24" xfId="0" applyNumberFormat="1" applyFont="1" applyFill="1" applyBorder="1"/>
    <xf numFmtId="44" fontId="3" fillId="4" borderId="24" xfId="1" applyFont="1" applyFill="1" applyBorder="1"/>
    <xf numFmtId="164" fontId="3" fillId="11" borderId="24" xfId="0" applyNumberFormat="1" applyFont="1" applyFill="1" applyBorder="1"/>
    <xf numFmtId="44" fontId="3" fillId="11" borderId="24" xfId="1" applyFont="1" applyFill="1" applyBorder="1"/>
    <xf numFmtId="164" fontId="3" fillId="12" borderId="24" xfId="0" applyNumberFormat="1" applyFont="1" applyFill="1" applyBorder="1"/>
    <xf numFmtId="44" fontId="3" fillId="12" borderId="24" xfId="1" applyFont="1" applyFill="1" applyBorder="1"/>
    <xf numFmtId="16" fontId="13" fillId="0" borderId="24" xfId="0" applyNumberFormat="1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center"/>
    </xf>
    <xf numFmtId="16" fontId="15" fillId="8" borderId="24" xfId="0" applyNumberFormat="1" applyFont="1" applyFill="1" applyBorder="1" applyAlignment="1">
      <alignment horizontal="left"/>
    </xf>
    <xf numFmtId="44" fontId="2" fillId="0" borderId="63" xfId="1" applyFont="1" applyFill="1" applyBorder="1"/>
    <xf numFmtId="44" fontId="3" fillId="0" borderId="64" xfId="1" applyFont="1" applyFill="1" applyBorder="1"/>
    <xf numFmtId="44" fontId="3" fillId="8" borderId="65" xfId="1" applyFont="1" applyFill="1" applyBorder="1"/>
    <xf numFmtId="44" fontId="3" fillId="0" borderId="65" xfId="1" applyFont="1" applyFill="1" applyBorder="1"/>
    <xf numFmtId="44" fontId="47" fillId="0" borderId="64" xfId="1" applyFont="1" applyFill="1" applyBorder="1"/>
    <xf numFmtId="44" fontId="2" fillId="0" borderId="66" xfId="1" applyFont="1" applyFill="1" applyBorder="1"/>
    <xf numFmtId="44" fontId="3" fillId="0" borderId="67" xfId="1" applyFont="1" applyFill="1" applyBorder="1"/>
    <xf numFmtId="44" fontId="3" fillId="0" borderId="68" xfId="1" applyFont="1" applyFill="1" applyBorder="1"/>
    <xf numFmtId="44" fontId="3" fillId="9" borderId="64" xfId="1" applyFont="1" applyFill="1" applyBorder="1"/>
    <xf numFmtId="164" fontId="46" fillId="0" borderId="59" xfId="0" applyNumberFormat="1" applyFont="1" applyFill="1" applyBorder="1"/>
    <xf numFmtId="164" fontId="48" fillId="0" borderId="24" xfId="0" applyNumberFormat="1" applyFont="1" applyBorder="1" applyAlignment="1">
      <alignment horizontal="center"/>
    </xf>
    <xf numFmtId="164" fontId="48" fillId="0" borderId="24" xfId="0" applyNumberFormat="1" applyFont="1" applyFill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1" fontId="3" fillId="0" borderId="24" xfId="0" applyNumberFormat="1" applyFont="1" applyFill="1" applyBorder="1" applyAlignment="1">
      <alignment horizontal="center"/>
    </xf>
    <xf numFmtId="44" fontId="19" fillId="13" borderId="22" xfId="1" applyFont="1" applyFill="1" applyBorder="1"/>
    <xf numFmtId="44" fontId="3" fillId="13" borderId="64" xfId="1" applyFont="1" applyFill="1" applyBorder="1"/>
    <xf numFmtId="165" fontId="3" fillId="0" borderId="0" xfId="1" applyNumberFormat="1" applyFont="1" applyFill="1"/>
    <xf numFmtId="0" fontId="49" fillId="0" borderId="0" xfId="0" applyFont="1"/>
    <xf numFmtId="44" fontId="49" fillId="0" borderId="0" xfId="1" applyFont="1" applyFill="1"/>
    <xf numFmtId="165" fontId="3" fillId="0" borderId="0" xfId="1" applyNumberFormat="1" applyFont="1"/>
    <xf numFmtId="165" fontId="13" fillId="0" borderId="9" xfId="0" applyNumberFormat="1" applyFont="1" applyBorder="1"/>
    <xf numFmtId="0" fontId="13" fillId="0" borderId="9" xfId="0" applyFont="1" applyBorder="1"/>
    <xf numFmtId="0" fontId="13" fillId="0" borderId="0" xfId="0" applyFont="1" applyFill="1" applyAlignment="1">
      <alignment horizontal="center"/>
    </xf>
    <xf numFmtId="165" fontId="3" fillId="0" borderId="0" xfId="1" applyNumberFormat="1" applyFont="1" applyFill="1" applyAlignment="1">
      <alignment horizontal="center"/>
    </xf>
    <xf numFmtId="44" fontId="3" fillId="0" borderId="25" xfId="1" applyFont="1" applyFill="1" applyBorder="1"/>
    <xf numFmtId="0" fontId="3" fillId="0" borderId="24" xfId="0" applyFont="1" applyFill="1" applyBorder="1"/>
    <xf numFmtId="16" fontId="3" fillId="0" borderId="24" xfId="0" applyNumberFormat="1" applyFont="1" applyFill="1" applyBorder="1"/>
    <xf numFmtId="165" fontId="3" fillId="0" borderId="26" xfId="0" applyNumberFormat="1" applyFont="1" applyFill="1" applyBorder="1" applyAlignment="1">
      <alignment horizontal="left"/>
    </xf>
    <xf numFmtId="44" fontId="3" fillId="0" borderId="25" xfId="1" applyFont="1" applyFill="1" applyBorder="1" applyAlignment="1">
      <alignment horizontal="right"/>
    </xf>
    <xf numFmtId="0" fontId="3" fillId="0" borderId="24" xfId="0" applyFont="1" applyFill="1" applyBorder="1" applyAlignment="1">
      <alignment wrapText="1"/>
    </xf>
    <xf numFmtId="16" fontId="50" fillId="0" borderId="26" xfId="0" applyNumberFormat="1" applyFont="1" applyFill="1" applyBorder="1"/>
    <xf numFmtId="0" fontId="3" fillId="0" borderId="27" xfId="0" applyFont="1" applyFill="1" applyBorder="1" applyAlignment="1">
      <alignment horizontal="center" wrapText="1"/>
    </xf>
    <xf numFmtId="44" fontId="3" fillId="0" borderId="28" xfId="1" applyFont="1" applyFill="1" applyBorder="1"/>
    <xf numFmtId="16" fontId="13" fillId="0" borderId="26" xfId="0" applyNumberFormat="1" applyFont="1" applyFill="1" applyBorder="1" applyAlignment="1">
      <alignment horizontal="center"/>
    </xf>
    <xf numFmtId="44" fontId="3" fillId="0" borderId="28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center"/>
    </xf>
    <xf numFmtId="0" fontId="3" fillId="0" borderId="26" xfId="0" applyFont="1" applyFill="1" applyBorder="1" applyAlignment="1">
      <alignment horizontal="left"/>
    </xf>
    <xf numFmtId="165" fontId="3" fillId="0" borderId="7" xfId="0" applyNumberFormat="1" applyFont="1" applyFill="1" applyBorder="1" applyAlignment="1">
      <alignment horizontal="center"/>
    </xf>
    <xf numFmtId="44" fontId="3" fillId="0" borderId="30" xfId="1" applyFont="1" applyFill="1" applyBorder="1" applyAlignment="1">
      <alignment horizontal="right"/>
    </xf>
    <xf numFmtId="165" fontId="3" fillId="0" borderId="29" xfId="1" applyNumberFormat="1" applyFont="1" applyFill="1" applyBorder="1" applyAlignment="1">
      <alignment horizontal="left"/>
    </xf>
    <xf numFmtId="0" fontId="3" fillId="0" borderId="24" xfId="0" applyFont="1" applyFill="1" applyBorder="1" applyAlignment="1">
      <alignment horizontal="left"/>
    </xf>
    <xf numFmtId="44" fontId="3" fillId="0" borderId="24" xfId="1" applyFont="1" applyFill="1" applyBorder="1" applyAlignment="1">
      <alignment horizontal="right"/>
    </xf>
    <xf numFmtId="165" fontId="3" fillId="0" borderId="24" xfId="1" applyNumberFormat="1" applyFont="1" applyFill="1" applyBorder="1" applyAlignment="1">
      <alignment horizontal="left"/>
    </xf>
    <xf numFmtId="165" fontId="3" fillId="0" borderId="24" xfId="1" applyNumberFormat="1" applyFont="1" applyFill="1" applyBorder="1" applyAlignment="1">
      <alignment horizontal="center"/>
    </xf>
    <xf numFmtId="16" fontId="3" fillId="0" borderId="27" xfId="0" applyNumberFormat="1" applyFont="1" applyFill="1" applyBorder="1" applyAlignment="1">
      <alignment horizontal="left"/>
    </xf>
    <xf numFmtId="0" fontId="13" fillId="0" borderId="24" xfId="0" applyFont="1" applyFill="1" applyBorder="1"/>
    <xf numFmtId="44" fontId="13" fillId="0" borderId="25" xfId="1" applyFont="1" applyFill="1" applyBorder="1"/>
    <xf numFmtId="0" fontId="13" fillId="0" borderId="24" xfId="0" applyFont="1" applyFill="1" applyBorder="1" applyAlignment="1">
      <alignment horizontal="left"/>
    </xf>
    <xf numFmtId="44" fontId="13" fillId="0" borderId="24" xfId="1" applyFont="1" applyFill="1" applyBorder="1" applyAlignment="1">
      <alignment horizontal="right"/>
    </xf>
    <xf numFmtId="44" fontId="13" fillId="0" borderId="0" xfId="1" applyFont="1" applyFill="1"/>
    <xf numFmtId="0" fontId="13" fillId="0" borderId="24" xfId="0" applyFont="1" applyFill="1" applyBorder="1" applyAlignment="1">
      <alignment horizontal="center" wrapText="1"/>
    </xf>
    <xf numFmtId="0" fontId="13" fillId="0" borderId="24" xfId="0" applyFont="1" applyFill="1" applyBorder="1" applyAlignment="1">
      <alignment horizontal="left" vertical="center"/>
    </xf>
    <xf numFmtId="0" fontId="13" fillId="0" borderId="24" xfId="0" applyFont="1" applyBorder="1" applyAlignment="1">
      <alignment horizontal="left"/>
    </xf>
    <xf numFmtId="165" fontId="13" fillId="0" borderId="20" xfId="1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1" applyNumberFormat="1" applyFont="1" applyBorder="1"/>
    <xf numFmtId="166" fontId="3" fillId="0" borderId="50" xfId="0" applyNumberFormat="1" applyFont="1" applyBorder="1" applyAlignment="1">
      <alignment horizontal="center"/>
    </xf>
    <xf numFmtId="44" fontId="3" fillId="0" borderId="39" xfId="1" applyFont="1" applyBorder="1"/>
    <xf numFmtId="44" fontId="49" fillId="0" borderId="0" xfId="1" applyFont="1"/>
    <xf numFmtId="44" fontId="13" fillId="0" borderId="0" xfId="1" applyFont="1"/>
    <xf numFmtId="165" fontId="3" fillId="0" borderId="0" xfId="0" applyNumberFormat="1" applyFont="1" applyAlignment="1">
      <alignment horizontal="center"/>
    </xf>
    <xf numFmtId="44" fontId="3" fillId="0" borderId="0" xfId="1" applyFont="1" applyFill="1" applyBorder="1" applyAlignment="1"/>
    <xf numFmtId="44" fontId="3" fillId="0" borderId="0" xfId="1" applyFont="1" applyFill="1" applyBorder="1" applyAlignment="1">
      <alignment vertical="center"/>
    </xf>
    <xf numFmtId="44" fontId="49" fillId="0" borderId="0" xfId="1" applyFont="1" applyBorder="1"/>
    <xf numFmtId="44" fontId="3" fillId="13" borderId="38" xfId="1" applyFont="1" applyFill="1" applyBorder="1"/>
    <xf numFmtId="44" fontId="2" fillId="7" borderId="23" xfId="1" applyFont="1" applyFill="1" applyBorder="1"/>
    <xf numFmtId="44" fontId="3" fillId="10" borderId="64" xfId="1" applyFont="1" applyFill="1" applyBorder="1"/>
    <xf numFmtId="0" fontId="21" fillId="0" borderId="24" xfId="0" applyFont="1" applyFill="1" applyBorder="1"/>
    <xf numFmtId="165" fontId="3" fillId="9" borderId="0" xfId="1" applyNumberFormat="1" applyFont="1" applyFill="1"/>
    <xf numFmtId="0" fontId="49" fillId="9" borderId="0" xfId="0" applyFont="1" applyFill="1"/>
    <xf numFmtId="16" fontId="5" fillId="0" borderId="24" xfId="0" applyNumberFormat="1" applyFont="1" applyFill="1" applyBorder="1" applyAlignment="1">
      <alignment horizontal="left" wrapText="1"/>
    </xf>
    <xf numFmtId="0" fontId="13" fillId="8" borderId="24" xfId="0" applyFont="1" applyFill="1" applyBorder="1" applyAlignment="1">
      <alignment horizontal="center"/>
    </xf>
    <xf numFmtId="165" fontId="16" fillId="9" borderId="10" xfId="0" applyNumberFormat="1" applyFont="1" applyFill="1" applyBorder="1" applyAlignment="1">
      <alignment horizontal="center"/>
    </xf>
    <xf numFmtId="164" fontId="3" fillId="7" borderId="24" xfId="0" applyNumberFormat="1" applyFont="1" applyFill="1" applyBorder="1"/>
    <xf numFmtId="49" fontId="3" fillId="11" borderId="24" xfId="0" applyNumberFormat="1" applyFont="1" applyFill="1" applyBorder="1" applyAlignment="1">
      <alignment horizontal="center" wrapText="1"/>
    </xf>
    <xf numFmtId="16" fontId="18" fillId="4" borderId="24" xfId="0" applyNumberFormat="1" applyFont="1" applyFill="1" applyBorder="1" applyAlignment="1">
      <alignment horizontal="left"/>
    </xf>
    <xf numFmtId="165" fontId="13" fillId="4" borderId="24" xfId="1" applyNumberFormat="1" applyFont="1" applyFill="1" applyBorder="1" applyAlignment="1">
      <alignment horizontal="center"/>
    </xf>
    <xf numFmtId="44" fontId="13" fillId="4" borderId="25" xfId="1" applyFont="1" applyFill="1" applyBorder="1"/>
    <xf numFmtId="16" fontId="18" fillId="9" borderId="24" xfId="0" applyNumberFormat="1" applyFont="1" applyFill="1" applyBorder="1" applyAlignment="1">
      <alignment horizontal="left"/>
    </xf>
    <xf numFmtId="8" fontId="53" fillId="0" borderId="0" xfId="0" applyNumberFormat="1" applyFont="1" applyAlignment="1">
      <alignment horizontal="center"/>
    </xf>
    <xf numFmtId="16" fontId="53" fillId="0" borderId="0" xfId="0" applyNumberFormat="1" applyFont="1" applyAlignment="1">
      <alignment horizontal="center"/>
    </xf>
    <xf numFmtId="44" fontId="54" fillId="0" borderId="5" xfId="1" applyFont="1" applyBorder="1"/>
    <xf numFmtId="44" fontId="14" fillId="0" borderId="8" xfId="1" applyFont="1" applyBorder="1" applyAlignment="1">
      <alignment vertical="center"/>
    </xf>
    <xf numFmtId="16" fontId="13" fillId="0" borderId="24" xfId="0" applyNumberFormat="1" applyFont="1" applyFill="1" applyBorder="1" applyAlignment="1">
      <alignment horizontal="left" vertical="center"/>
    </xf>
    <xf numFmtId="16" fontId="13" fillId="0" borderId="24" xfId="0" applyNumberFormat="1" applyFont="1" applyFill="1" applyBorder="1" applyAlignment="1">
      <alignment horizontal="center"/>
    </xf>
    <xf numFmtId="49" fontId="3" fillId="0" borderId="69" xfId="0" applyNumberFormat="1" applyFont="1" applyFill="1" applyBorder="1"/>
    <xf numFmtId="49" fontId="3" fillId="0" borderId="70" xfId="0" applyNumberFormat="1" applyFont="1" applyFill="1" applyBorder="1"/>
    <xf numFmtId="44" fontId="3" fillId="0" borderId="70" xfId="1" applyFont="1" applyFill="1" applyBorder="1"/>
    <xf numFmtId="44" fontId="3" fillId="4" borderId="70" xfId="1" applyFont="1" applyFill="1" applyBorder="1"/>
    <xf numFmtId="15" fontId="48" fillId="0" borderId="24" xfId="0" applyNumberFormat="1" applyFont="1" applyFill="1" applyBorder="1" applyAlignment="1">
      <alignment horizontal="center"/>
    </xf>
    <xf numFmtId="15" fontId="3" fillId="0" borderId="69" xfId="0" applyNumberFormat="1" applyFont="1" applyFill="1" applyBorder="1" applyAlignment="1">
      <alignment horizontal="center"/>
    </xf>
    <xf numFmtId="0" fontId="25" fillId="0" borderId="24" xfId="0" applyFont="1" applyFill="1" applyBorder="1"/>
    <xf numFmtId="44" fontId="3" fillId="0" borderId="71" xfId="1" applyFont="1" applyFill="1" applyBorder="1"/>
    <xf numFmtId="44" fontId="3" fillId="0" borderId="15" xfId="1" applyFont="1" applyFill="1" applyBorder="1"/>
    <xf numFmtId="44" fontId="3" fillId="8" borderId="38" xfId="1" applyFont="1" applyFill="1" applyBorder="1"/>
    <xf numFmtId="16" fontId="22" fillId="0" borderId="24" xfId="0" applyNumberFormat="1" applyFont="1" applyFill="1" applyBorder="1" applyAlignment="1">
      <alignment horizontal="left" vertical="center"/>
    </xf>
    <xf numFmtId="16" fontId="5" fillId="7" borderId="0" xfId="0" applyNumberFormat="1" applyFont="1" applyFill="1" applyAlignment="1">
      <alignment horizontal="center"/>
    </xf>
    <xf numFmtId="16" fontId="13" fillId="0" borderId="0" xfId="0" applyNumberFormat="1" applyFont="1" applyFill="1" applyAlignment="1">
      <alignment horizontal="left" wrapText="1"/>
    </xf>
    <xf numFmtId="165" fontId="37" fillId="7" borderId="55" xfId="0" applyNumberFormat="1" applyFont="1" applyFill="1" applyBorder="1" applyAlignment="1">
      <alignment horizontal="left" vertical="center"/>
    </xf>
    <xf numFmtId="165" fontId="3" fillId="0" borderId="7" xfId="0" applyNumberFormat="1" applyFont="1" applyBorder="1" applyAlignment="1">
      <alignment horizontal="center"/>
    </xf>
    <xf numFmtId="165" fontId="3" fillId="0" borderId="69" xfId="0" applyNumberFormat="1" applyFont="1" applyFill="1" applyBorder="1" applyAlignment="1">
      <alignment horizontal="center"/>
    </xf>
    <xf numFmtId="165" fontId="48" fillId="0" borderId="24" xfId="0" applyNumberFormat="1" applyFont="1" applyFill="1" applyBorder="1" applyAlignment="1">
      <alignment horizontal="center"/>
    </xf>
    <xf numFmtId="165" fontId="40" fillId="0" borderId="24" xfId="0" applyNumberFormat="1" applyFont="1" applyFill="1" applyBorder="1" applyAlignment="1">
      <alignment horizontal="center"/>
    </xf>
    <xf numFmtId="165" fontId="40" fillId="0" borderId="61" xfId="0" applyNumberFormat="1" applyFont="1" applyFill="1" applyBorder="1" applyAlignment="1">
      <alignment horizontal="center"/>
    </xf>
    <xf numFmtId="165" fontId="40" fillId="0" borderId="61" xfId="0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49" fontId="3" fillId="0" borderId="70" xfId="0" applyNumberFormat="1" applyFont="1" applyFill="1" applyBorder="1" applyAlignment="1">
      <alignment horizontal="center"/>
    </xf>
    <xf numFmtId="165" fontId="13" fillId="10" borderId="24" xfId="1" applyNumberFormat="1" applyFont="1" applyFill="1" applyBorder="1" applyAlignment="1">
      <alignment horizontal="center"/>
    </xf>
    <xf numFmtId="16" fontId="5" fillId="10" borderId="24" xfId="0" applyNumberFormat="1" applyFont="1" applyFill="1" applyBorder="1" applyAlignment="1">
      <alignment horizontal="left" wrapText="1"/>
    </xf>
    <xf numFmtId="44" fontId="13" fillId="10" borderId="25" xfId="1" applyFont="1" applyFill="1" applyBorder="1"/>
    <xf numFmtId="16" fontId="3" fillId="0" borderId="0" xfId="0" applyNumberFormat="1" applyFont="1"/>
    <xf numFmtId="0" fontId="3" fillId="9" borderId="0" xfId="0" applyFont="1" applyFill="1" applyAlignment="1">
      <alignment wrapText="1"/>
    </xf>
    <xf numFmtId="44" fontId="10" fillId="3" borderId="1" xfId="1" applyFont="1" applyFill="1" applyBorder="1" applyAlignment="1">
      <alignment horizontal="center" wrapText="1"/>
    </xf>
    <xf numFmtId="44" fontId="10" fillId="3" borderId="3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44" fontId="16" fillId="0" borderId="37" xfId="1" applyFont="1" applyFill="1" applyBorder="1" applyAlignment="1">
      <alignment horizontal="center" vertical="center"/>
    </xf>
    <xf numFmtId="44" fontId="16" fillId="0" borderId="41" xfId="1" applyFont="1" applyFill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7" fontId="14" fillId="0" borderId="7" xfId="1" applyNumberFormat="1" applyFont="1" applyFill="1" applyBorder="1" applyAlignment="1">
      <alignment horizontal="center" vertical="center" wrapText="1"/>
    </xf>
    <xf numFmtId="167" fontId="14" fillId="0" borderId="53" xfId="1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44" fontId="16" fillId="0" borderId="36" xfId="1" applyFont="1" applyFill="1" applyBorder="1" applyAlignment="1">
      <alignment horizontal="center" vertical="center"/>
    </xf>
    <xf numFmtId="44" fontId="16" fillId="0" borderId="40" xfId="1" applyFont="1" applyFill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 wrapText="1"/>
    </xf>
    <xf numFmtId="44" fontId="13" fillId="0" borderId="25" xfId="1" applyFont="1" applyBorder="1" applyAlignment="1">
      <alignment horizontal="center" vertical="center" wrapText="1"/>
    </xf>
    <xf numFmtId="44" fontId="13" fillId="0" borderId="51" xfId="1" applyFont="1" applyBorder="1" applyAlignment="1">
      <alignment horizontal="center" vertical="center" wrapText="1"/>
    </xf>
    <xf numFmtId="44" fontId="14" fillId="0" borderId="51" xfId="1" applyFont="1" applyBorder="1" applyAlignment="1">
      <alignment horizontal="center"/>
    </xf>
    <xf numFmtId="44" fontId="14" fillId="0" borderId="52" xfId="1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44" fontId="15" fillId="0" borderId="51" xfId="1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44" fontId="14" fillId="4" borderId="13" xfId="1" applyFont="1" applyFill="1" applyBorder="1" applyAlignment="1">
      <alignment horizontal="center"/>
    </xf>
    <xf numFmtId="44" fontId="14" fillId="4" borderId="54" xfId="1" applyFont="1" applyFill="1" applyBorder="1" applyAlignment="1">
      <alignment horizontal="center"/>
    </xf>
    <xf numFmtId="166" fontId="14" fillId="4" borderId="54" xfId="1" applyNumberFormat="1" applyFont="1" applyFill="1" applyBorder="1" applyAlignment="1">
      <alignment horizontal="center"/>
    </xf>
    <xf numFmtId="44" fontId="10" fillId="3" borderId="62" xfId="1" applyFont="1" applyFill="1" applyBorder="1" applyAlignment="1">
      <alignment horizontal="center" wrapText="1"/>
    </xf>
    <xf numFmtId="0" fontId="17" fillId="6" borderId="55" xfId="0" applyFont="1" applyFill="1" applyBorder="1" applyAlignment="1">
      <alignment horizontal="center"/>
    </xf>
    <xf numFmtId="0" fontId="17" fillId="6" borderId="56" xfId="0" applyFont="1" applyFill="1" applyBorder="1" applyAlignment="1">
      <alignment horizontal="center"/>
    </xf>
    <xf numFmtId="44" fontId="3" fillId="0" borderId="51" xfId="1" applyFont="1" applyBorder="1" applyAlignment="1">
      <alignment horizontal="center"/>
    </xf>
    <xf numFmtId="44" fontId="3" fillId="0" borderId="52" xfId="1" applyFont="1" applyBorder="1" applyAlignment="1">
      <alignment horizontal="center"/>
    </xf>
    <xf numFmtId="44" fontId="13" fillId="0" borderId="25" xfId="1" applyFont="1" applyBorder="1" applyAlignment="1">
      <alignment horizontal="center"/>
    </xf>
    <xf numFmtId="44" fontId="13" fillId="0" borderId="51" xfId="1" applyFont="1" applyBorder="1" applyAlignment="1">
      <alignment horizontal="center"/>
    </xf>
    <xf numFmtId="44" fontId="14" fillId="7" borderId="13" xfId="1" applyFont="1" applyFill="1" applyBorder="1" applyAlignment="1">
      <alignment horizontal="center"/>
    </xf>
    <xf numFmtId="44" fontId="14" fillId="7" borderId="54" xfId="1" applyFont="1" applyFill="1" applyBorder="1" applyAlignment="1">
      <alignment horizontal="center"/>
    </xf>
    <xf numFmtId="166" fontId="3" fillId="7" borderId="54" xfId="1" applyNumberFormat="1" applyFont="1" applyFill="1" applyBorder="1" applyAlignment="1">
      <alignment horizontal="center"/>
    </xf>
    <xf numFmtId="44" fontId="51" fillId="9" borderId="1" xfId="1" applyFont="1" applyFill="1" applyBorder="1" applyAlignment="1">
      <alignment horizontal="center" wrapText="1"/>
    </xf>
    <xf numFmtId="44" fontId="51" fillId="9" borderId="62" xfId="1" applyFont="1" applyFill="1" applyBorder="1" applyAlignment="1">
      <alignment horizontal="center" wrapText="1"/>
    </xf>
    <xf numFmtId="44" fontId="14" fillId="9" borderId="13" xfId="1" applyFont="1" applyFill="1" applyBorder="1" applyAlignment="1">
      <alignment horizontal="center"/>
    </xf>
    <xf numFmtId="44" fontId="14" fillId="9" borderId="54" xfId="1" applyFont="1" applyFill="1" applyBorder="1" applyAlignment="1">
      <alignment horizontal="center"/>
    </xf>
    <xf numFmtId="166" fontId="16" fillId="9" borderId="54" xfId="1" applyNumberFormat="1" applyFont="1" applyFill="1" applyBorder="1" applyAlignment="1">
      <alignment horizontal="center"/>
    </xf>
    <xf numFmtId="44" fontId="51" fillId="12" borderId="1" xfId="1" applyFont="1" applyFill="1" applyBorder="1" applyAlignment="1">
      <alignment horizontal="center" wrapText="1"/>
    </xf>
    <xf numFmtId="44" fontId="51" fillId="12" borderId="62" xfId="1" applyFont="1" applyFill="1" applyBorder="1" applyAlignment="1">
      <alignment horizontal="center" wrapText="1"/>
    </xf>
    <xf numFmtId="166" fontId="16" fillId="7" borderId="54" xfId="1" applyNumberFormat="1" applyFont="1" applyFill="1" applyBorder="1" applyAlignment="1">
      <alignment horizontal="center"/>
    </xf>
    <xf numFmtId="44" fontId="14" fillId="4" borderId="0" xfId="1" applyFont="1" applyFill="1"/>
    <xf numFmtId="0" fontId="2" fillId="9" borderId="0" xfId="0" applyFont="1" applyFill="1"/>
    <xf numFmtId="0" fontId="0" fillId="9" borderId="0" xfId="0" applyFill="1"/>
    <xf numFmtId="44" fontId="13" fillId="4" borderId="0" xfId="1" applyFont="1" applyFill="1"/>
    <xf numFmtId="44" fontId="13" fillId="4" borderId="24" xfId="1" applyFont="1" applyFill="1" applyBorder="1"/>
    <xf numFmtId="44" fontId="2" fillId="7" borderId="17" xfId="1" applyFont="1" applyFill="1" applyBorder="1"/>
    <xf numFmtId="166" fontId="5" fillId="7" borderId="24" xfId="0" applyNumberFormat="1" applyFont="1" applyFill="1" applyBorder="1"/>
    <xf numFmtId="166" fontId="13" fillId="7" borderId="24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00FF00"/>
      <color rgb="FFFF66FF"/>
      <color rgb="FFFFCCCC"/>
      <color rgb="FFCCFF33"/>
      <color rgb="FFFF9900"/>
      <color rgb="FFCC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295275</xdr:colOff>
      <xdr:row>54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395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2204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536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467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681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4014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9062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3823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5155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218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396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38237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8871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36332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4965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199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22057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109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1918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250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276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491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10925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157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1918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250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276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49125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062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01400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062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1823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155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181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39600"/>
          <a:ext cx="923925" cy="9239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83"/>
  <sheetViews>
    <sheetView topLeftCell="A16" workbookViewId="0">
      <selection activeCell="M58" sqref="M58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64"/>
      <c r="C1" s="366" t="s">
        <v>29</v>
      </c>
      <c r="D1" s="367"/>
      <c r="E1" s="367"/>
      <c r="F1" s="367"/>
      <c r="G1" s="367"/>
      <c r="H1" s="367"/>
      <c r="I1" s="367"/>
      <c r="J1" s="367"/>
      <c r="K1" s="367"/>
      <c r="L1" s="367"/>
      <c r="M1" s="367"/>
    </row>
    <row r="2" spans="1:21" ht="16.5" thickBot="1" x14ac:dyDescent="0.3">
      <c r="B2" s="365"/>
      <c r="C2" s="4"/>
      <c r="H2" s="6"/>
      <c r="I2" s="7"/>
      <c r="J2" s="8"/>
      <c r="L2" s="3"/>
      <c r="M2" s="7"/>
      <c r="N2" s="9"/>
    </row>
    <row r="3" spans="1:21" ht="21.75" thickBot="1" x14ac:dyDescent="0.35">
      <c r="B3" s="368" t="s">
        <v>0</v>
      </c>
      <c r="C3" s="369"/>
      <c r="D3" s="10"/>
      <c r="E3" s="11"/>
      <c r="F3" s="11"/>
      <c r="H3" s="370" t="s">
        <v>1</v>
      </c>
      <c r="I3" s="370"/>
      <c r="K3" s="13"/>
      <c r="L3" s="13"/>
      <c r="M3" s="6"/>
      <c r="R3" s="347" t="s">
        <v>2</v>
      </c>
    </row>
    <row r="4" spans="1:21" ht="20.25" thickTop="1" thickBot="1" x14ac:dyDescent="0.35">
      <c r="A4" s="14" t="s">
        <v>3</v>
      </c>
      <c r="B4" s="15"/>
      <c r="C4" s="16">
        <v>373948.72</v>
      </c>
      <c r="D4" s="17">
        <v>44934</v>
      </c>
      <c r="E4" s="349" t="s">
        <v>4</v>
      </c>
      <c r="F4" s="350"/>
      <c r="H4" s="351" t="s">
        <v>5</v>
      </c>
      <c r="I4" s="352"/>
      <c r="J4" s="18"/>
      <c r="K4" s="19"/>
      <c r="L4" s="20"/>
      <c r="M4" s="21" t="s">
        <v>6</v>
      </c>
      <c r="N4" s="22" t="s">
        <v>7</v>
      </c>
      <c r="P4" s="353" t="s">
        <v>8</v>
      </c>
      <c r="Q4" s="354"/>
      <c r="R4" s="348"/>
    </row>
    <row r="5" spans="1:21" ht="18" thickBot="1" x14ac:dyDescent="0.35">
      <c r="A5" s="23" t="s">
        <v>9</v>
      </c>
      <c r="B5" s="24">
        <v>44935</v>
      </c>
      <c r="C5" s="25">
        <v>1560</v>
      </c>
      <c r="D5" s="26" t="s">
        <v>67</v>
      </c>
      <c r="E5" s="27">
        <v>44935</v>
      </c>
      <c r="F5" s="28">
        <v>124911</v>
      </c>
      <c r="G5" s="29"/>
      <c r="H5" s="30">
        <v>44935</v>
      </c>
      <c r="I5" s="31">
        <v>1037.5</v>
      </c>
      <c r="J5" s="8"/>
      <c r="K5" s="32"/>
      <c r="L5" s="9"/>
      <c r="M5" s="33">
        <f>119403.5+16000</f>
        <v>135403.5</v>
      </c>
      <c r="N5" s="34">
        <v>4000</v>
      </c>
      <c r="O5" s="35"/>
      <c r="P5" s="36">
        <f>N5+M5+L5+I5+C5</f>
        <v>142001</v>
      </c>
      <c r="Q5" s="13">
        <v>0</v>
      </c>
      <c r="R5" s="222">
        <v>17090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71188</v>
      </c>
      <c r="G6" s="29"/>
      <c r="H6" s="30">
        <v>44936</v>
      </c>
      <c r="I6" s="31">
        <v>113</v>
      </c>
      <c r="J6" s="39"/>
      <c r="K6" s="40"/>
      <c r="L6" s="41"/>
      <c r="M6" s="33">
        <v>83871</v>
      </c>
      <c r="N6" s="34">
        <v>1004</v>
      </c>
      <c r="O6" s="35"/>
      <c r="P6" s="36">
        <f>N6+M6+L6+I6+C6</f>
        <v>84988</v>
      </c>
      <c r="Q6" s="13">
        <v>0</v>
      </c>
      <c r="R6" s="222">
        <v>13800</v>
      </c>
      <c r="S6" s="37"/>
      <c r="T6" s="9"/>
    </row>
    <row r="7" spans="1:21" ht="18" thickBot="1" x14ac:dyDescent="0.35">
      <c r="A7" s="23"/>
      <c r="B7" s="24">
        <v>44937</v>
      </c>
      <c r="C7" s="25">
        <v>4414</v>
      </c>
      <c r="D7" s="42" t="s">
        <v>68</v>
      </c>
      <c r="E7" s="27">
        <v>44937</v>
      </c>
      <c r="F7" s="28">
        <v>47678</v>
      </c>
      <c r="G7" s="29"/>
      <c r="H7" s="30">
        <v>44937</v>
      </c>
      <c r="I7" s="31">
        <v>133.5</v>
      </c>
      <c r="J7" s="39"/>
      <c r="K7" s="43"/>
      <c r="L7" s="41"/>
      <c r="M7" s="33">
        <v>42630.5</v>
      </c>
      <c r="N7" s="34">
        <v>500</v>
      </c>
      <c r="O7" s="35"/>
      <c r="P7" s="36">
        <f>N7+M7+L7+I7+C7</f>
        <v>47678</v>
      </c>
      <c r="Q7" s="13">
        <f t="shared" ref="Q7:Q48" si="0">P7-F7</f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64345</v>
      </c>
      <c r="G8" s="29"/>
      <c r="H8" s="30">
        <v>44938</v>
      </c>
      <c r="I8" s="31">
        <v>101.5</v>
      </c>
      <c r="J8" s="44"/>
      <c r="K8" s="45"/>
      <c r="L8" s="41"/>
      <c r="M8" s="33">
        <f>17000+50662.5</f>
        <v>67662.5</v>
      </c>
      <c r="N8" s="34">
        <v>1207</v>
      </c>
      <c r="O8" s="35"/>
      <c r="P8" s="36">
        <f t="shared" ref="P8:P49" si="1">N8+M8+L8+I8+C8</f>
        <v>68971</v>
      </c>
      <c r="Q8" s="13">
        <v>0</v>
      </c>
      <c r="R8" s="222">
        <v>4626</v>
      </c>
      <c r="S8" s="37"/>
    </row>
    <row r="9" spans="1:21" ht="18" thickBot="1" x14ac:dyDescent="0.35">
      <c r="A9" s="23"/>
      <c r="B9" s="24">
        <v>44939</v>
      </c>
      <c r="C9" s="25">
        <v>21636</v>
      </c>
      <c r="D9" s="46" t="s">
        <v>69</v>
      </c>
      <c r="E9" s="27">
        <v>44939</v>
      </c>
      <c r="F9" s="28">
        <v>109777</v>
      </c>
      <c r="G9" s="29"/>
      <c r="H9" s="30">
        <v>44939</v>
      </c>
      <c r="I9" s="31">
        <v>168</v>
      </c>
      <c r="J9" s="39"/>
      <c r="K9" s="47"/>
      <c r="L9" s="41"/>
      <c r="M9" s="33">
        <f>50000+37473</f>
        <v>87473</v>
      </c>
      <c r="N9" s="34">
        <v>500</v>
      </c>
      <c r="O9" s="35"/>
      <c r="P9" s="36">
        <f t="shared" si="1"/>
        <v>109777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59345</v>
      </c>
      <c r="G10" s="29"/>
      <c r="H10" s="30">
        <v>44940</v>
      </c>
      <c r="I10" s="31">
        <v>374</v>
      </c>
      <c r="J10" s="39">
        <v>44940</v>
      </c>
      <c r="K10" s="48" t="s">
        <v>70</v>
      </c>
      <c r="L10" s="49">
        <v>8900</v>
      </c>
      <c r="M10" s="33">
        <f>20748+20000</f>
        <v>40748</v>
      </c>
      <c r="N10" s="34">
        <v>9323</v>
      </c>
      <c r="O10" s="35"/>
      <c r="P10" s="36">
        <f>N10+M10+L10+I10+C10</f>
        <v>59345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119768</v>
      </c>
      <c r="G11" s="29"/>
      <c r="H11" s="30">
        <v>44941</v>
      </c>
      <c r="I11" s="31">
        <v>109</v>
      </c>
      <c r="J11" s="44"/>
      <c r="K11" s="50"/>
      <c r="L11" s="41"/>
      <c r="M11" s="33">
        <f>126400+6954</f>
        <v>133354</v>
      </c>
      <c r="N11" s="34">
        <v>4125</v>
      </c>
      <c r="O11" s="35"/>
      <c r="P11" s="36">
        <f>N11+M11+L11+I11+C11</f>
        <v>137588</v>
      </c>
      <c r="Q11" s="13">
        <v>0</v>
      </c>
      <c r="R11" s="222">
        <v>17820</v>
      </c>
      <c r="S11" s="37"/>
    </row>
    <row r="12" spans="1:21" ht="31.5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132033</v>
      </c>
      <c r="G12" s="29"/>
      <c r="H12" s="30">
        <v>44942</v>
      </c>
      <c r="I12" s="31">
        <v>56</v>
      </c>
      <c r="J12" s="39">
        <v>44942</v>
      </c>
      <c r="K12" s="223" t="s">
        <v>71</v>
      </c>
      <c r="L12" s="41">
        <v>2600</v>
      </c>
      <c r="M12" s="33">
        <f>21000+108337</f>
        <v>129337</v>
      </c>
      <c r="N12" s="34">
        <v>40</v>
      </c>
      <c r="O12" s="35"/>
      <c r="P12" s="36">
        <f t="shared" si="1"/>
        <v>132033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79932</v>
      </c>
      <c r="G13" s="29"/>
      <c r="H13" s="30">
        <v>44943</v>
      </c>
      <c r="I13" s="31">
        <v>107</v>
      </c>
      <c r="J13" s="39"/>
      <c r="K13" s="40"/>
      <c r="L13" s="41"/>
      <c r="M13" s="33">
        <f>20000+59825</f>
        <v>79825</v>
      </c>
      <c r="N13" s="34">
        <v>0</v>
      </c>
      <c r="O13" s="35"/>
      <c r="P13" s="36">
        <f t="shared" si="1"/>
        <v>79932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37644</v>
      </c>
      <c r="G14" s="29"/>
      <c r="H14" s="30">
        <v>44944</v>
      </c>
      <c r="I14" s="31">
        <v>134</v>
      </c>
      <c r="J14" s="39"/>
      <c r="K14" s="45"/>
      <c r="L14" s="41"/>
      <c r="M14" s="33">
        <v>36780</v>
      </c>
      <c r="N14" s="34">
        <v>730</v>
      </c>
      <c r="O14" s="35"/>
      <c r="P14" s="36">
        <f t="shared" si="1"/>
        <v>37644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2340</v>
      </c>
      <c r="D15" s="52" t="s">
        <v>67</v>
      </c>
      <c r="E15" s="27">
        <v>44945</v>
      </c>
      <c r="F15" s="28">
        <v>87735</v>
      </c>
      <c r="G15" s="29"/>
      <c r="H15" s="30">
        <v>44945</v>
      </c>
      <c r="I15" s="31">
        <v>179</v>
      </c>
      <c r="J15" s="39"/>
      <c r="K15" s="45"/>
      <c r="L15" s="41"/>
      <c r="M15" s="33">
        <f>36000+49217</f>
        <v>85217</v>
      </c>
      <c r="N15" s="34">
        <v>0</v>
      </c>
      <c r="O15" s="35"/>
      <c r="P15" s="36">
        <f t="shared" si="1"/>
        <v>87736</v>
      </c>
      <c r="Q15" s="13">
        <f t="shared" si="0"/>
        <v>1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81640</v>
      </c>
      <c r="G16" s="29"/>
      <c r="H16" s="30">
        <v>44946</v>
      </c>
      <c r="I16" s="31">
        <v>327</v>
      </c>
      <c r="J16" s="39">
        <v>44946</v>
      </c>
      <c r="K16" s="224" t="s">
        <v>72</v>
      </c>
      <c r="L16" s="9">
        <v>20500</v>
      </c>
      <c r="M16" s="33">
        <f>21000+37200</f>
        <v>58200</v>
      </c>
      <c r="N16" s="34">
        <v>2613</v>
      </c>
      <c r="O16" s="35"/>
      <c r="P16" s="36">
        <f t="shared" si="1"/>
        <v>81640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65320</v>
      </c>
      <c r="G17" s="29"/>
      <c r="H17" s="30">
        <v>44947</v>
      </c>
      <c r="I17" s="31">
        <v>87</v>
      </c>
      <c r="J17" s="39">
        <v>44947</v>
      </c>
      <c r="K17" s="53" t="s">
        <v>73</v>
      </c>
      <c r="L17" s="49">
        <v>10600</v>
      </c>
      <c r="M17" s="33">
        <f>23000+22677</f>
        <v>45677</v>
      </c>
      <c r="N17" s="34">
        <v>8956</v>
      </c>
      <c r="O17" s="35"/>
      <c r="P17" s="36">
        <f t="shared" si="1"/>
        <v>65320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12722</v>
      </c>
      <c r="D18" s="42" t="s">
        <v>69</v>
      </c>
      <c r="E18" s="27">
        <v>44948</v>
      </c>
      <c r="F18" s="28">
        <v>110009</v>
      </c>
      <c r="G18" s="29"/>
      <c r="H18" s="30">
        <v>44948</v>
      </c>
      <c r="I18" s="31">
        <v>125.5</v>
      </c>
      <c r="J18" s="39"/>
      <c r="K18" s="54"/>
      <c r="L18" s="41"/>
      <c r="M18" s="33">
        <f>83100+7943.5</f>
        <v>91043.5</v>
      </c>
      <c r="N18" s="34">
        <v>6118</v>
      </c>
      <c r="O18" s="35"/>
      <c r="P18" s="36">
        <f t="shared" si="1"/>
        <v>110009</v>
      </c>
      <c r="Q18" s="13">
        <f t="shared" si="0"/>
        <v>0</v>
      </c>
      <c r="R18" s="13" t="s">
        <v>9</v>
      </c>
      <c r="S18" s="37"/>
    </row>
    <row r="19" spans="1:20" ht="18" thickBot="1" x14ac:dyDescent="0.35">
      <c r="A19" s="23"/>
      <c r="B19" s="24">
        <v>44949</v>
      </c>
      <c r="C19" s="25">
        <v>2840</v>
      </c>
      <c r="D19" s="52" t="s">
        <v>67</v>
      </c>
      <c r="E19" s="27">
        <v>44949</v>
      </c>
      <c r="F19" s="28">
        <v>64409</v>
      </c>
      <c r="G19" s="29"/>
      <c r="H19" s="30">
        <v>44949</v>
      </c>
      <c r="I19" s="31">
        <v>25</v>
      </c>
      <c r="J19" s="39"/>
      <c r="K19" s="55"/>
      <c r="L19" s="56"/>
      <c r="M19" s="33">
        <f>9000+52544</f>
        <v>61544</v>
      </c>
      <c r="N19" s="34">
        <v>0</v>
      </c>
      <c r="O19" s="35"/>
      <c r="P19" s="36">
        <f t="shared" si="1"/>
        <v>64409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132246</v>
      </c>
      <c r="G20" s="29"/>
      <c r="H20" s="30">
        <v>44950</v>
      </c>
      <c r="I20" s="31">
        <v>84</v>
      </c>
      <c r="J20" s="39"/>
      <c r="K20" s="57"/>
      <c r="L20" s="49"/>
      <c r="M20" s="33">
        <f>104034+28000</f>
        <v>132034</v>
      </c>
      <c r="N20" s="34">
        <v>128</v>
      </c>
      <c r="O20" s="35"/>
      <c r="P20" s="36">
        <f t="shared" si="1"/>
        <v>132246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2842</v>
      </c>
      <c r="D21" s="52" t="s">
        <v>74</v>
      </c>
      <c r="E21" s="27">
        <v>44951</v>
      </c>
      <c r="F21" s="28">
        <v>62087</v>
      </c>
      <c r="G21" s="29"/>
      <c r="H21" s="30">
        <v>44951</v>
      </c>
      <c r="I21" s="31">
        <v>707</v>
      </c>
      <c r="J21" s="39"/>
      <c r="K21" s="58"/>
      <c r="L21" s="49"/>
      <c r="M21" s="33">
        <f>30984+27000</f>
        <v>57984</v>
      </c>
      <c r="N21" s="34">
        <v>554</v>
      </c>
      <c r="O21" s="35"/>
      <c r="P21" s="36">
        <f t="shared" si="1"/>
        <v>62087</v>
      </c>
      <c r="Q21" s="13">
        <f t="shared" si="0"/>
        <v>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62127</v>
      </c>
      <c r="G22" s="29"/>
      <c r="H22" s="30">
        <v>44952</v>
      </c>
      <c r="I22" s="31">
        <v>660</v>
      </c>
      <c r="J22" s="39"/>
      <c r="K22" s="45"/>
      <c r="L22" s="59"/>
      <c r="M22" s="33">
        <f>40006+21000</f>
        <v>61006</v>
      </c>
      <c r="N22" s="34">
        <v>461</v>
      </c>
      <c r="O22" s="35"/>
      <c r="P22" s="36">
        <f t="shared" si="1"/>
        <v>62127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f>3340+12198</f>
        <v>15538</v>
      </c>
      <c r="D23" s="46" t="s">
        <v>75</v>
      </c>
      <c r="E23" s="27">
        <v>44953</v>
      </c>
      <c r="F23" s="28">
        <v>102367</v>
      </c>
      <c r="G23" s="29"/>
      <c r="H23" s="30">
        <v>44953</v>
      </c>
      <c r="I23" s="31">
        <v>605</v>
      </c>
      <c r="J23" s="60"/>
      <c r="K23" s="61"/>
      <c r="L23" s="49"/>
      <c r="M23" s="33">
        <f>36224+50000</f>
        <v>86224</v>
      </c>
      <c r="N23" s="34">
        <v>0</v>
      </c>
      <c r="O23" s="35"/>
      <c r="P23" s="36">
        <f t="shared" si="1"/>
        <v>102367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69253</v>
      </c>
      <c r="G24" s="29"/>
      <c r="H24" s="30">
        <v>44954</v>
      </c>
      <c r="I24" s="31">
        <v>227.5</v>
      </c>
      <c r="J24" s="62">
        <v>44954</v>
      </c>
      <c r="K24" s="63" t="s">
        <v>76</v>
      </c>
      <c r="L24" s="64">
        <v>8900</v>
      </c>
      <c r="M24" s="33">
        <f>26833.5+27000</f>
        <v>53833.5</v>
      </c>
      <c r="N24" s="34">
        <v>6292</v>
      </c>
      <c r="O24" s="35"/>
      <c r="P24" s="36">
        <f t="shared" si="1"/>
        <v>69253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100451</v>
      </c>
      <c r="G25" s="29"/>
      <c r="H25" s="30">
        <v>44955</v>
      </c>
      <c r="I25" s="31">
        <v>1103</v>
      </c>
      <c r="J25" s="65"/>
      <c r="K25" s="66"/>
      <c r="L25" s="67"/>
      <c r="M25" s="33">
        <f>76750+8550+11200</f>
        <v>96500</v>
      </c>
      <c r="N25" s="34">
        <v>2848</v>
      </c>
      <c r="O25" s="35"/>
      <c r="P25" s="36">
        <f t="shared" si="1"/>
        <v>100451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/>
      <c r="F26" s="28"/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/>
      <c r="F27" s="28"/>
      <c r="G27" s="29"/>
      <c r="H27" s="30"/>
      <c r="I27" s="31"/>
      <c r="J27" s="68">
        <v>44950</v>
      </c>
      <c r="K27" s="232" t="s">
        <v>108</v>
      </c>
      <c r="L27" s="67">
        <v>1392</v>
      </c>
      <c r="M27" s="33">
        <v>0</v>
      </c>
      <c r="N27" s="34">
        <v>0</v>
      </c>
      <c r="O27" s="35"/>
      <c r="P27" s="36">
        <f t="shared" si="1"/>
        <v>1392</v>
      </c>
      <c r="Q27" s="13">
        <f t="shared" si="0"/>
        <v>1392</v>
      </c>
      <c r="R27" s="13">
        <v>0</v>
      </c>
      <c r="S27" s="37"/>
    </row>
    <row r="28" spans="1:20" ht="18" hidden="1" thickBot="1" x14ac:dyDescent="0.35">
      <c r="A28" s="23"/>
      <c r="B28" s="24"/>
      <c r="C28" s="25"/>
      <c r="D28" s="42"/>
      <c r="E28" s="27"/>
      <c r="F28" s="28"/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hidden="1" thickBot="1" x14ac:dyDescent="0.35">
      <c r="A29" s="23"/>
      <c r="B29" s="24"/>
      <c r="C29" s="25"/>
      <c r="D29" s="72"/>
      <c r="E29" s="27"/>
      <c r="F29" s="28"/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hidden="1" thickBot="1" x14ac:dyDescent="0.35">
      <c r="A30" s="23"/>
      <c r="B30" s="24"/>
      <c r="C30" s="25"/>
      <c r="D30" s="72"/>
      <c r="E30" s="27"/>
      <c r="F30" s="28"/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hidden="1" thickBot="1" x14ac:dyDescent="0.35">
      <c r="A31" s="23"/>
      <c r="B31" s="24"/>
      <c r="C31" s="25"/>
      <c r="D31" s="77"/>
      <c r="E31" s="27"/>
      <c r="F31" s="28"/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hidden="1" thickBot="1" x14ac:dyDescent="0.35">
      <c r="A32" s="23"/>
      <c r="B32" s="24"/>
      <c r="C32" s="25"/>
      <c r="D32" s="82"/>
      <c r="E32" s="27"/>
      <c r="F32" s="28"/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hidden="1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hidden="1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hidden="1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hidden="1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hidden="1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hidden="1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hidden="1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hidden="1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hidden="1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hidden="1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hidden="1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hidden="1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hidden="1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hidden="1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hidden="1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>
        <v>44951</v>
      </c>
      <c r="K48" s="231" t="s">
        <v>109</v>
      </c>
      <c r="L48" s="76">
        <v>979.68</v>
      </c>
      <c r="M48" s="92">
        <v>0</v>
      </c>
      <c r="N48" s="93"/>
      <c r="O48" s="35"/>
      <c r="P48" s="36">
        <f t="shared" si="1"/>
        <v>979.68</v>
      </c>
      <c r="Q48" s="13">
        <f t="shared" si="0"/>
        <v>979.68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>
        <v>44942</v>
      </c>
      <c r="K49" s="97" t="s">
        <v>111</v>
      </c>
      <c r="L49" s="76">
        <v>549</v>
      </c>
      <c r="M49" s="371">
        <f>SUM(M5:M39)</f>
        <v>1666347.5</v>
      </c>
      <c r="N49" s="356">
        <f>SUM(N5:N39)</f>
        <v>49399</v>
      </c>
      <c r="P49" s="98">
        <f t="shared" si="1"/>
        <v>1716295.5</v>
      </c>
      <c r="Q49" s="99">
        <f>SUM(Q5:Q39)</f>
        <v>1393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>
        <v>44955</v>
      </c>
      <c r="K50" s="233" t="s">
        <v>112</v>
      </c>
      <c r="L50" s="76">
        <v>2591.1799999999998</v>
      </c>
      <c r="M50" s="372"/>
      <c r="N50" s="357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5.75" thickBot="1" x14ac:dyDescent="0.3">
      <c r="A52" s="23"/>
      <c r="B52" s="111"/>
      <c r="C52" s="25">
        <v>0</v>
      </c>
      <c r="D52" s="115"/>
      <c r="E52" s="116"/>
      <c r="F52" s="107"/>
      <c r="H52" s="117"/>
      <c r="I52" s="91"/>
      <c r="J52" s="118"/>
      <c r="K52" s="119"/>
      <c r="L52" s="9"/>
      <c r="M52" s="120"/>
      <c r="N52" s="34"/>
      <c r="P52" s="36"/>
      <c r="Q52" s="9"/>
    </row>
    <row r="53" spans="1:18" ht="16.5" thickBot="1" x14ac:dyDescent="0.3">
      <c r="B53" s="121" t="s">
        <v>10</v>
      </c>
      <c r="C53" s="122">
        <f>SUM(C5:C52)</f>
        <v>63892</v>
      </c>
      <c r="D53" s="123"/>
      <c r="E53" s="124" t="s">
        <v>10</v>
      </c>
      <c r="F53" s="125">
        <f>SUM(F5:F52)</f>
        <v>1784265</v>
      </c>
      <c r="G53" s="123"/>
      <c r="H53" s="126" t="s">
        <v>11</v>
      </c>
      <c r="I53" s="127">
        <f>SUM(I5:I52)</f>
        <v>6463.5</v>
      </c>
      <c r="J53" s="128"/>
      <c r="K53" s="129" t="s">
        <v>12</v>
      </c>
      <c r="L53" s="130">
        <f>SUM(L5:L52)</f>
        <v>57011.86</v>
      </c>
      <c r="M53" s="131"/>
      <c r="N53" s="131"/>
      <c r="P53" s="36"/>
      <c r="Q53" s="9"/>
    </row>
    <row r="54" spans="1:18" ht="16.5" thickTop="1" thickBot="1" x14ac:dyDescent="0.3">
      <c r="C54" s="4" t="s">
        <v>9</v>
      </c>
      <c r="P54" s="36"/>
      <c r="Q54" s="9"/>
    </row>
    <row r="55" spans="1:18" ht="19.5" thickBot="1" x14ac:dyDescent="0.3">
      <c r="A55" s="133"/>
      <c r="B55" s="134"/>
      <c r="C55" s="1"/>
      <c r="H55" s="358" t="s">
        <v>13</v>
      </c>
      <c r="I55" s="359"/>
      <c r="J55" s="135"/>
      <c r="K55" s="360">
        <f>I53+L53</f>
        <v>63475.360000000001</v>
      </c>
      <c r="L55" s="361"/>
      <c r="M55" s="362">
        <f>N49+M49</f>
        <v>1715746.5</v>
      </c>
      <c r="N55" s="363"/>
      <c r="P55" s="36"/>
      <c r="Q55" s="9"/>
    </row>
    <row r="56" spans="1:18" ht="15.75" x14ac:dyDescent="0.25">
      <c r="D56" s="355" t="s">
        <v>14</v>
      </c>
      <c r="E56" s="355"/>
      <c r="F56" s="136">
        <f>F53-K55-C53</f>
        <v>1656897.64</v>
      </c>
      <c r="I56" s="137"/>
      <c r="J56" s="138"/>
      <c r="P56" s="36"/>
      <c r="Q56" s="9"/>
    </row>
    <row r="57" spans="1:18" ht="18.75" x14ac:dyDescent="0.3">
      <c r="D57" s="373" t="s">
        <v>15</v>
      </c>
      <c r="E57" s="373"/>
      <c r="F57" s="131">
        <v>-1524395.48</v>
      </c>
      <c r="I57" s="374" t="s">
        <v>16</v>
      </c>
      <c r="J57" s="375"/>
      <c r="K57" s="376">
        <f>F59+F60+F61</f>
        <v>393764.05999999994</v>
      </c>
      <c r="L57" s="377"/>
      <c r="P57" s="36"/>
      <c r="Q57" s="9"/>
    </row>
    <row r="58" spans="1:18" ht="19.5" thickBot="1" x14ac:dyDescent="0.35">
      <c r="D58" s="139"/>
      <c r="E58" s="140"/>
      <c r="F58" s="141">
        <v>0</v>
      </c>
      <c r="I58" s="142"/>
      <c r="J58" s="143"/>
      <c r="K58" s="144"/>
      <c r="L58" s="145"/>
    </row>
    <row r="59" spans="1:18" ht="19.5" thickTop="1" x14ac:dyDescent="0.3">
      <c r="C59" s="5" t="s">
        <v>9</v>
      </c>
      <c r="E59" s="133" t="s">
        <v>17</v>
      </c>
      <c r="F59" s="131">
        <f>SUM(F56:F58)</f>
        <v>132502.15999999992</v>
      </c>
      <c r="H59" s="23"/>
      <c r="I59" s="146" t="s">
        <v>18</v>
      </c>
      <c r="J59" s="147"/>
      <c r="K59" s="378">
        <f>-C4</f>
        <v>-373948.72</v>
      </c>
      <c r="L59" s="379"/>
    </row>
    <row r="60" spans="1:18" ht="16.5" thickBot="1" x14ac:dyDescent="0.3">
      <c r="D60" s="148" t="s">
        <v>19</v>
      </c>
      <c r="E60" s="133" t="s">
        <v>20</v>
      </c>
      <c r="F60" s="149">
        <v>37733</v>
      </c>
    </row>
    <row r="61" spans="1:18" ht="20.25" thickTop="1" thickBot="1" x14ac:dyDescent="0.35">
      <c r="C61" s="150">
        <v>44955</v>
      </c>
      <c r="D61" s="380" t="s">
        <v>21</v>
      </c>
      <c r="E61" s="381"/>
      <c r="F61" s="151">
        <v>223528.9</v>
      </c>
      <c r="I61" s="382" t="s">
        <v>22</v>
      </c>
      <c r="J61" s="383"/>
      <c r="K61" s="384">
        <f>K57+K59</f>
        <v>19815.339999999967</v>
      </c>
      <c r="L61" s="384"/>
    </row>
    <row r="62" spans="1:18" ht="17.25" x14ac:dyDescent="0.3">
      <c r="C62" s="152"/>
      <c r="D62" s="153"/>
      <c r="E62" s="154"/>
      <c r="F62" s="155"/>
      <c r="J62" s="156"/>
    </row>
    <row r="63" spans="1:18" ht="15" customHeight="1" x14ac:dyDescent="0.25">
      <c r="I63" s="157"/>
      <c r="J63" s="157"/>
      <c r="K63" s="158"/>
      <c r="L63" s="158"/>
    </row>
    <row r="64" spans="1:18" ht="16.5" customHeight="1" x14ac:dyDescent="0.25">
      <c r="B64" s="159"/>
      <c r="C64" s="160"/>
      <c r="D64" s="161"/>
      <c r="E64" s="36"/>
      <c r="I64" s="157"/>
      <c r="J64" s="157"/>
      <c r="K64" s="158"/>
      <c r="L64" s="158"/>
      <c r="M64" s="162"/>
      <c r="N64" s="133"/>
    </row>
    <row r="65" spans="2:14" ht="15.75" x14ac:dyDescent="0.25">
      <c r="B65" s="159"/>
      <c r="C65" s="163"/>
      <c r="E65" s="36"/>
      <c r="M65" s="162"/>
      <c r="N65" s="133"/>
    </row>
    <row r="66" spans="2:14" ht="15.75" x14ac:dyDescent="0.25">
      <c r="B66" s="159"/>
      <c r="C66" s="163"/>
      <c r="E66" s="36"/>
      <c r="F66" s="164"/>
      <c r="L66" s="165"/>
      <c r="M66" s="1"/>
    </row>
    <row r="67" spans="2:14" ht="15.75" x14ac:dyDescent="0.25">
      <c r="B67" s="159"/>
      <c r="C67" s="163"/>
      <c r="E67" s="36"/>
      <c r="M67" s="1"/>
    </row>
    <row r="68" spans="2:14" ht="15.75" x14ac:dyDescent="0.25">
      <c r="B68" s="159"/>
      <c r="C68" s="163"/>
      <c r="E68" s="36"/>
      <c r="F68" s="166"/>
      <c r="M68" s="1"/>
    </row>
    <row r="69" spans="2:14" x14ac:dyDescent="0.25">
      <c r="E69" s="167"/>
      <c r="F69" s="36"/>
      <c r="M69" s="1"/>
    </row>
    <row r="70" spans="2:14" x14ac:dyDescent="0.25">
      <c r="E70" s="167"/>
      <c r="F70" s="36"/>
      <c r="M70" s="1"/>
    </row>
    <row r="71" spans="2:14" x14ac:dyDescent="0.25">
      <c r="E71" s="167"/>
      <c r="F71" s="36"/>
      <c r="M71" s="1"/>
    </row>
    <row r="72" spans="2:14" x14ac:dyDescent="0.25">
      <c r="E72" s="167"/>
      <c r="F72" s="36"/>
      <c r="M72" s="1"/>
    </row>
    <row r="73" spans="2:14" x14ac:dyDescent="0.25">
      <c r="E73" s="167"/>
      <c r="F73" s="36"/>
      <c r="M73" s="1"/>
    </row>
    <row r="74" spans="2:14" x14ac:dyDescent="0.25">
      <c r="E74" s="167"/>
      <c r="F74" s="36"/>
      <c r="M74" s="1"/>
    </row>
    <row r="75" spans="2:14" x14ac:dyDescent="0.25">
      <c r="E75" s="167"/>
      <c r="F75" s="36"/>
      <c r="M75" s="1"/>
    </row>
    <row r="76" spans="2:14" x14ac:dyDescent="0.25">
      <c r="E76" s="167"/>
      <c r="F76" s="36"/>
      <c r="M76" s="1"/>
    </row>
    <row r="77" spans="2:14" x14ac:dyDescent="0.25">
      <c r="E77" s="167"/>
      <c r="F77" s="36"/>
      <c r="M77" s="1"/>
    </row>
    <row r="78" spans="2:14" x14ac:dyDescent="0.25">
      <c r="E78" s="167"/>
      <c r="F78" s="36"/>
      <c r="M78" s="1"/>
    </row>
    <row r="79" spans="2:14" x14ac:dyDescent="0.25">
      <c r="E79" s="167"/>
      <c r="F79" s="36"/>
      <c r="M79" s="1"/>
    </row>
    <row r="80" spans="2:14" x14ac:dyDescent="0.25">
      <c r="E80" s="167"/>
      <c r="F80" s="36"/>
    </row>
    <row r="81" spans="6:6" x14ac:dyDescent="0.25">
      <c r="F81" s="166"/>
    </row>
    <row r="82" spans="6:6" x14ac:dyDescent="0.25">
      <c r="F82" s="166"/>
    </row>
    <row r="83" spans="6:6" x14ac:dyDescent="0.25">
      <c r="F83" s="166"/>
    </row>
  </sheetData>
  <mergeCells count="21">
    <mergeCell ref="D57:E57"/>
    <mergeCell ref="I57:J57"/>
    <mergeCell ref="K57:L57"/>
    <mergeCell ref="K59:L59"/>
    <mergeCell ref="D61:E61"/>
    <mergeCell ref="I61:J61"/>
    <mergeCell ref="K61:L61"/>
    <mergeCell ref="B1:B2"/>
    <mergeCell ref="C1:M1"/>
    <mergeCell ref="B3:C3"/>
    <mergeCell ref="H3:I3"/>
    <mergeCell ref="M49:M50"/>
    <mergeCell ref="R3:R4"/>
    <mergeCell ref="E4:F4"/>
    <mergeCell ref="H4:I4"/>
    <mergeCell ref="P4:Q4"/>
    <mergeCell ref="D56:E56"/>
    <mergeCell ref="N49:N50"/>
    <mergeCell ref="H55:I55"/>
    <mergeCell ref="K55:L55"/>
    <mergeCell ref="M55:N5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115"/>
  <sheetViews>
    <sheetView zoomScale="85" zoomScaleNormal="85" workbookViewId="0">
      <pane ySplit="2" topLeftCell="A42" activePane="bottomLeft" state="frozen"/>
      <selection pane="bottomLeft" activeCell="C88" sqref="C88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9.5703125" style="1" bestFit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45051</v>
      </c>
      <c r="B3" s="182" t="s">
        <v>232</v>
      </c>
      <c r="C3" s="149">
        <v>23621.200000000001</v>
      </c>
      <c r="D3" s="244"/>
      <c r="E3" s="220"/>
      <c r="F3" s="180">
        <f>C3-E3</f>
        <v>23621.200000000001</v>
      </c>
    </row>
    <row r="4" spans="1:7" ht="22.5" customHeight="1" x14ac:dyDescent="0.25">
      <c r="A4" s="181">
        <v>45051</v>
      </c>
      <c r="B4" s="182" t="s">
        <v>233</v>
      </c>
      <c r="C4" s="149">
        <v>17961</v>
      </c>
      <c r="D4" s="244"/>
      <c r="E4" s="220"/>
      <c r="F4" s="183">
        <f>C4-E4+F3</f>
        <v>41582.199999999997</v>
      </c>
    </row>
    <row r="5" spans="1:7" ht="21" customHeight="1" x14ac:dyDescent="0.25">
      <c r="A5" s="181">
        <v>45051</v>
      </c>
      <c r="B5" s="182" t="s">
        <v>234</v>
      </c>
      <c r="C5" s="149">
        <v>38048</v>
      </c>
      <c r="D5" s="244"/>
      <c r="E5" s="220"/>
      <c r="F5" s="183">
        <f t="shared" ref="F5:F68" si="0">C5-E5+F4</f>
        <v>79630.2</v>
      </c>
    </row>
    <row r="6" spans="1:7" ht="21" customHeight="1" x14ac:dyDescent="0.3">
      <c r="A6" s="181">
        <v>45051</v>
      </c>
      <c r="B6" s="182" t="s">
        <v>235</v>
      </c>
      <c r="C6" s="149">
        <v>17139.599999999999</v>
      </c>
      <c r="D6" s="244"/>
      <c r="E6" s="220"/>
      <c r="F6" s="183">
        <f t="shared" si="0"/>
        <v>96769.799999999988</v>
      </c>
      <c r="G6" s="184"/>
    </row>
    <row r="7" spans="1:7" ht="21" customHeight="1" x14ac:dyDescent="0.25">
      <c r="A7" s="181">
        <v>45051</v>
      </c>
      <c r="B7" s="182" t="s">
        <v>236</v>
      </c>
      <c r="C7" s="149">
        <v>46544</v>
      </c>
      <c r="D7" s="244"/>
      <c r="E7" s="220"/>
      <c r="F7" s="183">
        <f t="shared" si="0"/>
        <v>143313.79999999999</v>
      </c>
    </row>
    <row r="8" spans="1:7" ht="21" customHeight="1" x14ac:dyDescent="0.25">
      <c r="A8" s="181">
        <v>45052</v>
      </c>
      <c r="B8" s="182" t="s">
        <v>237</v>
      </c>
      <c r="C8" s="149">
        <v>7382.8</v>
      </c>
      <c r="D8" s="244"/>
      <c r="E8" s="220"/>
      <c r="F8" s="183">
        <f t="shared" si="0"/>
        <v>150696.59999999998</v>
      </c>
    </row>
    <row r="9" spans="1:7" ht="21" customHeight="1" x14ac:dyDescent="0.25">
      <c r="A9" s="181">
        <v>45052</v>
      </c>
      <c r="B9" s="182" t="s">
        <v>238</v>
      </c>
      <c r="C9" s="149">
        <v>154193.70000000001</v>
      </c>
      <c r="D9" s="181"/>
      <c r="E9" s="149"/>
      <c r="F9" s="183">
        <f t="shared" si="0"/>
        <v>304890.3</v>
      </c>
    </row>
    <row r="10" spans="1:7" ht="21" customHeight="1" x14ac:dyDescent="0.25">
      <c r="A10" s="181">
        <v>45052</v>
      </c>
      <c r="B10" s="182" t="s">
        <v>239</v>
      </c>
      <c r="C10" s="149">
        <v>27348.16</v>
      </c>
      <c r="D10" s="181"/>
      <c r="E10" s="149"/>
      <c r="F10" s="183">
        <f t="shared" si="0"/>
        <v>332238.45999999996</v>
      </c>
    </row>
    <row r="11" spans="1:7" ht="21" customHeight="1" x14ac:dyDescent="0.25">
      <c r="A11" s="181">
        <v>45054</v>
      </c>
      <c r="B11" s="182" t="s">
        <v>240</v>
      </c>
      <c r="C11" s="149">
        <v>108330.2</v>
      </c>
      <c r="D11" s="181"/>
      <c r="E11" s="149"/>
      <c r="F11" s="183">
        <f t="shared" si="0"/>
        <v>440568.66</v>
      </c>
    </row>
    <row r="12" spans="1:7" ht="21" customHeight="1" x14ac:dyDescent="0.3">
      <c r="A12" s="181">
        <v>45054</v>
      </c>
      <c r="B12" s="182" t="s">
        <v>241</v>
      </c>
      <c r="C12" s="149">
        <v>4400</v>
      </c>
      <c r="D12" s="181"/>
      <c r="E12" s="149"/>
      <c r="F12" s="183">
        <f t="shared" si="0"/>
        <v>444968.66</v>
      </c>
      <c r="G12" s="184"/>
    </row>
    <row r="13" spans="1:7" ht="21" customHeight="1" x14ac:dyDescent="0.25">
      <c r="A13" s="181">
        <v>45055</v>
      </c>
      <c r="B13" s="182" t="s">
        <v>242</v>
      </c>
      <c r="C13" s="149">
        <v>89158.2</v>
      </c>
      <c r="D13" s="181"/>
      <c r="E13" s="149"/>
      <c r="F13" s="183">
        <f t="shared" si="0"/>
        <v>534126.86</v>
      </c>
    </row>
    <row r="14" spans="1:7" ht="21" customHeight="1" x14ac:dyDescent="0.25">
      <c r="A14" s="181">
        <v>45055</v>
      </c>
      <c r="B14" s="182" t="s">
        <v>243</v>
      </c>
      <c r="C14" s="149">
        <v>1938</v>
      </c>
      <c r="D14" s="181"/>
      <c r="E14" s="149"/>
      <c r="F14" s="183">
        <f t="shared" si="0"/>
        <v>536064.86</v>
      </c>
    </row>
    <row r="15" spans="1:7" ht="21" customHeight="1" x14ac:dyDescent="0.25">
      <c r="A15" s="181">
        <v>45056</v>
      </c>
      <c r="B15" s="182" t="s">
        <v>244</v>
      </c>
      <c r="C15" s="149">
        <v>154181.06</v>
      </c>
      <c r="D15" s="181"/>
      <c r="E15" s="149"/>
      <c r="F15" s="183">
        <f t="shared" si="0"/>
        <v>690245.91999999993</v>
      </c>
    </row>
    <row r="16" spans="1:7" ht="21" customHeight="1" x14ac:dyDescent="0.25">
      <c r="A16" s="181">
        <v>45057</v>
      </c>
      <c r="B16" s="182" t="s">
        <v>245</v>
      </c>
      <c r="C16" s="149">
        <v>15564.8</v>
      </c>
      <c r="D16" s="181"/>
      <c r="E16" s="149"/>
      <c r="F16" s="183">
        <f t="shared" si="0"/>
        <v>705810.72</v>
      </c>
    </row>
    <row r="17" spans="1:10" ht="21" customHeight="1" x14ac:dyDescent="0.25">
      <c r="A17" s="181">
        <v>45057</v>
      </c>
      <c r="B17" s="182" t="s">
        <v>246</v>
      </c>
      <c r="C17" s="149">
        <v>39017.879999999997</v>
      </c>
      <c r="D17" s="181"/>
      <c r="E17" s="149"/>
      <c r="F17" s="183">
        <f t="shared" si="0"/>
        <v>744828.6</v>
      </c>
    </row>
    <row r="18" spans="1:10" ht="21" customHeight="1" x14ac:dyDescent="0.25">
      <c r="A18" s="181">
        <v>45057</v>
      </c>
      <c r="B18" s="182" t="s">
        <v>247</v>
      </c>
      <c r="C18" s="149">
        <v>13727.52</v>
      </c>
      <c r="D18" s="181"/>
      <c r="E18" s="149"/>
      <c r="F18" s="183">
        <f t="shared" si="0"/>
        <v>758556.12</v>
      </c>
    </row>
    <row r="19" spans="1:10" ht="21" customHeight="1" x14ac:dyDescent="0.25">
      <c r="A19" s="181">
        <v>45057</v>
      </c>
      <c r="B19" s="182" t="s">
        <v>248</v>
      </c>
      <c r="C19" s="149">
        <v>161854.88</v>
      </c>
      <c r="D19" s="181"/>
      <c r="E19" s="149"/>
      <c r="F19" s="183">
        <f t="shared" si="0"/>
        <v>920411</v>
      </c>
    </row>
    <row r="20" spans="1:10" ht="21" customHeight="1" x14ac:dyDescent="0.25">
      <c r="A20" s="181">
        <v>45059</v>
      </c>
      <c r="B20" s="182" t="s">
        <v>249</v>
      </c>
      <c r="C20" s="149">
        <v>69357.02</v>
      </c>
      <c r="D20" s="181"/>
      <c r="E20" s="149"/>
      <c r="F20" s="183">
        <f t="shared" si="0"/>
        <v>989768.02</v>
      </c>
    </row>
    <row r="21" spans="1:10" ht="24.75" customHeight="1" x14ac:dyDescent="0.25">
      <c r="A21" s="181">
        <v>45059</v>
      </c>
      <c r="B21" s="182" t="s">
        <v>250</v>
      </c>
      <c r="C21" s="149">
        <v>11116.8</v>
      </c>
      <c r="D21" s="181"/>
      <c r="E21" s="149"/>
      <c r="F21" s="183">
        <f t="shared" si="0"/>
        <v>1000884.8200000001</v>
      </c>
    </row>
    <row r="22" spans="1:10" ht="21" customHeight="1" x14ac:dyDescent="0.25">
      <c r="A22" s="181">
        <v>45059</v>
      </c>
      <c r="B22" s="182" t="s">
        <v>251</v>
      </c>
      <c r="C22" s="149">
        <v>46897.2</v>
      </c>
      <c r="D22" s="181"/>
      <c r="E22" s="149"/>
      <c r="F22" s="183">
        <f t="shared" si="0"/>
        <v>1047782.02</v>
      </c>
    </row>
    <row r="23" spans="1:10" ht="33" x14ac:dyDescent="0.3">
      <c r="A23" s="181">
        <v>45059</v>
      </c>
      <c r="B23" s="309" t="s">
        <v>252</v>
      </c>
      <c r="C23" s="228">
        <v>23556.1</v>
      </c>
      <c r="D23" s="181"/>
      <c r="E23" s="149"/>
      <c r="F23" s="183">
        <f t="shared" si="0"/>
        <v>1071338.1200000001</v>
      </c>
    </row>
    <row r="24" spans="1:10" ht="21" customHeight="1" x14ac:dyDescent="0.3">
      <c r="A24" s="181">
        <v>45061</v>
      </c>
      <c r="B24" s="182" t="s">
        <v>253</v>
      </c>
      <c r="C24" s="149">
        <v>53010.8</v>
      </c>
      <c r="D24" s="181"/>
      <c r="E24" s="149"/>
      <c r="F24" s="183">
        <f t="shared" si="0"/>
        <v>1124348.9200000002</v>
      </c>
      <c r="G24" s="184"/>
    </row>
    <row r="25" spans="1:10" ht="21" customHeight="1" x14ac:dyDescent="0.25">
      <c r="A25" s="181">
        <v>45061</v>
      </c>
      <c r="B25" s="182" t="s">
        <v>254</v>
      </c>
      <c r="C25" s="149">
        <v>63878.6</v>
      </c>
      <c r="D25" s="181"/>
      <c r="E25" s="149"/>
      <c r="F25" s="183">
        <f t="shared" si="0"/>
        <v>1188227.5200000003</v>
      </c>
    </row>
    <row r="26" spans="1:10" ht="21" customHeight="1" x14ac:dyDescent="0.25">
      <c r="A26" s="181">
        <v>45062</v>
      </c>
      <c r="B26" s="182" t="s">
        <v>255</v>
      </c>
      <c r="C26" s="149">
        <v>52068.58</v>
      </c>
      <c r="D26" s="181"/>
      <c r="E26" s="149"/>
      <c r="F26" s="183">
        <f t="shared" si="0"/>
        <v>1240296.1000000003</v>
      </c>
    </row>
    <row r="27" spans="1:10" ht="21" customHeight="1" x14ac:dyDescent="0.25">
      <c r="A27" s="181">
        <v>45063</v>
      </c>
      <c r="B27" s="182" t="s">
        <v>256</v>
      </c>
      <c r="C27" s="149">
        <v>43958.2</v>
      </c>
      <c r="D27" s="181"/>
      <c r="E27" s="149"/>
      <c r="F27" s="183">
        <f t="shared" si="0"/>
        <v>1284254.3000000003</v>
      </c>
    </row>
    <row r="28" spans="1:10" ht="21" customHeight="1" x14ac:dyDescent="0.25">
      <c r="A28" s="181">
        <v>45064</v>
      </c>
      <c r="B28" s="182" t="s">
        <v>257</v>
      </c>
      <c r="C28" s="149">
        <v>138935.70000000001</v>
      </c>
      <c r="D28" s="181"/>
      <c r="E28" s="149"/>
      <c r="F28" s="183">
        <f t="shared" si="0"/>
        <v>1423190.0000000002</v>
      </c>
    </row>
    <row r="29" spans="1:10" ht="21" customHeight="1" x14ac:dyDescent="0.25">
      <c r="A29" s="181">
        <v>45065</v>
      </c>
      <c r="B29" s="182" t="s">
        <v>258</v>
      </c>
      <c r="C29" s="149">
        <v>60468.800000000003</v>
      </c>
      <c r="D29" s="181"/>
      <c r="E29" s="149"/>
      <c r="F29" s="183">
        <f t="shared" si="0"/>
        <v>1483658.8000000003</v>
      </c>
      <c r="J29" s="149">
        <v>0</v>
      </c>
    </row>
    <row r="30" spans="1:10" ht="21" customHeight="1" x14ac:dyDescent="0.25">
      <c r="A30" s="181">
        <v>45065</v>
      </c>
      <c r="B30" s="182" t="s">
        <v>259</v>
      </c>
      <c r="C30" s="149">
        <v>99046.94</v>
      </c>
      <c r="D30" s="181"/>
      <c r="E30" s="149"/>
      <c r="F30" s="183">
        <f t="shared" si="0"/>
        <v>1582705.7400000002</v>
      </c>
      <c r="J30" s="149">
        <v>0</v>
      </c>
    </row>
    <row r="31" spans="1:10" ht="21" customHeight="1" x14ac:dyDescent="0.25">
      <c r="A31" s="181">
        <v>45066</v>
      </c>
      <c r="B31" s="182" t="s">
        <v>260</v>
      </c>
      <c r="C31" s="149">
        <v>56108.36</v>
      </c>
      <c r="D31" s="181"/>
      <c r="E31" s="149"/>
      <c r="F31" s="183">
        <f t="shared" si="0"/>
        <v>1638814.1000000003</v>
      </c>
      <c r="J31" s="149">
        <v>0</v>
      </c>
    </row>
    <row r="32" spans="1:10" ht="21" customHeight="1" x14ac:dyDescent="0.3">
      <c r="A32" s="181">
        <v>45066</v>
      </c>
      <c r="B32" s="182" t="s">
        <v>261</v>
      </c>
      <c r="C32" s="149">
        <v>107958.5</v>
      </c>
      <c r="D32" s="181"/>
      <c r="E32" s="149"/>
      <c r="F32" s="183">
        <f t="shared" si="0"/>
        <v>1746772.6000000003</v>
      </c>
      <c r="G32" s="184"/>
      <c r="J32" s="149">
        <v>0</v>
      </c>
    </row>
    <row r="33" spans="1:10" ht="21" customHeight="1" x14ac:dyDescent="0.25">
      <c r="A33" s="181">
        <v>45066</v>
      </c>
      <c r="B33" s="182" t="s">
        <v>262</v>
      </c>
      <c r="C33" s="149">
        <v>8315.2000000000007</v>
      </c>
      <c r="D33" s="181"/>
      <c r="E33" s="149"/>
      <c r="F33" s="183">
        <f t="shared" si="0"/>
        <v>1755087.8000000003</v>
      </c>
      <c r="J33" s="149">
        <v>0</v>
      </c>
    </row>
    <row r="34" spans="1:10" ht="21" customHeight="1" x14ac:dyDescent="0.25">
      <c r="A34" s="181">
        <v>45066</v>
      </c>
      <c r="B34" s="182" t="s">
        <v>263</v>
      </c>
      <c r="C34" s="149">
        <v>6609.6</v>
      </c>
      <c r="D34" s="181"/>
      <c r="E34" s="149"/>
      <c r="F34" s="183">
        <f t="shared" si="0"/>
        <v>1761697.4000000004</v>
      </c>
      <c r="J34" s="149">
        <v>0</v>
      </c>
    </row>
    <row r="35" spans="1:10" ht="23.25" customHeight="1" x14ac:dyDescent="0.25">
      <c r="A35" s="181">
        <v>45068</v>
      </c>
      <c r="B35" s="182" t="s">
        <v>264</v>
      </c>
      <c r="C35" s="149">
        <v>57648.99</v>
      </c>
      <c r="D35" s="181"/>
      <c r="E35" s="149"/>
      <c r="F35" s="183">
        <f t="shared" si="0"/>
        <v>1819346.3900000004</v>
      </c>
      <c r="J35" s="149">
        <v>0</v>
      </c>
    </row>
    <row r="36" spans="1:10" ht="23.25" customHeight="1" x14ac:dyDescent="0.25">
      <c r="A36" s="181">
        <v>45069</v>
      </c>
      <c r="B36" s="182" t="s">
        <v>265</v>
      </c>
      <c r="C36" s="149">
        <v>61833.43</v>
      </c>
      <c r="D36" s="181"/>
      <c r="E36" s="149"/>
      <c r="F36" s="183">
        <f t="shared" si="0"/>
        <v>1881179.8200000003</v>
      </c>
      <c r="J36" s="133">
        <v>0</v>
      </c>
    </row>
    <row r="37" spans="1:10" ht="23.25" customHeight="1" x14ac:dyDescent="0.25">
      <c r="A37" s="181">
        <v>45070</v>
      </c>
      <c r="B37" s="182" t="s">
        <v>277</v>
      </c>
      <c r="C37" s="149">
        <v>80529.399999999994</v>
      </c>
      <c r="D37" s="181"/>
      <c r="E37" s="149"/>
      <c r="F37" s="183">
        <f t="shared" si="0"/>
        <v>1961709.2200000002</v>
      </c>
      <c r="J37" s="187">
        <f>SUM(J29:J36)</f>
        <v>0</v>
      </c>
    </row>
    <row r="38" spans="1:10" ht="23.25" customHeight="1" x14ac:dyDescent="0.25">
      <c r="A38" s="181">
        <v>45070</v>
      </c>
      <c r="B38" s="182" t="s">
        <v>278</v>
      </c>
      <c r="C38" s="149">
        <v>42103.8</v>
      </c>
      <c r="D38" s="181"/>
      <c r="E38" s="149"/>
      <c r="F38" s="183">
        <f t="shared" si="0"/>
        <v>2003813.0200000003</v>
      </c>
    </row>
    <row r="39" spans="1:10" ht="23.25" customHeight="1" x14ac:dyDescent="0.25">
      <c r="A39" s="181">
        <v>45071</v>
      </c>
      <c r="B39" s="182" t="s">
        <v>279</v>
      </c>
      <c r="C39" s="149">
        <v>93750.64</v>
      </c>
      <c r="D39" s="181"/>
      <c r="E39" s="149"/>
      <c r="F39" s="183">
        <f t="shared" si="0"/>
        <v>2097563.66</v>
      </c>
    </row>
    <row r="40" spans="1:10" ht="23.25" customHeight="1" x14ac:dyDescent="0.25">
      <c r="A40" s="181">
        <v>45072</v>
      </c>
      <c r="B40" s="182" t="s">
        <v>281</v>
      </c>
      <c r="C40" s="149">
        <v>68130.36</v>
      </c>
      <c r="D40" s="181"/>
      <c r="E40" s="100"/>
      <c r="F40" s="183">
        <f t="shared" si="0"/>
        <v>2165694.02</v>
      </c>
    </row>
    <row r="41" spans="1:10" ht="23.25" customHeight="1" x14ac:dyDescent="0.25">
      <c r="A41" s="181">
        <v>45073</v>
      </c>
      <c r="B41" s="182" t="s">
        <v>282</v>
      </c>
      <c r="C41" s="149">
        <v>81290.36</v>
      </c>
      <c r="D41" s="181"/>
      <c r="E41" s="100"/>
      <c r="F41" s="183">
        <f t="shared" si="0"/>
        <v>2246984.38</v>
      </c>
    </row>
    <row r="42" spans="1:10" ht="23.25" customHeight="1" x14ac:dyDescent="0.25">
      <c r="A42" s="185">
        <v>45073</v>
      </c>
      <c r="B42" s="186" t="s">
        <v>283</v>
      </c>
      <c r="C42" s="149">
        <v>81272.33</v>
      </c>
      <c r="D42" s="185"/>
      <c r="E42" s="100"/>
      <c r="F42" s="183">
        <f t="shared" si="0"/>
        <v>2328256.71</v>
      </c>
    </row>
    <row r="43" spans="1:10" ht="23.25" customHeight="1" x14ac:dyDescent="0.25">
      <c r="A43" s="245">
        <v>45076</v>
      </c>
      <c r="B43" s="247" t="s">
        <v>284</v>
      </c>
      <c r="C43" s="149">
        <v>3381.4</v>
      </c>
      <c r="D43" s="192"/>
      <c r="E43" s="100"/>
      <c r="F43" s="183">
        <f t="shared" si="0"/>
        <v>2331638.11</v>
      </c>
    </row>
    <row r="44" spans="1:10" ht="23.25" customHeight="1" x14ac:dyDescent="0.25">
      <c r="A44" s="246">
        <v>45076</v>
      </c>
      <c r="B44" s="248" t="s">
        <v>285</v>
      </c>
      <c r="C44" s="149">
        <v>2936.2</v>
      </c>
      <c r="D44" s="192"/>
      <c r="E44" s="100"/>
      <c r="F44" s="183">
        <f t="shared" si="0"/>
        <v>2334574.31</v>
      </c>
    </row>
    <row r="45" spans="1:10" ht="23.25" customHeight="1" x14ac:dyDescent="0.25">
      <c r="A45" s="246">
        <v>45076</v>
      </c>
      <c r="B45" s="248" t="s">
        <v>286</v>
      </c>
      <c r="C45" s="149">
        <v>5871.2</v>
      </c>
      <c r="D45" s="192"/>
      <c r="E45" s="100"/>
      <c r="F45" s="183">
        <f t="shared" si="0"/>
        <v>2340445.5100000002</v>
      </c>
    </row>
    <row r="46" spans="1:10" ht="23.25" customHeight="1" x14ac:dyDescent="0.25">
      <c r="A46" s="246">
        <v>45076</v>
      </c>
      <c r="B46" s="248" t="s">
        <v>287</v>
      </c>
      <c r="C46" s="149">
        <v>102416.92</v>
      </c>
      <c r="D46" s="192"/>
      <c r="E46" s="100"/>
      <c r="F46" s="183">
        <f t="shared" si="0"/>
        <v>2442862.4300000002</v>
      </c>
    </row>
    <row r="47" spans="1:10" ht="23.25" customHeight="1" x14ac:dyDescent="0.25">
      <c r="A47" s="246">
        <v>45078</v>
      </c>
      <c r="B47" s="248" t="s">
        <v>288</v>
      </c>
      <c r="C47" s="149">
        <v>123067.92</v>
      </c>
      <c r="D47" s="192"/>
      <c r="E47" s="100"/>
      <c r="F47" s="183">
        <f t="shared" si="0"/>
        <v>2565930.35</v>
      </c>
    </row>
    <row r="48" spans="1:10" ht="23.25" customHeight="1" x14ac:dyDescent="0.25">
      <c r="A48" s="246">
        <v>45078</v>
      </c>
      <c r="B48" s="248" t="s">
        <v>289</v>
      </c>
      <c r="C48" s="149">
        <v>60041</v>
      </c>
      <c r="D48" s="192"/>
      <c r="E48" s="100"/>
      <c r="F48" s="183">
        <f t="shared" si="0"/>
        <v>2625971.35</v>
      </c>
    </row>
    <row r="49" spans="1:6" ht="23.25" customHeight="1" x14ac:dyDescent="0.25">
      <c r="A49" s="246">
        <v>45079</v>
      </c>
      <c r="B49" s="248" t="s">
        <v>280</v>
      </c>
      <c r="C49" s="149">
        <v>111551.03999999999</v>
      </c>
      <c r="D49" s="192"/>
      <c r="E49" s="100"/>
      <c r="F49" s="183">
        <f t="shared" si="0"/>
        <v>2737522.39</v>
      </c>
    </row>
    <row r="50" spans="1:6" ht="23.25" customHeight="1" x14ac:dyDescent="0.25">
      <c r="A50" s="246">
        <v>45080</v>
      </c>
      <c r="B50" s="248" t="s">
        <v>290</v>
      </c>
      <c r="C50" s="149">
        <v>123774.8</v>
      </c>
      <c r="D50" s="192"/>
      <c r="E50" s="100"/>
      <c r="F50" s="183">
        <f t="shared" si="0"/>
        <v>2861297.19</v>
      </c>
    </row>
    <row r="51" spans="1:6" ht="23.25" customHeight="1" x14ac:dyDescent="0.25">
      <c r="A51" s="246">
        <v>45080</v>
      </c>
      <c r="B51" s="248" t="s">
        <v>291</v>
      </c>
      <c r="C51" s="149">
        <v>82069.899999999994</v>
      </c>
      <c r="D51" s="192"/>
      <c r="E51" s="100"/>
      <c r="F51" s="183">
        <f t="shared" si="0"/>
        <v>2943367.09</v>
      </c>
    </row>
    <row r="52" spans="1:6" ht="23.25" customHeight="1" x14ac:dyDescent="0.25">
      <c r="A52" s="246">
        <v>45080</v>
      </c>
      <c r="B52" s="248" t="s">
        <v>292</v>
      </c>
      <c r="C52" s="149">
        <v>12435.2</v>
      </c>
      <c r="D52" s="192"/>
      <c r="E52" s="100"/>
      <c r="F52" s="183">
        <f t="shared" si="0"/>
        <v>2955802.29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2955802.29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2955802.29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2955802.29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2955802.29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2955802.29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2955802.29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2955802.29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2955802.29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2955802.29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2955802.29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2955802.29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2955802.29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2955802.29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2955802.29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2955802.29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2955802.29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2955802.29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2955802.29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2955802.29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2955802.29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2955802.29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2955802.29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2955802.29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2955802.29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2955802.29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2955802.29</v>
      </c>
    </row>
    <row r="79" spans="1:6" ht="39.75" customHeight="1" thickBot="1" x14ac:dyDescent="0.35">
      <c r="A79" s="201"/>
      <c r="B79" s="202"/>
      <c r="C79" s="317">
        <f>SUM(C3:C78)</f>
        <v>2955802.29</v>
      </c>
      <c r="D79" s="175"/>
      <c r="E79" s="204">
        <f>SUM(E3:E78)</f>
        <v>0</v>
      </c>
      <c r="F79" s="205">
        <f>F78</f>
        <v>2955802.29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25" right="0.25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FF"/>
  </sheetPr>
  <dimension ref="A1:U79"/>
  <sheetViews>
    <sheetView topLeftCell="E1" zoomScale="115" zoomScaleNormal="115" workbookViewId="0">
      <selection activeCell="P23" sqref="P23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64"/>
      <c r="C1" s="366" t="s">
        <v>380</v>
      </c>
      <c r="D1" s="367"/>
      <c r="E1" s="367"/>
      <c r="F1" s="367"/>
      <c r="G1" s="367"/>
      <c r="H1" s="367"/>
      <c r="I1" s="367"/>
      <c r="J1" s="367"/>
      <c r="K1" s="367"/>
      <c r="L1" s="367"/>
      <c r="M1" s="367"/>
    </row>
    <row r="2" spans="1:21" ht="16.5" thickBot="1" x14ac:dyDescent="0.3">
      <c r="B2" s="365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68" t="s">
        <v>0</v>
      </c>
      <c r="C3" s="369"/>
      <c r="D3" s="10"/>
      <c r="E3" s="11"/>
      <c r="F3" s="11"/>
      <c r="H3" s="370" t="s">
        <v>1</v>
      </c>
      <c r="I3" s="370"/>
      <c r="K3" s="13"/>
      <c r="L3" s="13"/>
      <c r="M3" s="6"/>
      <c r="R3" s="400" t="s">
        <v>2</v>
      </c>
    </row>
    <row r="4" spans="1:21" ht="20.25" thickTop="1" thickBot="1" x14ac:dyDescent="0.35">
      <c r="A4" s="14" t="s">
        <v>3</v>
      </c>
      <c r="B4" s="15"/>
      <c r="C4" s="16">
        <v>345633.69</v>
      </c>
      <c r="D4" s="307">
        <v>45081</v>
      </c>
      <c r="E4" s="349" t="s">
        <v>4</v>
      </c>
      <c r="F4" s="350"/>
      <c r="H4" s="351" t="s">
        <v>5</v>
      </c>
      <c r="I4" s="352"/>
      <c r="J4" s="255"/>
      <c r="K4" s="256"/>
      <c r="L4" s="16"/>
      <c r="M4" s="21" t="s">
        <v>6</v>
      </c>
      <c r="N4" s="22" t="s">
        <v>7</v>
      </c>
      <c r="P4" s="386" t="s">
        <v>8</v>
      </c>
      <c r="Q4" s="387"/>
      <c r="R4" s="401"/>
    </row>
    <row r="5" spans="1:21" ht="18" thickBot="1" x14ac:dyDescent="0.35">
      <c r="A5" s="23" t="s">
        <v>9</v>
      </c>
      <c r="B5" s="24">
        <v>45082</v>
      </c>
      <c r="C5" s="25">
        <v>1965</v>
      </c>
      <c r="D5" s="26" t="s">
        <v>211</v>
      </c>
      <c r="E5" s="27">
        <v>45082</v>
      </c>
      <c r="F5" s="28">
        <v>122017</v>
      </c>
      <c r="G5" s="29"/>
      <c r="H5" s="30">
        <v>45082</v>
      </c>
      <c r="I5" s="31">
        <v>135</v>
      </c>
      <c r="J5" s="251"/>
      <c r="K5" s="257"/>
      <c r="L5" s="13"/>
      <c r="M5" s="33">
        <f>73000+62801</f>
        <v>135801</v>
      </c>
      <c r="N5" s="34">
        <v>8009.28</v>
      </c>
      <c r="O5" s="35"/>
      <c r="P5" s="235">
        <f>N5+M5+L5+I5+C5</f>
        <v>145910.28</v>
      </c>
      <c r="Q5" s="236">
        <v>233.28</v>
      </c>
      <c r="R5" s="237">
        <v>23660</v>
      </c>
      <c r="S5" s="37"/>
    </row>
    <row r="6" spans="1:21" ht="18" thickBot="1" x14ac:dyDescent="0.35">
      <c r="A6" s="23"/>
      <c r="B6" s="24">
        <v>45083</v>
      </c>
      <c r="C6" s="25">
        <v>0</v>
      </c>
      <c r="D6" s="38"/>
      <c r="E6" s="27">
        <v>45083</v>
      </c>
      <c r="F6" s="28">
        <v>79057</v>
      </c>
      <c r="G6" s="29"/>
      <c r="H6" s="30">
        <v>45083</v>
      </c>
      <c r="I6" s="31">
        <v>0</v>
      </c>
      <c r="J6" s="258"/>
      <c r="K6" s="71"/>
      <c r="L6" s="259"/>
      <c r="M6" s="33">
        <f>20500+58034</f>
        <v>78534</v>
      </c>
      <c r="N6" s="34">
        <v>757</v>
      </c>
      <c r="O6" s="35"/>
      <c r="P6" s="235">
        <f>N6+M6+L6+I6+C6</f>
        <v>79291</v>
      </c>
      <c r="Q6" s="236">
        <v>23</v>
      </c>
      <c r="R6" s="237">
        <v>211</v>
      </c>
      <c r="S6" s="37"/>
      <c r="T6" s="9"/>
    </row>
    <row r="7" spans="1:21" ht="18" thickBot="1" x14ac:dyDescent="0.35">
      <c r="A7" s="23"/>
      <c r="B7" s="24">
        <v>45084</v>
      </c>
      <c r="C7" s="25">
        <v>0</v>
      </c>
      <c r="D7" s="42"/>
      <c r="E7" s="27">
        <v>45084</v>
      </c>
      <c r="F7" s="28">
        <v>70746</v>
      </c>
      <c r="G7" s="29"/>
      <c r="H7" s="30">
        <v>45084</v>
      </c>
      <c r="I7" s="31">
        <v>180</v>
      </c>
      <c r="J7" s="258"/>
      <c r="K7" s="102"/>
      <c r="L7" s="259"/>
      <c r="M7" s="33">
        <v>73359</v>
      </c>
      <c r="N7" s="34">
        <v>526</v>
      </c>
      <c r="O7" s="35"/>
      <c r="P7" s="235">
        <f>N7+M7+L7+I7+C7</f>
        <v>74065</v>
      </c>
      <c r="Q7" s="236">
        <v>16</v>
      </c>
      <c r="R7" s="237">
        <v>3303</v>
      </c>
      <c r="S7" s="37"/>
    </row>
    <row r="8" spans="1:21" ht="18" thickBot="1" x14ac:dyDescent="0.35">
      <c r="A8" s="23"/>
      <c r="B8" s="24">
        <v>45085</v>
      </c>
      <c r="C8" s="25">
        <v>0</v>
      </c>
      <c r="D8" s="42"/>
      <c r="E8" s="27">
        <v>45085</v>
      </c>
      <c r="F8" s="28">
        <v>122318</v>
      </c>
      <c r="G8" s="29"/>
      <c r="H8" s="30">
        <v>45085</v>
      </c>
      <c r="I8" s="31">
        <v>100</v>
      </c>
      <c r="J8" s="258"/>
      <c r="K8" s="260"/>
      <c r="L8" s="259"/>
      <c r="M8" s="33">
        <f>36400+85590</f>
        <v>121990</v>
      </c>
      <c r="N8" s="34">
        <v>235</v>
      </c>
      <c r="O8" s="35"/>
      <c r="P8" s="235">
        <f t="shared" ref="P8:P45" si="0">N8+M8+L8+I8+C8</f>
        <v>122325</v>
      </c>
      <c r="Q8" s="236">
        <f t="shared" ref="Q8:Q44" si="1">P8-F8</f>
        <v>7</v>
      </c>
      <c r="R8" s="238">
        <v>0</v>
      </c>
      <c r="S8" s="37"/>
    </row>
    <row r="9" spans="1:21" ht="18" thickBot="1" x14ac:dyDescent="0.35">
      <c r="A9" s="23"/>
      <c r="B9" s="24">
        <v>45086</v>
      </c>
      <c r="C9" s="25">
        <v>11989</v>
      </c>
      <c r="D9" s="46" t="s">
        <v>69</v>
      </c>
      <c r="E9" s="27">
        <v>45086</v>
      </c>
      <c r="F9" s="28">
        <v>102953</v>
      </c>
      <c r="G9" s="29"/>
      <c r="H9" s="30">
        <v>45086</v>
      </c>
      <c r="I9" s="31">
        <v>201</v>
      </c>
      <c r="J9" s="258"/>
      <c r="K9" s="261"/>
      <c r="L9" s="259"/>
      <c r="M9" s="33">
        <v>90763</v>
      </c>
      <c r="N9" s="34">
        <v>0</v>
      </c>
      <c r="O9" s="35"/>
      <c r="P9" s="235">
        <f t="shared" si="0"/>
        <v>102953</v>
      </c>
      <c r="Q9" s="236">
        <f t="shared" si="1"/>
        <v>0</v>
      </c>
      <c r="R9" s="238">
        <v>0</v>
      </c>
      <c r="S9" s="37"/>
    </row>
    <row r="10" spans="1:21" ht="18" thickBot="1" x14ac:dyDescent="0.35">
      <c r="A10" s="23"/>
      <c r="B10" s="24">
        <v>45087</v>
      </c>
      <c r="C10" s="25">
        <v>3480</v>
      </c>
      <c r="D10" s="38" t="s">
        <v>213</v>
      </c>
      <c r="E10" s="27">
        <v>45087</v>
      </c>
      <c r="F10" s="28">
        <v>109011</v>
      </c>
      <c r="G10" s="29"/>
      <c r="H10" s="30">
        <v>45087</v>
      </c>
      <c r="I10" s="31">
        <v>116</v>
      </c>
      <c r="J10" s="258">
        <v>45087</v>
      </c>
      <c r="K10" s="262" t="s">
        <v>366</v>
      </c>
      <c r="L10" s="263">
        <v>8700</v>
      </c>
      <c r="M10" s="33">
        <f>34600+53069</f>
        <v>87669</v>
      </c>
      <c r="N10" s="34">
        <v>9317</v>
      </c>
      <c r="O10" s="35"/>
      <c r="P10" s="235">
        <f>N10+M10+L10+I10+C10</f>
        <v>109282</v>
      </c>
      <c r="Q10" s="236">
        <f t="shared" si="1"/>
        <v>271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45088</v>
      </c>
      <c r="C11" s="25">
        <v>0</v>
      </c>
      <c r="D11" s="38"/>
      <c r="E11" s="27">
        <v>45088</v>
      </c>
      <c r="F11" s="28">
        <v>90289</v>
      </c>
      <c r="G11" s="29"/>
      <c r="H11" s="30">
        <v>45088</v>
      </c>
      <c r="I11" s="31">
        <v>0</v>
      </c>
      <c r="J11" s="258"/>
      <c r="K11" s="261"/>
      <c r="L11" s="259"/>
      <c r="M11" s="33">
        <f>65600+38070</f>
        <v>103670</v>
      </c>
      <c r="N11" s="34">
        <v>896</v>
      </c>
      <c r="O11" s="35"/>
      <c r="P11" s="235">
        <f>N11+M11+L11+I11+C11</f>
        <v>104566</v>
      </c>
      <c r="Q11" s="236">
        <v>27</v>
      </c>
      <c r="R11" s="237">
        <v>14250</v>
      </c>
      <c r="S11" s="37"/>
    </row>
    <row r="12" spans="1:21" ht="18" thickBot="1" x14ac:dyDescent="0.35">
      <c r="A12" s="23"/>
      <c r="B12" s="24">
        <v>45089</v>
      </c>
      <c r="C12" s="25">
        <v>0</v>
      </c>
      <c r="D12" s="38"/>
      <c r="E12" s="27">
        <v>45089</v>
      </c>
      <c r="F12" s="28">
        <v>158875</v>
      </c>
      <c r="G12" s="29"/>
      <c r="H12" s="30">
        <v>45089</v>
      </c>
      <c r="I12" s="31">
        <v>130</v>
      </c>
      <c r="J12" s="258"/>
      <c r="K12" s="264"/>
      <c r="L12" s="259"/>
      <c r="M12" s="33">
        <f>46000+14200+98545</f>
        <v>158745</v>
      </c>
      <c r="N12" s="34">
        <v>0</v>
      </c>
      <c r="O12" s="35"/>
      <c r="P12" s="235">
        <f t="shared" si="0"/>
        <v>158875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45090</v>
      </c>
      <c r="C13" s="25">
        <v>0</v>
      </c>
      <c r="D13" s="42"/>
      <c r="E13" s="27">
        <v>45090</v>
      </c>
      <c r="F13" s="28">
        <v>90002</v>
      </c>
      <c r="G13" s="29"/>
      <c r="H13" s="30">
        <v>45090</v>
      </c>
      <c r="I13" s="31">
        <v>5</v>
      </c>
      <c r="J13" s="258"/>
      <c r="K13" s="71"/>
      <c r="L13" s="259"/>
      <c r="M13" s="33">
        <f>56576+33200</f>
        <v>89776</v>
      </c>
      <c r="N13" s="34">
        <v>227</v>
      </c>
      <c r="O13" s="35"/>
      <c r="P13" s="235">
        <f t="shared" si="0"/>
        <v>90008</v>
      </c>
      <c r="Q13" s="236">
        <f t="shared" si="1"/>
        <v>6</v>
      </c>
      <c r="R13" s="238">
        <v>0</v>
      </c>
      <c r="S13" s="37"/>
    </row>
    <row r="14" spans="1:21" ht="18" thickBot="1" x14ac:dyDescent="0.35">
      <c r="A14" s="23"/>
      <c r="B14" s="24">
        <v>45091</v>
      </c>
      <c r="C14" s="25">
        <v>0</v>
      </c>
      <c r="D14" s="46"/>
      <c r="E14" s="27">
        <v>45091</v>
      </c>
      <c r="F14" s="28">
        <v>101786</v>
      </c>
      <c r="G14" s="29"/>
      <c r="H14" s="30">
        <v>45091</v>
      </c>
      <c r="I14" s="31">
        <v>214</v>
      </c>
      <c r="J14" s="258"/>
      <c r="K14" s="260"/>
      <c r="L14" s="259"/>
      <c r="M14" s="33">
        <f>16000+85572</f>
        <v>101572</v>
      </c>
      <c r="N14" s="34">
        <v>0</v>
      </c>
      <c r="O14" s="35"/>
      <c r="P14" s="235">
        <f t="shared" si="0"/>
        <v>101786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45092</v>
      </c>
      <c r="C15" s="25">
        <v>0</v>
      </c>
      <c r="D15" s="46"/>
      <c r="E15" s="27">
        <v>45092</v>
      </c>
      <c r="F15" s="28">
        <v>127207</v>
      </c>
      <c r="G15" s="29"/>
      <c r="H15" s="30">
        <v>45092</v>
      </c>
      <c r="I15" s="31">
        <v>118</v>
      </c>
      <c r="J15" s="258"/>
      <c r="K15" s="260"/>
      <c r="L15" s="259"/>
      <c r="M15" s="33">
        <f>94589+200+32300</f>
        <v>127089</v>
      </c>
      <c r="N15" s="34">
        <v>0</v>
      </c>
      <c r="O15" s="314"/>
      <c r="P15" s="235">
        <f t="shared" si="0"/>
        <v>127207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45093</v>
      </c>
      <c r="C16" s="25">
        <v>8396</v>
      </c>
      <c r="D16" s="52" t="s">
        <v>69</v>
      </c>
      <c r="E16" s="27">
        <v>45093</v>
      </c>
      <c r="F16" s="28">
        <v>176461</v>
      </c>
      <c r="G16" s="29"/>
      <c r="H16" s="30">
        <v>45093</v>
      </c>
      <c r="I16" s="31">
        <v>53</v>
      </c>
      <c r="J16" s="258"/>
      <c r="K16" s="260"/>
      <c r="L16" s="13"/>
      <c r="M16" s="33">
        <f>42400+123810</f>
        <v>166210</v>
      </c>
      <c r="N16" s="34">
        <v>1857</v>
      </c>
      <c r="O16" s="35"/>
      <c r="P16" s="235">
        <f t="shared" si="0"/>
        <v>176516</v>
      </c>
      <c r="Q16" s="236">
        <f t="shared" si="1"/>
        <v>55</v>
      </c>
      <c r="R16" s="238">
        <v>0</v>
      </c>
      <c r="S16" s="37"/>
    </row>
    <row r="17" spans="1:20" ht="18" thickBot="1" x14ac:dyDescent="0.35">
      <c r="A17" s="23"/>
      <c r="B17" s="24">
        <v>45094</v>
      </c>
      <c r="C17" s="25">
        <v>3900</v>
      </c>
      <c r="D17" s="46" t="s">
        <v>213</v>
      </c>
      <c r="E17" s="27">
        <v>45094</v>
      </c>
      <c r="F17" s="28">
        <v>119489</v>
      </c>
      <c r="G17" s="29"/>
      <c r="H17" s="30">
        <v>45094</v>
      </c>
      <c r="I17" s="31">
        <v>140</v>
      </c>
      <c r="J17" s="258">
        <v>45094</v>
      </c>
      <c r="K17" s="326" t="s">
        <v>367</v>
      </c>
      <c r="L17" s="263">
        <v>9950</v>
      </c>
      <c r="M17" s="33">
        <f>12200+92087</f>
        <v>104287</v>
      </c>
      <c r="N17" s="34">
        <v>1249</v>
      </c>
      <c r="O17" s="35"/>
      <c r="P17" s="235">
        <f t="shared" si="0"/>
        <v>119526</v>
      </c>
      <c r="Q17" s="236">
        <f t="shared" si="1"/>
        <v>37</v>
      </c>
      <c r="R17" s="238">
        <v>0</v>
      </c>
      <c r="S17" s="37"/>
    </row>
    <row r="18" spans="1:20" ht="18" thickBot="1" x14ac:dyDescent="0.35">
      <c r="A18" s="23"/>
      <c r="B18" s="24">
        <v>45095</v>
      </c>
      <c r="C18" s="25">
        <v>0</v>
      </c>
      <c r="D18" s="38"/>
      <c r="E18" s="27">
        <v>45095</v>
      </c>
      <c r="F18" s="28">
        <v>83403</v>
      </c>
      <c r="G18" s="29"/>
      <c r="H18" s="30">
        <v>45095</v>
      </c>
      <c r="I18" s="31">
        <v>50</v>
      </c>
      <c r="J18" s="258"/>
      <c r="K18" s="265"/>
      <c r="L18" s="259"/>
      <c r="M18" s="33">
        <f>67100+16253</f>
        <v>83353</v>
      </c>
      <c r="N18" s="34">
        <v>0</v>
      </c>
      <c r="O18" s="35"/>
      <c r="P18" s="235">
        <f t="shared" si="0"/>
        <v>83403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45096</v>
      </c>
      <c r="C19" s="25">
        <v>0</v>
      </c>
      <c r="D19" s="38"/>
      <c r="E19" s="27">
        <v>45096</v>
      </c>
      <c r="F19" s="28">
        <v>121449</v>
      </c>
      <c r="G19" s="29"/>
      <c r="H19" s="30">
        <v>45096</v>
      </c>
      <c r="I19" s="31">
        <v>929</v>
      </c>
      <c r="J19" s="258"/>
      <c r="K19" s="266"/>
      <c r="L19" s="267"/>
      <c r="M19" s="33">
        <f>79520+41000</f>
        <v>120520</v>
      </c>
      <c r="N19" s="34">
        <v>0</v>
      </c>
      <c r="O19" s="35"/>
      <c r="P19" s="235">
        <f t="shared" si="0"/>
        <v>121449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45097</v>
      </c>
      <c r="C20" s="25">
        <v>0</v>
      </c>
      <c r="D20" s="38"/>
      <c r="E20" s="27">
        <v>45097</v>
      </c>
      <c r="F20" s="28">
        <v>146120</v>
      </c>
      <c r="G20" s="29"/>
      <c r="H20" s="30">
        <v>45097</v>
      </c>
      <c r="I20" s="31">
        <v>80</v>
      </c>
      <c r="J20" s="258"/>
      <c r="K20" s="262"/>
      <c r="L20" s="263"/>
      <c r="M20" s="33">
        <f>5000+141040</f>
        <v>146040</v>
      </c>
      <c r="N20" s="34">
        <v>0</v>
      </c>
      <c r="O20" s="35"/>
      <c r="P20" s="235">
        <f t="shared" si="0"/>
        <v>146120</v>
      </c>
      <c r="Q20" s="236" t="s">
        <v>9</v>
      </c>
      <c r="R20" s="238">
        <v>0</v>
      </c>
      <c r="S20" s="37"/>
    </row>
    <row r="21" spans="1:20" ht="18" thickBot="1" x14ac:dyDescent="0.35">
      <c r="A21" s="23"/>
      <c r="B21" s="24">
        <v>45098</v>
      </c>
      <c r="C21" s="25">
        <v>0</v>
      </c>
      <c r="D21" s="38"/>
      <c r="E21" s="27">
        <v>45098</v>
      </c>
      <c r="F21" s="28">
        <v>34428</v>
      </c>
      <c r="G21" s="29"/>
      <c r="H21" s="30">
        <v>45098</v>
      </c>
      <c r="I21" s="31">
        <v>200</v>
      </c>
      <c r="J21" s="258"/>
      <c r="K21" s="268"/>
      <c r="L21" s="263"/>
      <c r="M21" s="33">
        <f>7000+27228</f>
        <v>34228</v>
      </c>
      <c r="N21" s="34">
        <v>0</v>
      </c>
      <c r="O21" s="35"/>
      <c r="P21" s="235">
        <f t="shared" si="0"/>
        <v>34428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45099</v>
      </c>
      <c r="C22" s="25">
        <v>12689</v>
      </c>
      <c r="D22" s="46" t="s">
        <v>69</v>
      </c>
      <c r="E22" s="27">
        <v>45099</v>
      </c>
      <c r="F22" s="28">
        <v>204772</v>
      </c>
      <c r="G22" s="29"/>
      <c r="H22" s="30">
        <v>45099</v>
      </c>
      <c r="I22" s="31">
        <v>31</v>
      </c>
      <c r="J22" s="258"/>
      <c r="K22" s="302"/>
      <c r="L22" s="269"/>
      <c r="M22" s="33">
        <f>90000+102052</f>
        <v>192052</v>
      </c>
      <c r="N22" s="34">
        <v>0</v>
      </c>
      <c r="O22" s="315"/>
      <c r="P22" s="235">
        <f t="shared" si="0"/>
        <v>204772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45100</v>
      </c>
      <c r="C23" s="25">
        <v>9833</v>
      </c>
      <c r="D23" s="46"/>
      <c r="E23" s="27">
        <v>45100</v>
      </c>
      <c r="F23" s="28">
        <v>184445</v>
      </c>
      <c r="G23" s="29"/>
      <c r="H23" s="30">
        <v>45100</v>
      </c>
      <c r="I23" s="31">
        <v>204</v>
      </c>
      <c r="J23" s="270"/>
      <c r="K23" s="271"/>
      <c r="L23" s="263"/>
      <c r="M23" s="33">
        <f>15500+158659</f>
        <v>174159</v>
      </c>
      <c r="N23" s="34">
        <v>256.47000000000003</v>
      </c>
      <c r="O23" s="35"/>
      <c r="P23" s="235">
        <f t="shared" si="0"/>
        <v>184452.47</v>
      </c>
      <c r="Q23" s="236">
        <f t="shared" si="1"/>
        <v>7.4700000000011642</v>
      </c>
      <c r="R23" s="238">
        <v>0</v>
      </c>
      <c r="S23" s="37"/>
    </row>
    <row r="24" spans="1:20" ht="18" thickBot="1" x14ac:dyDescent="0.35">
      <c r="A24" s="23"/>
      <c r="B24" s="24">
        <v>45101</v>
      </c>
      <c r="C24" s="25">
        <v>5616</v>
      </c>
      <c r="D24" s="42" t="s">
        <v>368</v>
      </c>
      <c r="E24" s="27">
        <v>45101</v>
      </c>
      <c r="F24" s="28">
        <v>114135</v>
      </c>
      <c r="G24" s="29"/>
      <c r="H24" s="30">
        <v>45101</v>
      </c>
      <c r="I24" s="31">
        <v>38</v>
      </c>
      <c r="J24" s="272">
        <v>45101</v>
      </c>
      <c r="K24" s="271" t="s">
        <v>369</v>
      </c>
      <c r="L24" s="273">
        <v>8017</v>
      </c>
      <c r="M24" s="33">
        <f>26000+73808</f>
        <v>99808</v>
      </c>
      <c r="N24" s="34">
        <v>675.88</v>
      </c>
      <c r="O24" s="35"/>
      <c r="P24" s="235">
        <f t="shared" si="0"/>
        <v>114154.88</v>
      </c>
      <c r="Q24" s="236">
        <f t="shared" si="1"/>
        <v>19.880000000004657</v>
      </c>
      <c r="R24" s="238">
        <v>0</v>
      </c>
      <c r="S24" s="37"/>
    </row>
    <row r="25" spans="1:20" ht="18" thickBot="1" x14ac:dyDescent="0.35">
      <c r="A25" s="23"/>
      <c r="B25" s="24">
        <v>45102</v>
      </c>
      <c r="C25" s="25">
        <v>0</v>
      </c>
      <c r="D25" s="38"/>
      <c r="E25" s="27">
        <v>45102</v>
      </c>
      <c r="F25" s="28">
        <v>122912</v>
      </c>
      <c r="G25" s="29"/>
      <c r="H25" s="30">
        <v>45102</v>
      </c>
      <c r="I25" s="31">
        <v>5</v>
      </c>
      <c r="J25" s="274"/>
      <c r="K25" s="275"/>
      <c r="L25" s="276"/>
      <c r="M25" s="33">
        <f>101000+19010+500</f>
        <v>120510</v>
      </c>
      <c r="N25" s="34">
        <v>2468.91</v>
      </c>
      <c r="O25" s="35"/>
      <c r="P25" s="235">
        <f t="shared" si="0"/>
        <v>122983.91</v>
      </c>
      <c r="Q25" s="236">
        <f t="shared" si="1"/>
        <v>71.910000000003492</v>
      </c>
      <c r="R25" s="238">
        <v>0</v>
      </c>
      <c r="S25" s="37"/>
    </row>
    <row r="26" spans="1:20" ht="18" thickBot="1" x14ac:dyDescent="0.35">
      <c r="A26" s="23"/>
      <c r="B26" s="24">
        <v>45103</v>
      </c>
      <c r="C26" s="25">
        <v>0</v>
      </c>
      <c r="D26" s="38"/>
      <c r="E26" s="27">
        <v>45103</v>
      </c>
      <c r="F26" s="28">
        <v>156919</v>
      </c>
      <c r="G26" s="29"/>
      <c r="H26" s="30">
        <v>45103</v>
      </c>
      <c r="I26" s="31">
        <v>199</v>
      </c>
      <c r="J26" s="258"/>
      <c r="K26" s="271"/>
      <c r="L26" s="263"/>
      <c r="M26" s="33">
        <f>23000+133406</f>
        <v>156406</v>
      </c>
      <c r="N26" s="34">
        <v>323.42</v>
      </c>
      <c r="O26" s="35"/>
      <c r="P26" s="235">
        <f t="shared" si="0"/>
        <v>156928.42000000001</v>
      </c>
      <c r="Q26" s="236">
        <f t="shared" si="1"/>
        <v>9.4200000000128057</v>
      </c>
      <c r="R26" s="238">
        <v>0</v>
      </c>
      <c r="S26" s="37"/>
    </row>
    <row r="27" spans="1:20" ht="18" thickBot="1" x14ac:dyDescent="0.35">
      <c r="A27" s="23"/>
      <c r="B27" s="24">
        <v>45104</v>
      </c>
      <c r="C27" s="25">
        <v>16</v>
      </c>
      <c r="D27" s="42"/>
      <c r="E27" s="27">
        <v>45104</v>
      </c>
      <c r="F27" s="28">
        <v>86884</v>
      </c>
      <c r="G27" s="29"/>
      <c r="H27" s="30">
        <v>45104</v>
      </c>
      <c r="I27" s="31">
        <v>144</v>
      </c>
      <c r="J27" s="277"/>
      <c r="K27" s="275"/>
      <c r="L27" s="276"/>
      <c r="M27" s="33">
        <f>54724+32000</f>
        <v>86724</v>
      </c>
      <c r="N27" s="34">
        <v>0</v>
      </c>
      <c r="O27" s="35"/>
      <c r="P27" s="235">
        <f t="shared" si="0"/>
        <v>86884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45105</v>
      </c>
      <c r="C28" s="25">
        <v>0</v>
      </c>
      <c r="D28" s="42"/>
      <c r="E28" s="27">
        <v>45105</v>
      </c>
      <c r="F28" s="28">
        <v>115082</v>
      </c>
      <c r="G28" s="29"/>
      <c r="H28" s="30">
        <v>45105</v>
      </c>
      <c r="I28" s="31">
        <v>152</v>
      </c>
      <c r="J28" s="278"/>
      <c r="K28" s="71"/>
      <c r="L28" s="276"/>
      <c r="M28" s="33">
        <f>67303+47000</f>
        <v>114303</v>
      </c>
      <c r="N28" s="34">
        <v>645.80999999999995</v>
      </c>
      <c r="O28" s="35"/>
      <c r="P28" s="235">
        <f t="shared" si="0"/>
        <v>115100.81</v>
      </c>
      <c r="Q28" s="236">
        <f t="shared" si="1"/>
        <v>18.809999999997672</v>
      </c>
      <c r="R28" s="238">
        <v>0</v>
      </c>
      <c r="S28" s="37"/>
    </row>
    <row r="29" spans="1:20" ht="18" thickBot="1" x14ac:dyDescent="0.35">
      <c r="A29" s="23"/>
      <c r="B29" s="24">
        <v>45106</v>
      </c>
      <c r="C29" s="25">
        <v>0</v>
      </c>
      <c r="D29" s="72"/>
      <c r="E29" s="27">
        <v>45106</v>
      </c>
      <c r="F29" s="28">
        <v>98065</v>
      </c>
      <c r="G29" s="29"/>
      <c r="H29" s="30">
        <v>45106</v>
      </c>
      <c r="I29" s="31">
        <v>130</v>
      </c>
      <c r="J29" s="277"/>
      <c r="K29" s="279"/>
      <c r="L29" s="276"/>
      <c r="M29" s="33">
        <f>68310+29000</f>
        <v>97310</v>
      </c>
      <c r="N29" s="34">
        <v>643.75</v>
      </c>
      <c r="O29" s="35"/>
      <c r="P29" s="235">
        <f t="shared" si="0"/>
        <v>98083.75</v>
      </c>
      <c r="Q29" s="236">
        <f t="shared" si="1"/>
        <v>18.75</v>
      </c>
      <c r="R29" s="238">
        <v>0</v>
      </c>
      <c r="S29" s="37"/>
      <c r="T29" s="9"/>
    </row>
    <row r="30" spans="1:20" ht="18" thickBot="1" x14ac:dyDescent="0.35">
      <c r="A30" s="23"/>
      <c r="B30" s="24">
        <v>45107</v>
      </c>
      <c r="C30" s="25">
        <v>9696</v>
      </c>
      <c r="D30" s="72" t="s">
        <v>69</v>
      </c>
      <c r="E30" s="27">
        <v>45107</v>
      </c>
      <c r="F30" s="28">
        <v>120962</v>
      </c>
      <c r="G30" s="29"/>
      <c r="H30" s="30">
        <v>45107</v>
      </c>
      <c r="I30" s="31">
        <v>103</v>
      </c>
      <c r="J30" s="86"/>
      <c r="K30" s="280"/>
      <c r="L30" s="281"/>
      <c r="M30" s="33">
        <f>98289+12000</f>
        <v>110289</v>
      </c>
      <c r="N30" s="34">
        <v>900.22</v>
      </c>
      <c r="O30" s="35"/>
      <c r="P30" s="235">
        <f t="shared" si="0"/>
        <v>120988.22</v>
      </c>
      <c r="Q30" s="236">
        <f t="shared" si="1"/>
        <v>26.220000000001164</v>
      </c>
      <c r="R30" s="238">
        <v>0</v>
      </c>
      <c r="S30" s="37"/>
    </row>
    <row r="31" spans="1:20" ht="18" thickBot="1" x14ac:dyDescent="0.35">
      <c r="A31" s="23"/>
      <c r="B31" s="24">
        <v>45108</v>
      </c>
      <c r="C31" s="25">
        <v>3000</v>
      </c>
      <c r="D31" s="77" t="s">
        <v>67</v>
      </c>
      <c r="E31" s="27">
        <v>45108</v>
      </c>
      <c r="F31" s="28">
        <v>141525</v>
      </c>
      <c r="G31" s="29"/>
      <c r="H31" s="30">
        <v>45108</v>
      </c>
      <c r="I31" s="31">
        <v>148</v>
      </c>
      <c r="J31" s="278">
        <v>45108</v>
      </c>
      <c r="K31" s="275" t="s">
        <v>370</v>
      </c>
      <c r="L31" s="276">
        <v>8233</v>
      </c>
      <c r="M31" s="33">
        <f>24500+103972</f>
        <v>128472</v>
      </c>
      <c r="N31" s="34">
        <v>1722.16</v>
      </c>
      <c r="O31" s="35"/>
      <c r="P31" s="235">
        <f t="shared" si="0"/>
        <v>141575.16</v>
      </c>
      <c r="Q31" s="236">
        <f t="shared" si="1"/>
        <v>50.160000000003492</v>
      </c>
      <c r="R31" s="238">
        <v>0</v>
      </c>
      <c r="S31" s="37"/>
    </row>
    <row r="32" spans="1:20" ht="18" thickBot="1" x14ac:dyDescent="0.35">
      <c r="A32" s="23"/>
      <c r="B32" s="24">
        <v>45109</v>
      </c>
      <c r="C32" s="25">
        <v>0</v>
      </c>
      <c r="D32" s="82"/>
      <c r="E32" s="27">
        <v>45109</v>
      </c>
      <c r="F32" s="28">
        <v>68123</v>
      </c>
      <c r="G32" s="29"/>
      <c r="H32" s="30">
        <v>45109</v>
      </c>
      <c r="I32" s="31">
        <v>0</v>
      </c>
      <c r="J32" s="86"/>
      <c r="K32" s="280"/>
      <c r="L32" s="281"/>
      <c r="M32" s="33">
        <f>56000+11112</f>
        <v>67112</v>
      </c>
      <c r="N32" s="34">
        <v>1041.33</v>
      </c>
      <c r="O32" s="35"/>
      <c r="P32" s="235">
        <f t="shared" si="0"/>
        <v>68153.33</v>
      </c>
      <c r="Q32" s="236">
        <f t="shared" si="1"/>
        <v>30.330000000001746</v>
      </c>
      <c r="R32" s="238">
        <v>0</v>
      </c>
      <c r="S32" s="37"/>
    </row>
    <row r="33" spans="1:19" ht="18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86"/>
      <c r="K33" s="282"/>
      <c r="L33" s="216"/>
      <c r="M33" s="33">
        <v>0</v>
      </c>
      <c r="N33" s="34">
        <v>0</v>
      </c>
      <c r="O33" s="35"/>
      <c r="P33" s="235">
        <f t="shared" si="0"/>
        <v>0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86"/>
      <c r="K34" s="83"/>
      <c r="L34" s="284"/>
      <c r="M34" s="33">
        <v>0</v>
      </c>
      <c r="N34" s="34">
        <v>0</v>
      </c>
      <c r="O34" s="35"/>
      <c r="P34" s="235">
        <f t="shared" si="0"/>
        <v>0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/>
      <c r="G35" s="29"/>
      <c r="H35" s="30"/>
      <c r="I35" s="31"/>
      <c r="J35" s="86">
        <v>45083</v>
      </c>
      <c r="K35" s="282" t="s">
        <v>371</v>
      </c>
      <c r="L35" s="216">
        <v>365.4</v>
      </c>
      <c r="M35" s="33">
        <v>0</v>
      </c>
      <c r="N35" s="34">
        <v>0</v>
      </c>
      <c r="O35" s="35"/>
      <c r="P35" s="235">
        <f t="shared" si="0"/>
        <v>365.4</v>
      </c>
      <c r="Q35" s="236">
        <v>0</v>
      </c>
      <c r="R35" s="238">
        <v>0</v>
      </c>
      <c r="S35" s="37"/>
    </row>
    <row r="36" spans="1:19" ht="18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>
        <v>45084</v>
      </c>
      <c r="K36" s="285" t="s">
        <v>372</v>
      </c>
      <c r="L36" s="216">
        <v>1225.1199999999999</v>
      </c>
      <c r="M36" s="33">
        <v>0</v>
      </c>
      <c r="N36" s="34">
        <v>0</v>
      </c>
      <c r="O36" s="35"/>
      <c r="P36" s="235">
        <f t="shared" si="0"/>
        <v>1225.1199999999999</v>
      </c>
      <c r="Q36" s="236"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86">
        <v>45084</v>
      </c>
      <c r="K37" s="330" t="s">
        <v>378</v>
      </c>
      <c r="L37" s="216">
        <v>6902.3</v>
      </c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45086</v>
      </c>
      <c r="K38" s="282" t="s">
        <v>373</v>
      </c>
      <c r="L38" s="216">
        <v>14500</v>
      </c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>
        <v>45091</v>
      </c>
      <c r="K39" s="319" t="s">
        <v>379</v>
      </c>
      <c r="L39" s="281">
        <v>522</v>
      </c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>
        <v>45093</v>
      </c>
      <c r="K40" s="231" t="s">
        <v>374</v>
      </c>
      <c r="L40" s="281">
        <v>664</v>
      </c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45097</v>
      </c>
      <c r="K41" s="305" t="s">
        <v>375</v>
      </c>
      <c r="L41" s="281">
        <v>1392</v>
      </c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45105</v>
      </c>
      <c r="K42" s="231" t="s">
        <v>376</v>
      </c>
      <c r="L42" s="281">
        <v>1031.47</v>
      </c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45107</v>
      </c>
      <c r="K43" s="89" t="s">
        <v>377</v>
      </c>
      <c r="L43" s="281">
        <v>786.07</v>
      </c>
      <c r="M43" s="33">
        <v>0</v>
      </c>
      <c r="N43" s="34">
        <v>0</v>
      </c>
      <c r="O43" s="35"/>
      <c r="P43" s="240">
        <v>0</v>
      </c>
      <c r="Q43" s="236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327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89"/>
      <c r="L45" s="281"/>
      <c r="M45" s="371">
        <f>SUM(M5:M39)</f>
        <v>3170751</v>
      </c>
      <c r="N45" s="356">
        <f>SUM(N5:N39)</f>
        <v>31751.230000000003</v>
      </c>
      <c r="P45" s="98">
        <f t="shared" si="0"/>
        <v>3202502.23</v>
      </c>
      <c r="Q45" s="328">
        <f>SUM(Q21:Q44)</f>
        <v>252.95000000002619</v>
      </c>
      <c r="R45" s="329">
        <f>SUM(R5:R39)</f>
        <v>41424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72"/>
      <c r="N46" s="357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70580</v>
      </c>
      <c r="D49" s="123"/>
      <c r="E49" s="124" t="s">
        <v>10</v>
      </c>
      <c r="F49" s="125">
        <f>SUM(F5:F48)</f>
        <v>3269435</v>
      </c>
      <c r="G49" s="123"/>
      <c r="H49" s="126" t="s">
        <v>11</v>
      </c>
      <c r="I49" s="127">
        <f>SUM(I5:I48)</f>
        <v>3805</v>
      </c>
      <c r="J49" s="290"/>
      <c r="K49" s="291" t="s">
        <v>12</v>
      </c>
      <c r="L49" s="292">
        <f>SUM(L5:L48)</f>
        <v>62288.360000000008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58" t="s">
        <v>13</v>
      </c>
      <c r="I51" s="359"/>
      <c r="J51" s="135"/>
      <c r="K51" s="360">
        <f>I49+L49</f>
        <v>66093.360000000015</v>
      </c>
      <c r="L51" s="361"/>
      <c r="M51" s="362">
        <f>N45+M45</f>
        <v>3202502.23</v>
      </c>
      <c r="N51" s="363"/>
      <c r="P51" s="36"/>
      <c r="Q51" s="9"/>
    </row>
    <row r="52" spans="1:17" x14ac:dyDescent="0.25">
      <c r="D52" s="355" t="s">
        <v>14</v>
      </c>
      <c r="E52" s="355"/>
      <c r="F52" s="136">
        <f>F49-K51-C49</f>
        <v>3132761.64</v>
      </c>
      <c r="I52" s="137"/>
      <c r="J52" s="138"/>
      <c r="P52" s="36"/>
      <c r="Q52" s="9"/>
    </row>
    <row r="53" spans="1:17" x14ac:dyDescent="0.25">
      <c r="D53" s="373" t="s">
        <v>15</v>
      </c>
      <c r="E53" s="373"/>
      <c r="F53" s="131">
        <v>-3128572.23</v>
      </c>
      <c r="I53" s="374" t="s">
        <v>16</v>
      </c>
      <c r="J53" s="375"/>
      <c r="K53" s="388">
        <f>F55+F56+F57</f>
        <v>417897.52000000014</v>
      </c>
      <c r="L53" s="389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4189.410000000149</v>
      </c>
      <c r="H55" s="23"/>
      <c r="I55" s="146" t="s">
        <v>18</v>
      </c>
      <c r="J55" s="147"/>
      <c r="K55" s="390">
        <f>-C4</f>
        <v>-345633.69</v>
      </c>
      <c r="L55" s="391"/>
    </row>
    <row r="56" spans="1:17" ht="16.5" thickBot="1" x14ac:dyDescent="0.3">
      <c r="D56" s="148" t="s">
        <v>19</v>
      </c>
      <c r="E56" s="133" t="s">
        <v>20</v>
      </c>
      <c r="F56" s="149">
        <v>54600</v>
      </c>
    </row>
    <row r="57" spans="1:17" ht="20.25" thickTop="1" thickBot="1" x14ac:dyDescent="0.35">
      <c r="C57" s="150">
        <v>45109</v>
      </c>
      <c r="D57" s="380" t="s">
        <v>21</v>
      </c>
      <c r="E57" s="381"/>
      <c r="F57" s="316">
        <v>359108.11</v>
      </c>
      <c r="I57" s="397" t="s">
        <v>22</v>
      </c>
      <c r="J57" s="398"/>
      <c r="K57" s="399">
        <f>K53+K55</f>
        <v>72263.830000000133</v>
      </c>
      <c r="L57" s="399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J115"/>
  <sheetViews>
    <sheetView topLeftCell="A34" workbookViewId="0">
      <selection activeCell="A49" sqref="A49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9.5703125" style="1" bestFit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320" t="s">
        <v>299</v>
      </c>
      <c r="B3" s="321" t="s">
        <v>300</v>
      </c>
      <c r="C3" s="323">
        <v>3978.8</v>
      </c>
      <c r="D3" s="244"/>
      <c r="E3" s="220"/>
      <c r="F3" s="180">
        <f>C3-E3</f>
        <v>3978.8</v>
      </c>
    </row>
    <row r="4" spans="1:7" ht="22.5" customHeight="1" x14ac:dyDescent="0.25">
      <c r="A4" s="320" t="s">
        <v>299</v>
      </c>
      <c r="B4" s="321" t="s">
        <v>301</v>
      </c>
      <c r="C4" s="323">
        <v>64419.48</v>
      </c>
      <c r="D4" s="244"/>
      <c r="E4" s="220"/>
      <c r="F4" s="183">
        <f>C4-E4+F3</f>
        <v>68398.28</v>
      </c>
    </row>
    <row r="5" spans="1:7" ht="21" customHeight="1" x14ac:dyDescent="0.25">
      <c r="A5" s="320" t="s">
        <v>299</v>
      </c>
      <c r="B5" s="321" t="s">
        <v>302</v>
      </c>
      <c r="C5" s="323">
        <v>95868.9</v>
      </c>
      <c r="D5" s="244"/>
      <c r="E5" s="220"/>
      <c r="F5" s="183">
        <f t="shared" ref="F5:F68" si="0">C5-E5+F4</f>
        <v>164267.18</v>
      </c>
    </row>
    <row r="6" spans="1:7" ht="21" customHeight="1" x14ac:dyDescent="0.3">
      <c r="A6" s="320" t="s">
        <v>303</v>
      </c>
      <c r="B6" s="321" t="s">
        <v>304</v>
      </c>
      <c r="C6" s="323">
        <v>44423.7</v>
      </c>
      <c r="D6" s="244"/>
      <c r="E6" s="220"/>
      <c r="F6" s="183">
        <f t="shared" si="0"/>
        <v>208690.88</v>
      </c>
      <c r="G6" s="184"/>
    </row>
    <row r="7" spans="1:7" ht="21" customHeight="1" x14ac:dyDescent="0.25">
      <c r="A7" s="320" t="s">
        <v>305</v>
      </c>
      <c r="B7" s="321" t="s">
        <v>306</v>
      </c>
      <c r="C7" s="323">
        <v>170743.1</v>
      </c>
      <c r="D7" s="244"/>
      <c r="E7" s="220"/>
      <c r="F7" s="183">
        <f t="shared" si="0"/>
        <v>379433.98</v>
      </c>
    </row>
    <row r="8" spans="1:7" ht="21" customHeight="1" x14ac:dyDescent="0.25">
      <c r="A8" s="320" t="s">
        <v>305</v>
      </c>
      <c r="B8" s="321" t="s">
        <v>307</v>
      </c>
      <c r="C8" s="323">
        <v>60459.24</v>
      </c>
      <c r="D8" s="244"/>
      <c r="E8" s="220"/>
      <c r="F8" s="183">
        <f t="shared" si="0"/>
        <v>439893.22</v>
      </c>
    </row>
    <row r="9" spans="1:7" ht="21" customHeight="1" x14ac:dyDescent="0.25">
      <c r="A9" s="320" t="s">
        <v>308</v>
      </c>
      <c r="B9" s="321" t="s">
        <v>309</v>
      </c>
      <c r="C9" s="323">
        <v>7758.5</v>
      </c>
      <c r="D9" s="181"/>
      <c r="E9" s="149"/>
      <c r="F9" s="183">
        <f t="shared" si="0"/>
        <v>447651.72</v>
      </c>
    </row>
    <row r="10" spans="1:7" ht="21" customHeight="1" x14ac:dyDescent="0.25">
      <c r="A10" s="320" t="s">
        <v>308</v>
      </c>
      <c r="B10" s="321" t="s">
        <v>310</v>
      </c>
      <c r="C10" s="323">
        <v>132173.82</v>
      </c>
      <c r="D10" s="181"/>
      <c r="E10" s="149"/>
      <c r="F10" s="183">
        <f t="shared" si="0"/>
        <v>579825.54</v>
      </c>
    </row>
    <row r="11" spans="1:7" ht="21" customHeight="1" x14ac:dyDescent="0.25">
      <c r="A11" s="320" t="s">
        <v>311</v>
      </c>
      <c r="B11" s="321" t="s">
        <v>312</v>
      </c>
      <c r="C11" s="323">
        <v>120438.76</v>
      </c>
      <c r="D11" s="181"/>
      <c r="E11" s="149"/>
      <c r="F11" s="183">
        <f t="shared" si="0"/>
        <v>700264.3</v>
      </c>
    </row>
    <row r="12" spans="1:7" ht="21" customHeight="1" x14ac:dyDescent="0.3">
      <c r="A12" s="320" t="s">
        <v>311</v>
      </c>
      <c r="B12" s="321" t="s">
        <v>313</v>
      </c>
      <c r="C12" s="323">
        <v>7203.42</v>
      </c>
      <c r="D12" s="181"/>
      <c r="E12" s="149"/>
      <c r="F12" s="183">
        <f t="shared" si="0"/>
        <v>707467.72000000009</v>
      </c>
      <c r="G12" s="184"/>
    </row>
    <row r="13" spans="1:7" ht="21" customHeight="1" x14ac:dyDescent="0.25">
      <c r="A13" s="320" t="s">
        <v>314</v>
      </c>
      <c r="B13" s="321" t="s">
        <v>315</v>
      </c>
      <c r="C13" s="323">
        <v>107201.98</v>
      </c>
      <c r="D13" s="181"/>
      <c r="E13" s="149"/>
      <c r="F13" s="183">
        <f t="shared" si="0"/>
        <v>814669.70000000007</v>
      </c>
    </row>
    <row r="14" spans="1:7" ht="21" customHeight="1" x14ac:dyDescent="0.25">
      <c r="A14" s="320" t="s">
        <v>314</v>
      </c>
      <c r="B14" s="321" t="s">
        <v>316</v>
      </c>
      <c r="C14" s="323">
        <v>16000.8</v>
      </c>
      <c r="D14" s="181"/>
      <c r="E14" s="149"/>
      <c r="F14" s="183">
        <f t="shared" si="0"/>
        <v>830670.50000000012</v>
      </c>
    </row>
    <row r="15" spans="1:7" ht="21" customHeight="1" x14ac:dyDescent="0.25">
      <c r="A15" s="320" t="s">
        <v>317</v>
      </c>
      <c r="B15" s="321" t="s">
        <v>318</v>
      </c>
      <c r="C15" s="323">
        <v>10953.36</v>
      </c>
      <c r="D15" s="181"/>
      <c r="E15" s="149"/>
      <c r="F15" s="183">
        <f t="shared" si="0"/>
        <v>841623.8600000001</v>
      </c>
    </row>
    <row r="16" spans="1:7" ht="21" customHeight="1" x14ac:dyDescent="0.25">
      <c r="A16" s="320" t="s">
        <v>317</v>
      </c>
      <c r="B16" s="321" t="s">
        <v>319</v>
      </c>
      <c r="C16" s="323">
        <v>97086.17</v>
      </c>
      <c r="D16" s="181"/>
      <c r="E16" s="149"/>
      <c r="F16" s="183">
        <f t="shared" si="0"/>
        <v>938710.03000000014</v>
      </c>
    </row>
    <row r="17" spans="1:10" ht="21" customHeight="1" x14ac:dyDescent="0.25">
      <c r="A17" s="320" t="s">
        <v>320</v>
      </c>
      <c r="B17" s="321" t="s">
        <v>321</v>
      </c>
      <c r="C17" s="323">
        <v>1822.2</v>
      </c>
      <c r="D17" s="181"/>
      <c r="E17" s="149"/>
      <c r="F17" s="183">
        <f t="shared" si="0"/>
        <v>940532.2300000001</v>
      </c>
    </row>
    <row r="18" spans="1:10" ht="21" customHeight="1" x14ac:dyDescent="0.25">
      <c r="A18" s="320" t="s">
        <v>320</v>
      </c>
      <c r="B18" s="321" t="s">
        <v>322</v>
      </c>
      <c r="C18" s="323">
        <v>161998.60999999999</v>
      </c>
      <c r="D18" s="181"/>
      <c r="E18" s="149"/>
      <c r="F18" s="183">
        <f t="shared" si="0"/>
        <v>1102530.8400000001</v>
      </c>
      <c r="J18" s="133" t="s">
        <v>363</v>
      </c>
    </row>
    <row r="19" spans="1:10" ht="21" customHeight="1" x14ac:dyDescent="0.25">
      <c r="A19" s="320" t="s">
        <v>320</v>
      </c>
      <c r="B19" s="321" t="s">
        <v>323</v>
      </c>
      <c r="C19" s="323">
        <v>134198.39999999999</v>
      </c>
      <c r="D19" s="181"/>
      <c r="E19" s="149"/>
      <c r="F19" s="183">
        <f t="shared" si="0"/>
        <v>1236729.24</v>
      </c>
    </row>
    <row r="20" spans="1:10" ht="21" customHeight="1" x14ac:dyDescent="0.25">
      <c r="A20" s="320" t="s">
        <v>324</v>
      </c>
      <c r="B20" s="321" t="s">
        <v>325</v>
      </c>
      <c r="C20" s="323">
        <v>22309.25</v>
      </c>
      <c r="D20" s="181"/>
      <c r="E20" s="149"/>
      <c r="F20" s="183">
        <f t="shared" si="0"/>
        <v>1259038.49</v>
      </c>
    </row>
    <row r="21" spans="1:10" ht="24.75" customHeight="1" x14ac:dyDescent="0.25">
      <c r="A21" s="320" t="s">
        <v>326</v>
      </c>
      <c r="B21" s="321" t="s">
        <v>327</v>
      </c>
      <c r="C21" s="323">
        <v>123022.82</v>
      </c>
      <c r="D21" s="181"/>
      <c r="E21" s="149"/>
      <c r="F21" s="183">
        <f t="shared" si="0"/>
        <v>1382061.31</v>
      </c>
    </row>
    <row r="22" spans="1:10" ht="21" customHeight="1" x14ac:dyDescent="0.25">
      <c r="A22" s="320" t="s">
        <v>326</v>
      </c>
      <c r="B22" s="321" t="s">
        <v>328</v>
      </c>
      <c r="C22" s="323">
        <v>68289.399999999994</v>
      </c>
      <c r="D22" s="181"/>
      <c r="E22" s="149"/>
      <c r="F22" s="183">
        <f t="shared" si="0"/>
        <v>1450350.71</v>
      </c>
    </row>
    <row r="23" spans="1:10" ht="24.75" customHeight="1" x14ac:dyDescent="0.25">
      <c r="A23" s="320" t="s">
        <v>326</v>
      </c>
      <c r="B23" s="321" t="s">
        <v>329</v>
      </c>
      <c r="C23" s="323">
        <v>71866.8</v>
      </c>
      <c r="D23" s="181"/>
      <c r="E23" s="149"/>
      <c r="F23" s="183">
        <f t="shared" si="0"/>
        <v>1522217.51</v>
      </c>
    </row>
    <row r="24" spans="1:10" ht="21" customHeight="1" x14ac:dyDescent="0.3">
      <c r="A24" s="320" t="s">
        <v>330</v>
      </c>
      <c r="B24" s="321" t="s">
        <v>331</v>
      </c>
      <c r="C24" s="323">
        <v>96915.5</v>
      </c>
      <c r="D24" s="181"/>
      <c r="E24" s="149"/>
      <c r="F24" s="183">
        <f t="shared" si="0"/>
        <v>1619133.01</v>
      </c>
      <c r="G24" s="184"/>
    </row>
    <row r="25" spans="1:10" ht="21" customHeight="1" x14ac:dyDescent="0.25">
      <c r="A25" s="320" t="s">
        <v>332</v>
      </c>
      <c r="B25" s="321" t="s">
        <v>333</v>
      </c>
      <c r="C25" s="323">
        <v>146054.39999999999</v>
      </c>
      <c r="D25" s="181"/>
      <c r="E25" s="149"/>
      <c r="F25" s="183">
        <f t="shared" si="0"/>
        <v>1765187.41</v>
      </c>
    </row>
    <row r="26" spans="1:10" ht="21" customHeight="1" x14ac:dyDescent="0.25">
      <c r="A26" s="320" t="s">
        <v>332</v>
      </c>
      <c r="B26" s="321" t="s">
        <v>334</v>
      </c>
      <c r="C26" s="323">
        <v>37448.699999999997</v>
      </c>
      <c r="D26" s="181"/>
      <c r="E26" s="149"/>
      <c r="F26" s="183">
        <f t="shared" si="0"/>
        <v>1802636.1099999999</v>
      </c>
    </row>
    <row r="27" spans="1:10" ht="21" customHeight="1" x14ac:dyDescent="0.25">
      <c r="A27" s="320" t="s">
        <v>335</v>
      </c>
      <c r="B27" s="321" t="s">
        <v>336</v>
      </c>
      <c r="C27" s="323">
        <v>25900.95</v>
      </c>
      <c r="D27" s="181"/>
      <c r="E27" s="149"/>
      <c r="F27" s="183">
        <f t="shared" si="0"/>
        <v>1828537.0599999998</v>
      </c>
    </row>
    <row r="28" spans="1:10" ht="21" customHeight="1" x14ac:dyDescent="0.25">
      <c r="A28" s="320" t="s">
        <v>335</v>
      </c>
      <c r="B28" s="321" t="s">
        <v>337</v>
      </c>
      <c r="C28" s="323">
        <v>60133.8</v>
      </c>
      <c r="D28" s="181"/>
      <c r="E28" s="149"/>
      <c r="F28" s="183">
        <f t="shared" si="0"/>
        <v>1888670.8599999999</v>
      </c>
    </row>
    <row r="29" spans="1:10" ht="21" customHeight="1" x14ac:dyDescent="0.25">
      <c r="A29" s="320" t="s">
        <v>335</v>
      </c>
      <c r="B29" s="321" t="s">
        <v>338</v>
      </c>
      <c r="C29" s="323">
        <v>90966.99</v>
      </c>
      <c r="D29" s="181"/>
      <c r="E29" s="149"/>
      <c r="F29" s="183">
        <f t="shared" si="0"/>
        <v>1979637.8499999999</v>
      </c>
      <c r="J29" s="149">
        <v>0</v>
      </c>
    </row>
    <row r="30" spans="1:10" ht="21" customHeight="1" x14ac:dyDescent="0.25">
      <c r="A30" s="320" t="s">
        <v>335</v>
      </c>
      <c r="B30" s="321" t="s">
        <v>339</v>
      </c>
      <c r="C30" s="323">
        <v>2249.6</v>
      </c>
      <c r="D30" s="181"/>
      <c r="E30" s="149"/>
      <c r="F30" s="183">
        <f t="shared" si="0"/>
        <v>1981887.45</v>
      </c>
      <c r="J30" s="149">
        <v>0</v>
      </c>
    </row>
    <row r="31" spans="1:10" ht="21" customHeight="1" x14ac:dyDescent="0.25">
      <c r="A31" s="320" t="s">
        <v>335</v>
      </c>
      <c r="B31" s="321" t="s">
        <v>340</v>
      </c>
      <c r="C31" s="323">
        <v>76221.8</v>
      </c>
      <c r="D31" s="181"/>
      <c r="E31" s="149"/>
      <c r="F31" s="183">
        <f t="shared" si="0"/>
        <v>2058109.25</v>
      </c>
      <c r="J31" s="149">
        <v>0</v>
      </c>
    </row>
    <row r="32" spans="1:10" ht="21" customHeight="1" x14ac:dyDescent="0.3">
      <c r="A32" s="320" t="s">
        <v>341</v>
      </c>
      <c r="B32" s="321" t="s">
        <v>342</v>
      </c>
      <c r="C32" s="323">
        <v>151130.51999999999</v>
      </c>
      <c r="D32" s="181"/>
      <c r="E32" s="149"/>
      <c r="F32" s="183">
        <f t="shared" si="0"/>
        <v>2209239.77</v>
      </c>
      <c r="G32" s="184"/>
      <c r="J32" s="149">
        <v>0</v>
      </c>
    </row>
    <row r="33" spans="1:10" ht="21" customHeight="1" x14ac:dyDescent="0.25">
      <c r="A33" s="320" t="s">
        <v>341</v>
      </c>
      <c r="B33" s="321" t="s">
        <v>343</v>
      </c>
      <c r="C33" s="323">
        <v>12096</v>
      </c>
      <c r="D33" s="181"/>
      <c r="E33" s="149"/>
      <c r="F33" s="183">
        <f t="shared" si="0"/>
        <v>2221335.77</v>
      </c>
      <c r="J33" s="149">
        <v>0</v>
      </c>
    </row>
    <row r="34" spans="1:10" ht="21" customHeight="1" x14ac:dyDescent="0.25">
      <c r="A34" s="320" t="s">
        <v>341</v>
      </c>
      <c r="B34" s="321" t="s">
        <v>344</v>
      </c>
      <c r="C34" s="323">
        <v>2859.98</v>
      </c>
      <c r="D34" s="181"/>
      <c r="E34" s="149"/>
      <c r="F34" s="183">
        <f t="shared" si="0"/>
        <v>2224195.75</v>
      </c>
      <c r="J34" s="149">
        <v>0</v>
      </c>
    </row>
    <row r="35" spans="1:10" ht="23.25" customHeight="1" x14ac:dyDescent="0.25">
      <c r="A35" s="320" t="s">
        <v>345</v>
      </c>
      <c r="B35" s="321" t="s">
        <v>346</v>
      </c>
      <c r="C35" s="323">
        <v>108017.5</v>
      </c>
      <c r="D35" s="181"/>
      <c r="E35" s="149"/>
      <c r="F35" s="183">
        <f t="shared" si="0"/>
        <v>2332213.25</v>
      </c>
      <c r="J35" s="149">
        <v>0</v>
      </c>
    </row>
    <row r="36" spans="1:10" ht="23.25" customHeight="1" x14ac:dyDescent="0.25">
      <c r="A36" s="320" t="s">
        <v>345</v>
      </c>
      <c r="B36" s="321" t="s">
        <v>347</v>
      </c>
      <c r="C36" s="323">
        <v>78286</v>
      </c>
      <c r="D36" s="181"/>
      <c r="E36" s="149"/>
      <c r="F36" s="183">
        <f t="shared" si="0"/>
        <v>2410499.25</v>
      </c>
      <c r="J36" s="133">
        <v>0</v>
      </c>
    </row>
    <row r="37" spans="1:10" ht="23.25" customHeight="1" x14ac:dyDescent="0.25">
      <c r="A37" s="320" t="s">
        <v>348</v>
      </c>
      <c r="B37" s="321" t="s">
        <v>349</v>
      </c>
      <c r="C37" s="323">
        <v>21014.12</v>
      </c>
      <c r="D37" s="181"/>
      <c r="E37" s="149"/>
      <c r="F37" s="183">
        <f t="shared" si="0"/>
        <v>2431513.37</v>
      </c>
      <c r="J37" s="187">
        <f>SUM(J29:J36)</f>
        <v>0</v>
      </c>
    </row>
    <row r="38" spans="1:10" ht="23.25" customHeight="1" x14ac:dyDescent="0.25">
      <c r="A38" s="320" t="s">
        <v>348</v>
      </c>
      <c r="B38" s="321" t="s">
        <v>350</v>
      </c>
      <c r="C38" s="323">
        <v>19076.400000000001</v>
      </c>
      <c r="D38" s="181"/>
      <c r="E38" s="149"/>
      <c r="F38" s="183">
        <f t="shared" si="0"/>
        <v>2450589.77</v>
      </c>
    </row>
    <row r="39" spans="1:10" ht="23.25" customHeight="1" x14ac:dyDescent="0.25">
      <c r="A39" s="320" t="s">
        <v>351</v>
      </c>
      <c r="B39" s="321" t="s">
        <v>352</v>
      </c>
      <c r="C39" s="323">
        <v>74198.06</v>
      </c>
      <c r="D39" s="181"/>
      <c r="E39" s="149"/>
      <c r="F39" s="183">
        <f t="shared" si="0"/>
        <v>2524787.83</v>
      </c>
    </row>
    <row r="40" spans="1:10" ht="23.25" customHeight="1" x14ac:dyDescent="0.25">
      <c r="A40" s="320" t="s">
        <v>353</v>
      </c>
      <c r="B40" s="321" t="s">
        <v>354</v>
      </c>
      <c r="C40" s="323">
        <v>20015.7</v>
      </c>
      <c r="D40" s="181"/>
      <c r="E40" s="100"/>
      <c r="F40" s="183">
        <f t="shared" si="0"/>
        <v>2544803.5300000003</v>
      </c>
    </row>
    <row r="41" spans="1:10" ht="23.25" customHeight="1" x14ac:dyDescent="0.25">
      <c r="A41" s="320" t="s">
        <v>353</v>
      </c>
      <c r="B41" s="321" t="s">
        <v>355</v>
      </c>
      <c r="C41" s="323">
        <v>98367.76</v>
      </c>
      <c r="D41" s="181"/>
      <c r="E41" s="100"/>
      <c r="F41" s="183">
        <f t="shared" si="0"/>
        <v>2643171.29</v>
      </c>
    </row>
    <row r="42" spans="1:10" ht="23.25" customHeight="1" x14ac:dyDescent="0.25">
      <c r="A42" s="320" t="s">
        <v>356</v>
      </c>
      <c r="B42" s="321" t="s">
        <v>357</v>
      </c>
      <c r="C42" s="323">
        <v>36491.4</v>
      </c>
      <c r="D42" s="185"/>
      <c r="E42" s="100"/>
      <c r="F42" s="183">
        <f t="shared" si="0"/>
        <v>2679662.69</v>
      </c>
    </row>
    <row r="43" spans="1:10" ht="23.25" customHeight="1" x14ac:dyDescent="0.25">
      <c r="A43" s="320" t="s">
        <v>356</v>
      </c>
      <c r="B43" s="321" t="s">
        <v>358</v>
      </c>
      <c r="C43" s="323">
        <v>83135.100000000006</v>
      </c>
      <c r="D43" s="192"/>
      <c r="E43" s="100"/>
      <c r="F43" s="183">
        <f t="shared" si="0"/>
        <v>2762797.79</v>
      </c>
    </row>
    <row r="44" spans="1:10" ht="23.25" customHeight="1" x14ac:dyDescent="0.25">
      <c r="A44" s="320" t="s">
        <v>356</v>
      </c>
      <c r="B44" s="321" t="s">
        <v>359</v>
      </c>
      <c r="C44" s="323">
        <v>91182.07</v>
      </c>
      <c r="D44" s="192"/>
      <c r="E44" s="100"/>
      <c r="F44" s="183">
        <f t="shared" si="0"/>
        <v>2853979.86</v>
      </c>
    </row>
    <row r="45" spans="1:10" ht="23.25" customHeight="1" x14ac:dyDescent="0.25">
      <c r="A45" s="320" t="s">
        <v>356</v>
      </c>
      <c r="B45" s="321" t="s">
        <v>360</v>
      </c>
      <c r="C45" s="323">
        <v>375</v>
      </c>
      <c r="D45" s="192"/>
      <c r="E45" s="100"/>
      <c r="F45" s="183">
        <f t="shared" si="0"/>
        <v>2854354.86</v>
      </c>
    </row>
    <row r="46" spans="1:10" ht="23.25" customHeight="1" x14ac:dyDescent="0.25">
      <c r="A46" s="320" t="s">
        <v>361</v>
      </c>
      <c r="B46" s="321" t="s">
        <v>362</v>
      </c>
      <c r="C46" s="323">
        <v>117319.28</v>
      </c>
      <c r="D46" s="192"/>
      <c r="E46" s="100"/>
      <c r="F46" s="183">
        <f t="shared" si="0"/>
        <v>2971674.1399999997</v>
      </c>
    </row>
    <row r="47" spans="1:10" ht="23.25" customHeight="1" x14ac:dyDescent="0.25">
      <c r="A47" s="325">
        <v>45108</v>
      </c>
      <c r="B47" s="321" t="s">
        <v>364</v>
      </c>
      <c r="C47" s="322">
        <v>155507.29</v>
      </c>
      <c r="D47" s="192"/>
      <c r="E47" s="100"/>
      <c r="F47" s="183">
        <f t="shared" si="0"/>
        <v>3127181.4299999997</v>
      </c>
    </row>
    <row r="48" spans="1:10" ht="23.25" customHeight="1" x14ac:dyDescent="0.25">
      <c r="A48" s="325">
        <v>45108</v>
      </c>
      <c r="B48" s="321" t="s">
        <v>365</v>
      </c>
      <c r="C48" s="322">
        <v>1390.8</v>
      </c>
      <c r="D48" s="192"/>
      <c r="E48" s="100"/>
      <c r="F48" s="183">
        <f t="shared" si="0"/>
        <v>3128572.2299999995</v>
      </c>
    </row>
    <row r="49" spans="1:6" ht="23.25" customHeight="1" x14ac:dyDescent="0.25">
      <c r="A49" s="325" t="s">
        <v>9</v>
      </c>
      <c r="B49" s="321"/>
      <c r="C49" s="322"/>
      <c r="D49" s="192"/>
      <c r="E49" s="100"/>
      <c r="F49" s="183">
        <f t="shared" si="0"/>
        <v>3128572.2299999995</v>
      </c>
    </row>
    <row r="50" spans="1:6" ht="23.25" customHeight="1" x14ac:dyDescent="0.25">
      <c r="A50" s="325"/>
      <c r="B50" s="321"/>
      <c r="C50" s="322"/>
      <c r="D50" s="192"/>
      <c r="E50" s="100"/>
      <c r="F50" s="183">
        <f t="shared" si="0"/>
        <v>3128572.2299999995</v>
      </c>
    </row>
    <row r="51" spans="1:6" ht="23.25" customHeight="1" x14ac:dyDescent="0.25">
      <c r="A51" s="325"/>
      <c r="B51" s="321"/>
      <c r="C51" s="322"/>
      <c r="D51" s="192"/>
      <c r="E51" s="100"/>
      <c r="F51" s="183">
        <f t="shared" si="0"/>
        <v>3128572.2299999995</v>
      </c>
    </row>
    <row r="52" spans="1:6" ht="23.25" customHeight="1" x14ac:dyDescent="0.25">
      <c r="A52" s="324"/>
      <c r="B52" s="248"/>
      <c r="C52" s="149"/>
      <c r="D52" s="192"/>
      <c r="E52" s="100"/>
      <c r="F52" s="183">
        <f t="shared" si="0"/>
        <v>3128572.2299999995</v>
      </c>
    </row>
    <row r="53" spans="1:6" ht="23.25" customHeight="1" x14ac:dyDescent="0.25">
      <c r="A53" s="324"/>
      <c r="B53" s="248"/>
      <c r="C53" s="149"/>
      <c r="D53" s="192"/>
      <c r="E53" s="100"/>
      <c r="F53" s="183">
        <f t="shared" si="0"/>
        <v>3128572.2299999995</v>
      </c>
    </row>
    <row r="54" spans="1:6" ht="23.25" customHeight="1" x14ac:dyDescent="0.25">
      <c r="A54" s="324"/>
      <c r="B54" s="248"/>
      <c r="C54" s="149"/>
      <c r="D54" s="192"/>
      <c r="E54" s="100"/>
      <c r="F54" s="183">
        <f t="shared" si="0"/>
        <v>3128572.2299999995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3128572.2299999995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3128572.2299999995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3128572.2299999995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3128572.2299999995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3128572.2299999995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3128572.2299999995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3128572.2299999995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3128572.2299999995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3128572.2299999995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3128572.2299999995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3128572.2299999995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3128572.2299999995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3128572.2299999995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3128572.2299999995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3128572.2299999995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3128572.2299999995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3128572.2299999995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3128572.2299999995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3128572.2299999995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3128572.2299999995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3128572.2299999995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3128572.2299999995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3128572.2299999995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3128572.2299999995</v>
      </c>
    </row>
    <row r="79" spans="1:6" ht="39.75" customHeight="1" thickBot="1" x14ac:dyDescent="0.35">
      <c r="A79" s="201"/>
      <c r="B79" s="202"/>
      <c r="C79" s="317">
        <f>SUM(C3:C78)</f>
        <v>3128572.2299999995</v>
      </c>
      <c r="D79" s="175"/>
      <c r="E79" s="204">
        <f>SUM(E3:E78)</f>
        <v>0</v>
      </c>
      <c r="F79" s="205">
        <f>F78</f>
        <v>3128572.2299999995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sortState ref="A34:C51">
    <sortCondition ref="B34:B51"/>
  </sortState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topLeftCell="A25" workbookViewId="0">
      <selection activeCell="C41" sqref="C41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64"/>
      <c r="C1" s="366" t="s">
        <v>381</v>
      </c>
      <c r="D1" s="367"/>
      <c r="E1" s="367"/>
      <c r="F1" s="367"/>
      <c r="G1" s="367"/>
      <c r="H1" s="367"/>
      <c r="I1" s="367"/>
      <c r="J1" s="367"/>
      <c r="K1" s="367"/>
      <c r="L1" s="367"/>
      <c r="M1" s="367"/>
    </row>
    <row r="2" spans="1:21" ht="16.5" thickBot="1" x14ac:dyDescent="0.3">
      <c r="B2" s="365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68" t="s">
        <v>0</v>
      </c>
      <c r="C3" s="369"/>
      <c r="D3" s="10"/>
      <c r="E3" s="11"/>
      <c r="F3" s="11"/>
      <c r="H3" s="370" t="s">
        <v>1</v>
      </c>
      <c r="I3" s="370"/>
      <c r="K3" s="13"/>
      <c r="L3" s="13"/>
      <c r="M3" s="6"/>
      <c r="R3" s="400" t="s">
        <v>2</v>
      </c>
    </row>
    <row r="4" spans="1:21" ht="20.25" thickTop="1" thickBot="1" x14ac:dyDescent="0.35">
      <c r="A4" s="14" t="s">
        <v>3</v>
      </c>
      <c r="B4" s="15"/>
      <c r="C4" s="16">
        <v>359108.11</v>
      </c>
      <c r="D4" s="307">
        <v>45109</v>
      </c>
      <c r="E4" s="349" t="s">
        <v>4</v>
      </c>
      <c r="F4" s="350"/>
      <c r="H4" s="351" t="s">
        <v>5</v>
      </c>
      <c r="I4" s="352"/>
      <c r="J4" s="255"/>
      <c r="K4" s="256"/>
      <c r="L4" s="16"/>
      <c r="M4" s="21" t="s">
        <v>6</v>
      </c>
      <c r="N4" s="22" t="s">
        <v>7</v>
      </c>
      <c r="P4" s="386" t="s">
        <v>8</v>
      </c>
      <c r="Q4" s="387"/>
      <c r="R4" s="401"/>
    </row>
    <row r="5" spans="1:21" ht="18" thickBot="1" x14ac:dyDescent="0.35">
      <c r="A5" s="23" t="s">
        <v>9</v>
      </c>
      <c r="B5" s="24">
        <v>45110</v>
      </c>
      <c r="C5" s="25">
        <v>0</v>
      </c>
      <c r="D5" s="26"/>
      <c r="E5" s="27">
        <v>45110</v>
      </c>
      <c r="F5" s="28">
        <v>151348</v>
      </c>
      <c r="G5" s="29"/>
      <c r="H5" s="30">
        <v>45110</v>
      </c>
      <c r="I5" s="31">
        <v>132</v>
      </c>
      <c r="J5" s="251"/>
      <c r="K5" s="257"/>
      <c r="L5" s="13"/>
      <c r="M5" s="33">
        <f>33500+141071</f>
        <v>174571</v>
      </c>
      <c r="N5" s="34">
        <v>0</v>
      </c>
      <c r="O5" s="35"/>
      <c r="P5" s="235">
        <f>N5+M5+L5+I5+C5</f>
        <v>174703</v>
      </c>
      <c r="Q5" s="236">
        <v>0</v>
      </c>
      <c r="R5" s="237">
        <f>M5-F5</f>
        <v>23223</v>
      </c>
      <c r="S5" s="37"/>
    </row>
    <row r="6" spans="1:21" ht="18" thickBot="1" x14ac:dyDescent="0.35">
      <c r="A6" s="23"/>
      <c r="B6" s="24">
        <v>45111</v>
      </c>
      <c r="C6" s="25">
        <v>4380</v>
      </c>
      <c r="D6" s="38" t="s">
        <v>269</v>
      </c>
      <c r="E6" s="27">
        <v>45111</v>
      </c>
      <c r="F6" s="28">
        <v>94080</v>
      </c>
      <c r="G6" s="29"/>
      <c r="H6" s="30">
        <v>45111</v>
      </c>
      <c r="I6" s="31">
        <v>81</v>
      </c>
      <c r="J6" s="258"/>
      <c r="K6" s="71"/>
      <c r="L6" s="259"/>
      <c r="M6" s="33">
        <f>8000+91353</f>
        <v>99353</v>
      </c>
      <c r="N6" s="34">
        <v>464</v>
      </c>
      <c r="O6" s="35"/>
      <c r="P6" s="235">
        <f>N6+M6+L6+I6+C6</f>
        <v>104278</v>
      </c>
      <c r="Q6" s="236">
        <f>P6-F6-10184</f>
        <v>14</v>
      </c>
      <c r="R6" s="237">
        <v>10184</v>
      </c>
      <c r="S6" s="37"/>
      <c r="T6" s="9"/>
    </row>
    <row r="7" spans="1:21" ht="18" thickBot="1" x14ac:dyDescent="0.35">
      <c r="A7" s="23"/>
      <c r="B7" s="24">
        <v>45112</v>
      </c>
      <c r="C7" s="25">
        <v>0</v>
      </c>
      <c r="D7" s="42"/>
      <c r="E7" s="27">
        <v>45112</v>
      </c>
      <c r="F7" s="28">
        <v>54602</v>
      </c>
      <c r="G7" s="29"/>
      <c r="H7" s="30">
        <v>45112</v>
      </c>
      <c r="I7" s="31">
        <v>147</v>
      </c>
      <c r="J7" s="258"/>
      <c r="K7" s="102"/>
      <c r="L7" s="259"/>
      <c r="M7" s="33">
        <v>54455</v>
      </c>
      <c r="N7" s="34">
        <v>0</v>
      </c>
      <c r="O7" s="35"/>
      <c r="P7" s="235">
        <f>N7+M7+L7+I7+C7</f>
        <v>54602</v>
      </c>
      <c r="Q7" s="236">
        <f>P7-F7</f>
        <v>0</v>
      </c>
      <c r="R7" s="238">
        <v>0</v>
      </c>
      <c r="S7" s="37"/>
    </row>
    <row r="8" spans="1:21" ht="18" thickBot="1" x14ac:dyDescent="0.35">
      <c r="A8" s="23"/>
      <c r="B8" s="24">
        <v>45113</v>
      </c>
      <c r="C8" s="25"/>
      <c r="D8" s="42"/>
      <c r="E8" s="27">
        <v>45113</v>
      </c>
      <c r="F8" s="28">
        <v>117199</v>
      </c>
      <c r="G8" s="29"/>
      <c r="H8" s="30">
        <v>45113</v>
      </c>
      <c r="I8" s="31">
        <v>15</v>
      </c>
      <c r="J8" s="258"/>
      <c r="K8" s="260"/>
      <c r="L8" s="259"/>
      <c r="M8" s="33">
        <f>64800+52384</f>
        <v>117184</v>
      </c>
      <c r="N8" s="34">
        <v>0</v>
      </c>
      <c r="O8" s="35"/>
      <c r="P8" s="235">
        <f t="shared" ref="P8:P45" si="0">N8+M8+L8+I8+C8</f>
        <v>117199</v>
      </c>
      <c r="Q8" s="236">
        <f t="shared" ref="Q8:Q47" si="1">P8-F8</f>
        <v>0</v>
      </c>
      <c r="R8" s="238">
        <v>0</v>
      </c>
      <c r="S8" s="37"/>
    </row>
    <row r="9" spans="1:21" ht="18" thickBot="1" x14ac:dyDescent="0.35">
      <c r="A9" s="23"/>
      <c r="B9" s="24">
        <v>45114</v>
      </c>
      <c r="C9" s="25">
        <v>4661</v>
      </c>
      <c r="D9" s="46" t="s">
        <v>69</v>
      </c>
      <c r="E9" s="27">
        <v>45114</v>
      </c>
      <c r="F9" s="28">
        <v>153829</v>
      </c>
      <c r="G9" s="29"/>
      <c r="H9" s="30">
        <v>45114</v>
      </c>
      <c r="I9" s="31">
        <v>168</v>
      </c>
      <c r="J9" s="258"/>
      <c r="K9" s="261"/>
      <c r="L9" s="259"/>
      <c r="M9" s="33">
        <f>40800+114763</f>
        <v>155563</v>
      </c>
      <c r="N9" s="34">
        <v>834</v>
      </c>
      <c r="O9" s="35"/>
      <c r="P9" s="235">
        <f t="shared" si="0"/>
        <v>161226</v>
      </c>
      <c r="Q9" s="236">
        <v>0</v>
      </c>
      <c r="R9" s="237">
        <v>7397</v>
      </c>
      <c r="S9" s="37"/>
    </row>
    <row r="10" spans="1:21" ht="18" thickBot="1" x14ac:dyDescent="0.35">
      <c r="A10" s="23"/>
      <c r="B10" s="24">
        <v>45115</v>
      </c>
      <c r="C10" s="25">
        <v>0</v>
      </c>
      <c r="D10" s="38"/>
      <c r="E10" s="27">
        <v>45115</v>
      </c>
      <c r="F10" s="28">
        <v>148445</v>
      </c>
      <c r="G10" s="29"/>
      <c r="H10" s="30">
        <v>45115</v>
      </c>
      <c r="I10" s="31">
        <v>208</v>
      </c>
      <c r="J10" s="258">
        <v>45115</v>
      </c>
      <c r="K10" s="262" t="s">
        <v>382</v>
      </c>
      <c r="L10" s="263">
        <v>9055</v>
      </c>
      <c r="M10" s="33">
        <f>50500+87880</f>
        <v>138380</v>
      </c>
      <c r="N10" s="34">
        <v>828</v>
      </c>
      <c r="O10" s="35"/>
      <c r="P10" s="235">
        <f>N10+M10+L10+I10+C10</f>
        <v>148471</v>
      </c>
      <c r="Q10" s="236">
        <f t="shared" si="1"/>
        <v>26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45116</v>
      </c>
      <c r="C11" s="25">
        <v>0</v>
      </c>
      <c r="D11" s="38"/>
      <c r="E11" s="27">
        <v>45116</v>
      </c>
      <c r="F11" s="28">
        <v>82418</v>
      </c>
      <c r="G11" s="29"/>
      <c r="H11" s="30">
        <v>45116</v>
      </c>
      <c r="I11" s="31">
        <v>69</v>
      </c>
      <c r="J11" s="258"/>
      <c r="K11" s="261"/>
      <c r="L11" s="259"/>
      <c r="M11" s="33">
        <f>81000+14139</f>
        <v>95139</v>
      </c>
      <c r="N11" s="34">
        <v>901</v>
      </c>
      <c r="O11" s="35"/>
      <c r="P11" s="235">
        <f>N11+M11+L11+I11+C11</f>
        <v>96109</v>
      </c>
      <c r="Q11" s="236">
        <f>P11-F11-13664</f>
        <v>27</v>
      </c>
      <c r="R11" s="237">
        <v>13664</v>
      </c>
      <c r="S11" s="37"/>
    </row>
    <row r="12" spans="1:21" ht="18" thickBot="1" x14ac:dyDescent="0.35">
      <c r="A12" s="23"/>
      <c r="B12" s="24">
        <v>45117</v>
      </c>
      <c r="C12" s="25">
        <v>0</v>
      </c>
      <c r="D12" s="38"/>
      <c r="E12" s="27">
        <v>45117</v>
      </c>
      <c r="F12" s="28">
        <v>195880</v>
      </c>
      <c r="G12" s="29"/>
      <c r="H12" s="30">
        <v>45117</v>
      </c>
      <c r="I12" s="31">
        <v>167</v>
      </c>
      <c r="J12" s="258"/>
      <c r="K12" s="264"/>
      <c r="L12" s="259"/>
      <c r="M12" s="33">
        <f>68000+127713</f>
        <v>195713</v>
      </c>
      <c r="N12" s="34">
        <v>0</v>
      </c>
      <c r="O12" s="35"/>
      <c r="P12" s="235">
        <f t="shared" si="0"/>
        <v>195880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45118</v>
      </c>
      <c r="C13" s="25">
        <v>3480</v>
      </c>
      <c r="D13" s="42" t="s">
        <v>211</v>
      </c>
      <c r="E13" s="27">
        <v>45118</v>
      </c>
      <c r="F13" s="28">
        <v>136861</v>
      </c>
      <c r="G13" s="29"/>
      <c r="H13" s="30">
        <v>45118</v>
      </c>
      <c r="I13" s="31">
        <v>70</v>
      </c>
      <c r="J13" s="258"/>
      <c r="K13" s="71"/>
      <c r="L13" s="259"/>
      <c r="M13" s="33">
        <f>51000+81929</f>
        <v>132929</v>
      </c>
      <c r="N13" s="34">
        <v>394</v>
      </c>
      <c r="O13" s="35"/>
      <c r="P13" s="235">
        <f t="shared" si="0"/>
        <v>136873</v>
      </c>
      <c r="Q13" s="236">
        <f t="shared" si="1"/>
        <v>12</v>
      </c>
      <c r="R13" s="238">
        <v>0</v>
      </c>
      <c r="S13" s="37"/>
    </row>
    <row r="14" spans="1:21" ht="18" thickBot="1" x14ac:dyDescent="0.35">
      <c r="A14" s="23"/>
      <c r="B14" s="24">
        <v>45119</v>
      </c>
      <c r="C14" s="25">
        <v>900</v>
      </c>
      <c r="D14" s="46" t="s">
        <v>294</v>
      </c>
      <c r="E14" s="27">
        <v>45119</v>
      </c>
      <c r="F14" s="28">
        <v>28904</v>
      </c>
      <c r="G14" s="29"/>
      <c r="H14" s="30">
        <v>45119</v>
      </c>
      <c r="I14" s="31">
        <v>193</v>
      </c>
      <c r="J14" s="258"/>
      <c r="K14" s="260"/>
      <c r="L14" s="259"/>
      <c r="M14" s="33">
        <v>27811</v>
      </c>
      <c r="N14" s="34">
        <v>0</v>
      </c>
      <c r="O14" s="35"/>
      <c r="P14" s="235">
        <f t="shared" si="0"/>
        <v>28904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45120</v>
      </c>
      <c r="C15" s="25">
        <v>0</v>
      </c>
      <c r="D15" s="46"/>
      <c r="E15" s="27">
        <v>45120</v>
      </c>
      <c r="F15" s="28">
        <v>147109</v>
      </c>
      <c r="G15" s="29"/>
      <c r="H15" s="30">
        <v>45120</v>
      </c>
      <c r="I15" s="31">
        <v>0</v>
      </c>
      <c r="J15" s="258"/>
      <c r="K15" s="260"/>
      <c r="L15" s="259"/>
      <c r="M15" s="33">
        <f>29000+116085</f>
        <v>145085</v>
      </c>
      <c r="N15" s="34">
        <v>2086</v>
      </c>
      <c r="O15" s="314"/>
      <c r="P15" s="235">
        <f t="shared" si="0"/>
        <v>147171</v>
      </c>
      <c r="Q15" s="236">
        <f t="shared" si="1"/>
        <v>62</v>
      </c>
      <c r="R15" s="238">
        <v>0</v>
      </c>
      <c r="S15" s="37"/>
    </row>
    <row r="16" spans="1:21" ht="18" thickBot="1" x14ac:dyDescent="0.35">
      <c r="A16" s="23"/>
      <c r="B16" s="24">
        <v>45121</v>
      </c>
      <c r="C16" s="25">
        <v>11732</v>
      </c>
      <c r="D16" s="42" t="s">
        <v>69</v>
      </c>
      <c r="E16" s="27">
        <v>45121</v>
      </c>
      <c r="F16" s="28">
        <v>177601</v>
      </c>
      <c r="G16" s="29"/>
      <c r="H16" s="30">
        <v>45121</v>
      </c>
      <c r="I16" s="31">
        <v>158</v>
      </c>
      <c r="J16" s="258"/>
      <c r="K16" s="260"/>
      <c r="L16" s="13"/>
      <c r="M16" s="33">
        <f>57500+106095</f>
        <v>163595</v>
      </c>
      <c r="N16" s="34">
        <v>2180</v>
      </c>
      <c r="O16" s="35"/>
      <c r="P16" s="235">
        <f t="shared" si="0"/>
        <v>177665</v>
      </c>
      <c r="Q16" s="236">
        <f t="shared" si="1"/>
        <v>64</v>
      </c>
      <c r="R16" s="238">
        <v>0</v>
      </c>
      <c r="S16" s="37"/>
    </row>
    <row r="17" spans="1:20" ht="18" thickBot="1" x14ac:dyDescent="0.35">
      <c r="A17" s="23"/>
      <c r="B17" s="24">
        <v>45122</v>
      </c>
      <c r="C17" s="25">
        <v>0</v>
      </c>
      <c r="D17" s="46"/>
      <c r="E17" s="27">
        <v>45122</v>
      </c>
      <c r="F17" s="28">
        <v>169447</v>
      </c>
      <c r="G17" s="29"/>
      <c r="H17" s="30">
        <v>45122</v>
      </c>
      <c r="I17" s="31">
        <v>198</v>
      </c>
      <c r="J17" s="258">
        <v>45122</v>
      </c>
      <c r="K17" s="45" t="s">
        <v>383</v>
      </c>
      <c r="L17" s="263">
        <v>8733</v>
      </c>
      <c r="M17" s="33">
        <f>64500+95113</f>
        <v>159613</v>
      </c>
      <c r="N17" s="34">
        <v>931</v>
      </c>
      <c r="O17" s="35"/>
      <c r="P17" s="235">
        <f t="shared" si="0"/>
        <v>169475</v>
      </c>
      <c r="Q17" s="236">
        <f t="shared" si="1"/>
        <v>28</v>
      </c>
      <c r="R17" s="238">
        <v>0</v>
      </c>
      <c r="S17" s="37"/>
    </row>
    <row r="18" spans="1:20" ht="18" thickBot="1" x14ac:dyDescent="0.35">
      <c r="A18" s="23"/>
      <c r="B18" s="24">
        <v>45123</v>
      </c>
      <c r="C18" s="25">
        <v>1980</v>
      </c>
      <c r="D18" s="38" t="s">
        <v>384</v>
      </c>
      <c r="E18" s="27">
        <v>45123</v>
      </c>
      <c r="F18" s="28">
        <v>144827</v>
      </c>
      <c r="G18" s="29"/>
      <c r="H18" s="30">
        <v>45123</v>
      </c>
      <c r="I18" s="31">
        <v>15</v>
      </c>
      <c r="J18" s="258"/>
      <c r="K18" s="265"/>
      <c r="L18" s="259"/>
      <c r="M18" s="33">
        <f>128100+14367</f>
        <v>142467</v>
      </c>
      <c r="N18" s="34">
        <v>376</v>
      </c>
      <c r="O18" s="35"/>
      <c r="P18" s="235">
        <f t="shared" si="0"/>
        <v>144838</v>
      </c>
      <c r="Q18" s="236">
        <f t="shared" si="1"/>
        <v>11</v>
      </c>
      <c r="R18" s="238">
        <v>0</v>
      </c>
      <c r="S18" s="37"/>
    </row>
    <row r="19" spans="1:20" ht="17.25" customHeight="1" thickBot="1" x14ac:dyDescent="0.35">
      <c r="A19" s="23"/>
      <c r="B19" s="24">
        <v>45124</v>
      </c>
      <c r="C19" s="25">
        <v>0</v>
      </c>
      <c r="D19" s="38"/>
      <c r="E19" s="27">
        <v>45124</v>
      </c>
      <c r="F19" s="28">
        <v>174056</v>
      </c>
      <c r="G19" s="29"/>
      <c r="H19" s="30">
        <v>45124</v>
      </c>
      <c r="I19" s="31">
        <v>234</v>
      </c>
      <c r="J19" s="258"/>
      <c r="K19" s="266"/>
      <c r="L19" s="267"/>
      <c r="M19" s="33">
        <f>35800+138022</f>
        <v>173822</v>
      </c>
      <c r="N19" s="34">
        <v>0</v>
      </c>
      <c r="O19" s="35"/>
      <c r="P19" s="235">
        <f t="shared" si="0"/>
        <v>174056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45125</v>
      </c>
      <c r="C20" s="25">
        <v>0</v>
      </c>
      <c r="D20" s="38"/>
      <c r="E20" s="27">
        <v>45125</v>
      </c>
      <c r="F20" s="28">
        <v>154400</v>
      </c>
      <c r="G20" s="29"/>
      <c r="H20" s="30">
        <v>45125</v>
      </c>
      <c r="I20" s="31">
        <v>47</v>
      </c>
      <c r="J20" s="258"/>
      <c r="K20" s="262"/>
      <c r="L20" s="263"/>
      <c r="M20" s="33">
        <f>82600+71397</f>
        <v>153997</v>
      </c>
      <c r="N20" s="34">
        <v>367</v>
      </c>
      <c r="O20" s="35"/>
      <c r="P20" s="235">
        <f t="shared" si="0"/>
        <v>154411</v>
      </c>
      <c r="Q20" s="236">
        <f t="shared" si="1"/>
        <v>11</v>
      </c>
      <c r="R20" s="238">
        <v>0</v>
      </c>
      <c r="S20" s="37"/>
    </row>
    <row r="21" spans="1:20" ht="18" thickBot="1" x14ac:dyDescent="0.35">
      <c r="A21" s="23"/>
      <c r="B21" s="24">
        <v>45126</v>
      </c>
      <c r="C21" s="25">
        <v>0</v>
      </c>
      <c r="D21" s="38"/>
      <c r="E21" s="27">
        <v>45126</v>
      </c>
      <c r="F21" s="28">
        <v>86346</v>
      </c>
      <c r="G21" s="29"/>
      <c r="H21" s="30">
        <v>45126</v>
      </c>
      <c r="I21" s="31">
        <v>159</v>
      </c>
      <c r="J21" s="258"/>
      <c r="K21" s="268"/>
      <c r="L21" s="263"/>
      <c r="M21" s="33">
        <f>72187+14000</f>
        <v>86187</v>
      </c>
      <c r="N21" s="34">
        <v>0</v>
      </c>
      <c r="O21" s="35"/>
      <c r="P21" s="235">
        <f t="shared" si="0"/>
        <v>86346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45127</v>
      </c>
      <c r="C22" s="25">
        <v>3000</v>
      </c>
      <c r="D22" s="46" t="s">
        <v>385</v>
      </c>
      <c r="E22" s="27">
        <v>45127</v>
      </c>
      <c r="F22" s="28">
        <v>155372</v>
      </c>
      <c r="G22" s="29"/>
      <c r="H22" s="30">
        <v>45127</v>
      </c>
      <c r="I22" s="31">
        <v>15</v>
      </c>
      <c r="J22" s="258"/>
      <c r="K22" s="302"/>
      <c r="L22" s="269"/>
      <c r="M22" s="33">
        <f>137720+14000</f>
        <v>151720</v>
      </c>
      <c r="N22" s="34">
        <v>657</v>
      </c>
      <c r="O22" s="315"/>
      <c r="P22" s="235">
        <f t="shared" si="0"/>
        <v>155392</v>
      </c>
      <c r="Q22" s="236">
        <f t="shared" si="1"/>
        <v>20</v>
      </c>
      <c r="R22" s="238">
        <v>0</v>
      </c>
      <c r="S22" s="37"/>
    </row>
    <row r="23" spans="1:20" ht="18" thickBot="1" x14ac:dyDescent="0.35">
      <c r="A23" s="23"/>
      <c r="B23" s="24">
        <v>45128</v>
      </c>
      <c r="C23" s="25">
        <v>29665</v>
      </c>
      <c r="D23" s="46" t="s">
        <v>386</v>
      </c>
      <c r="E23" s="27">
        <v>45128</v>
      </c>
      <c r="F23" s="28">
        <v>152771</v>
      </c>
      <c r="G23" s="29"/>
      <c r="H23" s="30">
        <v>45128</v>
      </c>
      <c r="I23" s="31">
        <v>160</v>
      </c>
      <c r="J23" s="270"/>
      <c r="K23" s="271"/>
      <c r="L23" s="263"/>
      <c r="M23" s="33">
        <f>11000+110343</f>
        <v>121343</v>
      </c>
      <c r="N23" s="34">
        <v>1650</v>
      </c>
      <c r="O23" s="35"/>
      <c r="P23" s="235">
        <f t="shared" si="0"/>
        <v>152818</v>
      </c>
      <c r="Q23" s="236">
        <f t="shared" si="1"/>
        <v>47</v>
      </c>
      <c r="R23" s="238">
        <v>0</v>
      </c>
      <c r="S23" s="37"/>
    </row>
    <row r="24" spans="1:20" ht="18" thickBot="1" x14ac:dyDescent="0.35">
      <c r="A24" s="23"/>
      <c r="B24" s="24">
        <v>45129</v>
      </c>
      <c r="C24" s="25">
        <v>0</v>
      </c>
      <c r="D24" s="42"/>
      <c r="E24" s="27">
        <v>45129</v>
      </c>
      <c r="F24" s="28">
        <v>161197</v>
      </c>
      <c r="G24" s="29"/>
      <c r="H24" s="30">
        <v>45129</v>
      </c>
      <c r="I24" s="31">
        <v>114</v>
      </c>
      <c r="J24" s="272">
        <v>45129</v>
      </c>
      <c r="K24" s="271" t="s">
        <v>387</v>
      </c>
      <c r="L24" s="273">
        <v>9554</v>
      </c>
      <c r="M24" s="33">
        <f>104500+45910</f>
        <v>150410</v>
      </c>
      <c r="N24" s="34">
        <v>1145</v>
      </c>
      <c r="O24" s="331" t="s">
        <v>388</v>
      </c>
      <c r="P24" s="235">
        <f t="shared" si="0"/>
        <v>161223</v>
      </c>
      <c r="Q24" s="236">
        <f t="shared" si="1"/>
        <v>26</v>
      </c>
      <c r="R24" s="238">
        <v>0</v>
      </c>
      <c r="S24" s="37"/>
    </row>
    <row r="25" spans="1:20" ht="18" thickBot="1" x14ac:dyDescent="0.35">
      <c r="A25" s="23"/>
      <c r="B25" s="24">
        <v>45130</v>
      </c>
      <c r="C25" s="25">
        <v>0</v>
      </c>
      <c r="D25" s="38"/>
      <c r="E25" s="27">
        <v>45130</v>
      </c>
      <c r="F25" s="28">
        <v>137636</v>
      </c>
      <c r="G25" s="29"/>
      <c r="H25" s="30">
        <v>45130</v>
      </c>
      <c r="I25" s="31">
        <v>5</v>
      </c>
      <c r="J25" s="274"/>
      <c r="K25" s="275"/>
      <c r="L25" s="276"/>
      <c r="M25" s="33">
        <f>123800+12948</f>
        <v>136748</v>
      </c>
      <c r="N25" s="34">
        <v>910</v>
      </c>
      <c r="O25" s="35"/>
      <c r="P25" s="235">
        <f t="shared" si="0"/>
        <v>137663</v>
      </c>
      <c r="Q25" s="236">
        <f t="shared" si="1"/>
        <v>27</v>
      </c>
      <c r="R25" s="238">
        <v>0</v>
      </c>
      <c r="S25" s="37"/>
    </row>
    <row r="26" spans="1:20" ht="18" thickBot="1" x14ac:dyDescent="0.35">
      <c r="A26" s="23"/>
      <c r="B26" s="24">
        <v>45131</v>
      </c>
      <c r="C26" s="25">
        <v>3000</v>
      </c>
      <c r="D26" s="38" t="s">
        <v>67</v>
      </c>
      <c r="E26" s="27">
        <v>45131</v>
      </c>
      <c r="F26" s="28">
        <v>183666</v>
      </c>
      <c r="G26" s="29"/>
      <c r="H26" s="30">
        <v>45131</v>
      </c>
      <c r="I26" s="31">
        <v>188</v>
      </c>
      <c r="J26" s="258"/>
      <c r="K26" s="271"/>
      <c r="L26" s="263"/>
      <c r="M26" s="33">
        <f>59800+120678</f>
        <v>180478</v>
      </c>
      <c r="N26" s="34">
        <v>0</v>
      </c>
      <c r="O26" s="35"/>
      <c r="P26" s="235">
        <f t="shared" si="0"/>
        <v>183666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45132</v>
      </c>
      <c r="C27" s="25">
        <v>0</v>
      </c>
      <c r="D27" s="42"/>
      <c r="E27" s="27">
        <v>45132</v>
      </c>
      <c r="F27" s="28">
        <v>130272</v>
      </c>
      <c r="G27" s="29"/>
      <c r="H27" s="30">
        <v>45132</v>
      </c>
      <c r="I27" s="31">
        <v>57</v>
      </c>
      <c r="J27" s="277"/>
      <c r="K27" s="275"/>
      <c r="L27" s="276"/>
      <c r="M27" s="33">
        <f>26500+103430</f>
        <v>129930</v>
      </c>
      <c r="N27" s="34">
        <v>294</v>
      </c>
      <c r="O27" s="35"/>
      <c r="P27" s="235">
        <f t="shared" si="0"/>
        <v>130281</v>
      </c>
      <c r="Q27" s="236">
        <f t="shared" si="1"/>
        <v>9</v>
      </c>
      <c r="R27" s="238">
        <v>0</v>
      </c>
      <c r="S27" s="37"/>
    </row>
    <row r="28" spans="1:20" ht="18" thickBot="1" x14ac:dyDescent="0.35">
      <c r="A28" s="23"/>
      <c r="B28" s="24">
        <v>45133</v>
      </c>
      <c r="C28" s="25">
        <v>3150</v>
      </c>
      <c r="D28" s="42" t="s">
        <v>67</v>
      </c>
      <c r="E28" s="27">
        <v>45133</v>
      </c>
      <c r="F28" s="28">
        <v>74401</v>
      </c>
      <c r="G28" s="29"/>
      <c r="H28" s="30">
        <v>45133</v>
      </c>
      <c r="I28" s="31">
        <v>231</v>
      </c>
      <c r="J28" s="278"/>
      <c r="K28" s="71"/>
      <c r="L28" s="276"/>
      <c r="M28" s="33">
        <f>33500+31906</f>
        <v>65406</v>
      </c>
      <c r="N28" s="34">
        <v>5869</v>
      </c>
      <c r="O28" s="35"/>
      <c r="P28" s="235">
        <f t="shared" si="0"/>
        <v>74656</v>
      </c>
      <c r="Q28" s="236">
        <f t="shared" si="1"/>
        <v>255</v>
      </c>
      <c r="R28" s="238">
        <v>0</v>
      </c>
      <c r="S28" s="37"/>
    </row>
    <row r="29" spans="1:20" ht="18" thickBot="1" x14ac:dyDescent="0.35">
      <c r="A29" s="23"/>
      <c r="B29" s="24">
        <v>45134</v>
      </c>
      <c r="C29" s="25">
        <v>0</v>
      </c>
      <c r="D29" s="72"/>
      <c r="E29" s="27">
        <v>45134</v>
      </c>
      <c r="F29" s="28">
        <v>125557</v>
      </c>
      <c r="G29" s="29"/>
      <c r="H29" s="30">
        <v>45134</v>
      </c>
      <c r="I29" s="31">
        <v>137</v>
      </c>
      <c r="J29" s="277"/>
      <c r="K29" s="279" t="s">
        <v>9</v>
      </c>
      <c r="L29" s="276"/>
      <c r="M29" s="33">
        <f>51500+72403</f>
        <v>123903</v>
      </c>
      <c r="N29" s="34">
        <v>1563</v>
      </c>
      <c r="O29" s="35"/>
      <c r="P29" s="235">
        <f t="shared" si="0"/>
        <v>125603</v>
      </c>
      <c r="Q29" s="236">
        <f t="shared" si="1"/>
        <v>46</v>
      </c>
      <c r="R29" s="238">
        <v>0</v>
      </c>
      <c r="S29" s="37"/>
      <c r="T29" s="9"/>
    </row>
    <row r="30" spans="1:20" ht="18" thickBot="1" x14ac:dyDescent="0.35">
      <c r="A30" s="23"/>
      <c r="B30" s="24">
        <v>45135</v>
      </c>
      <c r="C30" s="25">
        <v>17504</v>
      </c>
      <c r="D30" s="72" t="s">
        <v>267</v>
      </c>
      <c r="E30" s="27">
        <v>45135</v>
      </c>
      <c r="F30" s="28">
        <v>168079</v>
      </c>
      <c r="G30" s="29"/>
      <c r="H30" s="30">
        <v>45135</v>
      </c>
      <c r="I30" s="31">
        <v>155</v>
      </c>
      <c r="J30" s="86"/>
      <c r="K30" s="280"/>
      <c r="L30" s="281"/>
      <c r="M30" s="33">
        <f>35500+114920</f>
        <v>150420</v>
      </c>
      <c r="N30" s="34">
        <v>0</v>
      </c>
      <c r="O30" s="35"/>
      <c r="P30" s="235">
        <f t="shared" si="0"/>
        <v>168079</v>
      </c>
      <c r="Q30" s="236">
        <f t="shared" si="1"/>
        <v>0</v>
      </c>
      <c r="R30" s="238">
        <v>0</v>
      </c>
      <c r="S30" s="37"/>
    </row>
    <row r="31" spans="1:20" ht="18" thickBot="1" x14ac:dyDescent="0.35">
      <c r="A31" s="23"/>
      <c r="B31" s="24">
        <v>45136</v>
      </c>
      <c r="C31" s="25">
        <v>0</v>
      </c>
      <c r="D31" s="77"/>
      <c r="E31" s="27">
        <v>45136</v>
      </c>
      <c r="F31" s="28">
        <v>165591</v>
      </c>
      <c r="G31" s="29"/>
      <c r="H31" s="30">
        <v>45136</v>
      </c>
      <c r="I31" s="31">
        <v>55</v>
      </c>
      <c r="J31" s="278">
        <v>45136</v>
      </c>
      <c r="K31" s="275" t="s">
        <v>389</v>
      </c>
      <c r="L31" s="276">
        <v>9054</v>
      </c>
      <c r="M31" s="33">
        <f>61000+94586</f>
        <v>155586</v>
      </c>
      <c r="N31" s="34">
        <v>924</v>
      </c>
      <c r="O31" s="35"/>
      <c r="P31" s="235">
        <f t="shared" si="0"/>
        <v>165619</v>
      </c>
      <c r="Q31" s="236">
        <f t="shared" si="1"/>
        <v>28</v>
      </c>
      <c r="R31" s="238">
        <v>0</v>
      </c>
      <c r="S31" s="37"/>
    </row>
    <row r="32" spans="1:20" ht="18" thickBot="1" x14ac:dyDescent="0.35">
      <c r="A32" s="23"/>
      <c r="B32" s="24">
        <v>45137</v>
      </c>
      <c r="C32" s="25">
        <v>0</v>
      </c>
      <c r="D32" s="82"/>
      <c r="E32" s="27">
        <v>45137</v>
      </c>
      <c r="F32" s="28">
        <v>143637</v>
      </c>
      <c r="G32" s="29"/>
      <c r="H32" s="30">
        <v>45137</v>
      </c>
      <c r="I32" s="31">
        <v>5</v>
      </c>
      <c r="J32" s="86"/>
      <c r="K32" s="280"/>
      <c r="L32" s="281"/>
      <c r="M32" s="33">
        <f>116000+27632</f>
        <v>143632</v>
      </c>
      <c r="N32" s="34">
        <v>0</v>
      </c>
      <c r="O32" s="35"/>
      <c r="P32" s="235">
        <f t="shared" si="0"/>
        <v>143637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86"/>
      <c r="K33" s="282"/>
      <c r="L33" s="216"/>
      <c r="M33" s="33">
        <v>0</v>
      </c>
      <c r="N33" s="34">
        <v>0</v>
      </c>
      <c r="O33" s="35"/>
      <c r="P33" s="235">
        <f t="shared" si="0"/>
        <v>0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>
        <v>45110</v>
      </c>
      <c r="C34" s="25">
        <v>854250</v>
      </c>
      <c r="D34" s="94" t="s">
        <v>482</v>
      </c>
      <c r="E34" s="27"/>
      <c r="F34" s="28"/>
      <c r="G34" s="29"/>
      <c r="H34" s="30"/>
      <c r="I34" s="31"/>
      <c r="J34" s="86">
        <v>45111</v>
      </c>
      <c r="K34" s="332" t="s">
        <v>390</v>
      </c>
      <c r="L34" s="406">
        <v>14500</v>
      </c>
      <c r="M34" s="33">
        <v>0</v>
      </c>
      <c r="N34" s="34">
        <v>0</v>
      </c>
      <c r="O34" s="35"/>
      <c r="P34" s="235">
        <f t="shared" si="0"/>
        <v>868750</v>
      </c>
      <c r="Q34" s="236">
        <f t="shared" si="1"/>
        <v>868750</v>
      </c>
      <c r="R34" s="238">
        <v>0</v>
      </c>
      <c r="S34" s="37"/>
    </row>
    <row r="35" spans="1:19" ht="18" thickBot="1" x14ac:dyDescent="0.35">
      <c r="A35" s="23"/>
      <c r="B35" s="24">
        <v>45117</v>
      </c>
      <c r="C35" s="25">
        <v>12274</v>
      </c>
      <c r="D35" s="77" t="s">
        <v>483</v>
      </c>
      <c r="E35" s="27"/>
      <c r="F35" s="28"/>
      <c r="G35" s="29"/>
      <c r="H35" s="30"/>
      <c r="I35" s="31"/>
      <c r="J35" s="86">
        <v>45111</v>
      </c>
      <c r="K35" s="231" t="s">
        <v>452</v>
      </c>
      <c r="L35" s="407">
        <v>1907.04</v>
      </c>
      <c r="M35" s="33">
        <v>0</v>
      </c>
      <c r="N35" s="34">
        <v>0</v>
      </c>
      <c r="O35" s="35"/>
      <c r="P35" s="235">
        <f t="shared" si="0"/>
        <v>14181.04</v>
      </c>
      <c r="Q35" s="236">
        <f t="shared" si="1"/>
        <v>14181.04</v>
      </c>
      <c r="R35" s="238">
        <v>0</v>
      </c>
      <c r="S35" s="37"/>
    </row>
    <row r="36" spans="1:19" ht="18" thickBot="1" x14ac:dyDescent="0.35">
      <c r="A36" s="23"/>
      <c r="B36" s="24">
        <v>45119</v>
      </c>
      <c r="C36" s="25">
        <v>37120</v>
      </c>
      <c r="D36" s="80" t="s">
        <v>484</v>
      </c>
      <c r="E36" s="27"/>
      <c r="F36" s="28"/>
      <c r="G36" s="29"/>
      <c r="H36" s="30"/>
      <c r="I36" s="31"/>
      <c r="J36" s="86">
        <v>45114</v>
      </c>
      <c r="K36" s="282" t="s">
        <v>391</v>
      </c>
      <c r="L36" s="407">
        <v>1392</v>
      </c>
      <c r="M36" s="33">
        <v>0</v>
      </c>
      <c r="N36" s="34">
        <v>0</v>
      </c>
      <c r="O36" s="35"/>
      <c r="P36" s="235">
        <f t="shared" si="0"/>
        <v>38512</v>
      </c>
      <c r="Q36" s="236">
        <f t="shared" si="1"/>
        <v>38512</v>
      </c>
      <c r="R36" s="238">
        <v>0</v>
      </c>
      <c r="S36" s="37"/>
    </row>
    <row r="37" spans="1:19" ht="18" thickBot="1" x14ac:dyDescent="0.35">
      <c r="A37" s="23"/>
      <c r="B37" s="24">
        <v>45124</v>
      </c>
      <c r="C37" s="25">
        <v>943600</v>
      </c>
      <c r="D37" s="94" t="s">
        <v>486</v>
      </c>
      <c r="E37" s="27"/>
      <c r="F37" s="28"/>
      <c r="G37" s="29"/>
      <c r="H37" s="30"/>
      <c r="I37" s="31"/>
      <c r="J37" s="86">
        <v>45114</v>
      </c>
      <c r="K37" s="282" t="s">
        <v>393</v>
      </c>
      <c r="L37" s="407">
        <v>1225.1199999999999</v>
      </c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>
        <v>45131</v>
      </c>
      <c r="C38" s="25">
        <v>12434</v>
      </c>
      <c r="D38" s="80" t="s">
        <v>487</v>
      </c>
      <c r="E38" s="27"/>
      <c r="F38" s="28"/>
      <c r="G38" s="29"/>
      <c r="H38" s="30"/>
      <c r="I38" s="31"/>
      <c r="J38" s="86">
        <v>45121</v>
      </c>
      <c r="K38" s="305" t="s">
        <v>485</v>
      </c>
      <c r="L38" s="407">
        <v>7656</v>
      </c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>
        <v>45132</v>
      </c>
      <c r="C39" s="25">
        <v>37120</v>
      </c>
      <c r="D39" s="80" t="s">
        <v>488</v>
      </c>
      <c r="E39" s="27"/>
      <c r="F39" s="28"/>
      <c r="G39" s="29"/>
      <c r="H39" s="30"/>
      <c r="I39" s="31"/>
      <c r="J39" s="86">
        <v>45128</v>
      </c>
      <c r="K39" s="319" t="s">
        <v>111</v>
      </c>
      <c r="L39" s="312">
        <v>549</v>
      </c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>
        <v>45135</v>
      </c>
      <c r="K40" s="285" t="s">
        <v>109</v>
      </c>
      <c r="L40" s="312">
        <v>1031.47</v>
      </c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31.5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45137</v>
      </c>
      <c r="K41" s="330" t="s">
        <v>392</v>
      </c>
      <c r="L41" s="312">
        <v>1032.9000000000001</v>
      </c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231"/>
      <c r="L42" s="281"/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/>
      <c r="K43" s="89"/>
      <c r="L43" s="281"/>
      <c r="M43" s="33">
        <v>0</v>
      </c>
      <c r="N43" s="34">
        <v>0</v>
      </c>
      <c r="O43" s="35"/>
      <c r="P43" s="240">
        <v>0</v>
      </c>
      <c r="Q43" s="236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236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89"/>
      <c r="L45" s="281"/>
      <c r="M45" s="371">
        <f>SUM(M5:M39)</f>
        <v>3725440</v>
      </c>
      <c r="N45" s="356">
        <f>SUM(N5:N39)</f>
        <v>22373</v>
      </c>
      <c r="P45" s="98">
        <f t="shared" si="0"/>
        <v>3747813</v>
      </c>
      <c r="Q45" s="236">
        <f>SUM(Q5:Q44)</f>
        <v>922156.04</v>
      </c>
      <c r="R45" s="329">
        <f>SUM(R5:R39)</f>
        <v>54468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72"/>
      <c r="N46" s="357"/>
      <c r="P46" s="36"/>
      <c r="Q46" s="236">
        <f t="shared" si="1"/>
        <v>0</v>
      </c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236">
        <f t="shared" si="1"/>
        <v>0</v>
      </c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1980250</v>
      </c>
      <c r="D49" s="123"/>
      <c r="E49" s="124" t="s">
        <v>10</v>
      </c>
      <c r="F49" s="125">
        <f>SUM(F5:F48)</f>
        <v>3815531</v>
      </c>
      <c r="G49" s="123"/>
      <c r="H49" s="126" t="s">
        <v>11</v>
      </c>
      <c r="I49" s="127">
        <f>SUM(I5:I48)</f>
        <v>3183</v>
      </c>
      <c r="J49" s="290"/>
      <c r="K49" s="291" t="s">
        <v>12</v>
      </c>
      <c r="L49" s="292">
        <f>SUM(L5:L48)</f>
        <v>65689.53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58" t="s">
        <v>13</v>
      </c>
      <c r="I51" s="359"/>
      <c r="J51" s="135"/>
      <c r="K51" s="360">
        <f>I49+L49</f>
        <v>68872.53</v>
      </c>
      <c r="L51" s="361"/>
      <c r="M51" s="362">
        <f>N45+M45</f>
        <v>3747813</v>
      </c>
      <c r="N51" s="363"/>
      <c r="P51" s="36"/>
      <c r="Q51" s="9"/>
    </row>
    <row r="52" spans="1:17" x14ac:dyDescent="0.25">
      <c r="D52" s="355" t="s">
        <v>14</v>
      </c>
      <c r="E52" s="355"/>
      <c r="F52" s="136">
        <f>F49-K51-C49</f>
        <v>1766408.4700000002</v>
      </c>
      <c r="I52" s="137"/>
      <c r="J52" s="138"/>
      <c r="P52" s="36"/>
      <c r="Q52" s="9"/>
    </row>
    <row r="53" spans="1:17" x14ac:dyDescent="0.25">
      <c r="D53" s="373" t="s">
        <v>15</v>
      </c>
      <c r="E53" s="373"/>
      <c r="F53" s="131">
        <v>-2396693.7400000002</v>
      </c>
      <c r="I53" s="374" t="s">
        <v>16</v>
      </c>
      <c r="J53" s="375"/>
      <c r="K53" s="388">
        <f>F55+F56+F57</f>
        <v>-170615.15000000002</v>
      </c>
      <c r="L53" s="389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  <c r="Q54" s="9"/>
    </row>
    <row r="55" spans="1:17" ht="16.5" thickTop="1" x14ac:dyDescent="0.25">
      <c r="C55" s="5" t="s">
        <v>9</v>
      </c>
      <c r="E55" s="133" t="s">
        <v>17</v>
      </c>
      <c r="F55" s="131">
        <f>SUM(F52:F54)</f>
        <v>-630285.27</v>
      </c>
      <c r="H55" s="23"/>
      <c r="I55" s="146" t="s">
        <v>18</v>
      </c>
      <c r="J55" s="147"/>
      <c r="K55" s="390">
        <f>-C4</f>
        <v>-359108.11</v>
      </c>
      <c r="L55" s="391"/>
      <c r="Q55" s="9"/>
    </row>
    <row r="56" spans="1:17" ht="16.5" thickBot="1" x14ac:dyDescent="0.3">
      <c r="D56" s="148" t="s">
        <v>19</v>
      </c>
      <c r="E56" s="133" t="s">
        <v>20</v>
      </c>
      <c r="F56" s="149">
        <v>101442</v>
      </c>
    </row>
    <row r="57" spans="1:17" ht="20.25" thickTop="1" thickBot="1" x14ac:dyDescent="0.35">
      <c r="C57" s="150">
        <v>45137</v>
      </c>
      <c r="D57" s="380" t="s">
        <v>21</v>
      </c>
      <c r="E57" s="381"/>
      <c r="F57" s="316">
        <v>358228.12</v>
      </c>
      <c r="I57" s="392" t="s">
        <v>170</v>
      </c>
      <c r="J57" s="393"/>
      <c r="K57" s="402">
        <f>K53+K55</f>
        <v>-529723.26</v>
      </c>
      <c r="L57" s="402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sortState ref="J34:L41">
    <sortCondition ref="J34:J41"/>
  </sortState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workbookViewId="0">
      <pane ySplit="2" topLeftCell="A49" activePane="bottomLeft" state="frozen"/>
      <selection pane="bottomLeft" activeCell="C82" sqref="C82"/>
    </sheetView>
  </sheetViews>
  <sheetFormatPr baseColWidth="10" defaultRowHeight="15.75" x14ac:dyDescent="0.25"/>
  <cols>
    <col min="1" max="1" width="14.85546875" style="156" bestFit="1" customWidth="1"/>
    <col min="2" max="2" width="16.42578125" style="207" customWidth="1"/>
    <col min="3" max="3" width="19.5703125" style="1" bestFit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333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334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335">
        <v>45110</v>
      </c>
      <c r="B3" s="341" t="s">
        <v>394</v>
      </c>
      <c r="C3" s="322">
        <v>127061.9</v>
      </c>
      <c r="D3" s="244"/>
      <c r="E3" s="220"/>
      <c r="F3" s="180">
        <f>C3-E3</f>
        <v>127061.9</v>
      </c>
    </row>
    <row r="4" spans="1:7" ht="22.5" customHeight="1" x14ac:dyDescent="0.25">
      <c r="A4" s="335">
        <v>45111</v>
      </c>
      <c r="B4" s="341" t="s">
        <v>395</v>
      </c>
      <c r="C4" s="322">
        <v>106089.8</v>
      </c>
      <c r="D4" s="244"/>
      <c r="E4" s="220"/>
      <c r="F4" s="183">
        <f>C4-E4+F3</f>
        <v>233151.7</v>
      </c>
    </row>
    <row r="5" spans="1:7" ht="21" customHeight="1" x14ac:dyDescent="0.25">
      <c r="A5" s="335">
        <v>45112</v>
      </c>
      <c r="B5" s="341" t="s">
        <v>396</v>
      </c>
      <c r="C5" s="322">
        <v>148542.16</v>
      </c>
      <c r="D5" s="244"/>
      <c r="E5" s="220"/>
      <c r="F5" s="183">
        <f t="shared" ref="F5:F68" si="0">C5-E5+F4</f>
        <v>381693.86</v>
      </c>
    </row>
    <row r="6" spans="1:7" ht="21" customHeight="1" x14ac:dyDescent="0.3">
      <c r="A6" s="335">
        <v>45113</v>
      </c>
      <c r="B6" s="341" t="s">
        <v>397</v>
      </c>
      <c r="C6" s="322">
        <v>91606.01</v>
      </c>
      <c r="D6" s="244"/>
      <c r="E6" s="220"/>
      <c r="F6" s="183">
        <f t="shared" si="0"/>
        <v>473299.87</v>
      </c>
      <c r="G6" s="184"/>
    </row>
    <row r="7" spans="1:7" ht="21" customHeight="1" x14ac:dyDescent="0.25">
      <c r="A7" s="335">
        <v>45114</v>
      </c>
      <c r="B7" s="341" t="s">
        <v>398</v>
      </c>
      <c r="C7" s="322">
        <v>139761.34</v>
      </c>
      <c r="D7" s="244"/>
      <c r="E7" s="220"/>
      <c r="F7" s="183">
        <f t="shared" si="0"/>
        <v>613061.21</v>
      </c>
    </row>
    <row r="8" spans="1:7" ht="21" customHeight="1" x14ac:dyDescent="0.25">
      <c r="A8" s="335">
        <v>45114</v>
      </c>
      <c r="B8" s="341" t="s">
        <v>399</v>
      </c>
      <c r="C8" s="322">
        <v>19507.55</v>
      </c>
      <c r="D8" s="244"/>
      <c r="E8" s="220"/>
      <c r="F8" s="183">
        <f t="shared" si="0"/>
        <v>632568.76</v>
      </c>
    </row>
    <row r="9" spans="1:7" ht="21" customHeight="1" x14ac:dyDescent="0.25">
      <c r="A9" s="335">
        <v>45115</v>
      </c>
      <c r="B9" s="341" t="s">
        <v>400</v>
      </c>
      <c r="C9" s="322">
        <v>13626</v>
      </c>
      <c r="D9" s="181"/>
      <c r="E9" s="149"/>
      <c r="F9" s="183">
        <f t="shared" si="0"/>
        <v>646194.76</v>
      </c>
    </row>
    <row r="10" spans="1:7" ht="21" customHeight="1" x14ac:dyDescent="0.25">
      <c r="A10" s="335">
        <v>45115</v>
      </c>
      <c r="B10" s="341" t="s">
        <v>401</v>
      </c>
      <c r="C10" s="322">
        <v>137491.6</v>
      </c>
      <c r="D10" s="181"/>
      <c r="E10" s="149"/>
      <c r="F10" s="183">
        <f t="shared" si="0"/>
        <v>783686.36</v>
      </c>
    </row>
    <row r="11" spans="1:7" ht="21" customHeight="1" x14ac:dyDescent="0.25">
      <c r="A11" s="335">
        <v>45115</v>
      </c>
      <c r="B11" s="341" t="s">
        <v>403</v>
      </c>
      <c r="C11" s="322">
        <v>86570.4</v>
      </c>
      <c r="D11" s="181"/>
      <c r="E11" s="149"/>
      <c r="F11" s="183">
        <f t="shared" si="0"/>
        <v>870256.76</v>
      </c>
    </row>
    <row r="12" spans="1:7" ht="21" customHeight="1" x14ac:dyDescent="0.3">
      <c r="A12" s="335">
        <v>45117</v>
      </c>
      <c r="B12" s="341" t="s">
        <v>402</v>
      </c>
      <c r="C12" s="322">
        <v>76708.800000000003</v>
      </c>
      <c r="D12" s="181"/>
      <c r="E12" s="149"/>
      <c r="F12" s="183">
        <f t="shared" si="0"/>
        <v>946965.56</v>
      </c>
      <c r="G12" s="184"/>
    </row>
    <row r="13" spans="1:7" ht="21" customHeight="1" x14ac:dyDescent="0.25">
      <c r="A13" s="335">
        <v>45117</v>
      </c>
      <c r="B13" s="341" t="s">
        <v>404</v>
      </c>
      <c r="C13" s="322">
        <v>47903.7</v>
      </c>
      <c r="D13" s="181"/>
      <c r="E13" s="149"/>
      <c r="F13" s="183">
        <f t="shared" si="0"/>
        <v>994869.26</v>
      </c>
    </row>
    <row r="14" spans="1:7" ht="21" customHeight="1" x14ac:dyDescent="0.25">
      <c r="A14" s="335">
        <v>45118</v>
      </c>
      <c r="B14" s="341" t="s">
        <v>405</v>
      </c>
      <c r="C14" s="322">
        <v>48347.37</v>
      </c>
      <c r="D14" s="181"/>
      <c r="E14" s="149"/>
      <c r="F14" s="183">
        <f t="shared" si="0"/>
        <v>1043216.63</v>
      </c>
    </row>
    <row r="15" spans="1:7" ht="21" customHeight="1" x14ac:dyDescent="0.25">
      <c r="A15" s="335">
        <v>45118</v>
      </c>
      <c r="B15" s="341" t="s">
        <v>406</v>
      </c>
      <c r="C15" s="322">
        <v>0</v>
      </c>
      <c r="D15" s="181"/>
      <c r="E15" s="149"/>
      <c r="F15" s="183">
        <f t="shared" si="0"/>
        <v>1043216.63</v>
      </c>
    </row>
    <row r="16" spans="1:7" ht="21" customHeight="1" x14ac:dyDescent="0.25">
      <c r="A16" s="335">
        <v>45119</v>
      </c>
      <c r="B16" s="341" t="s">
        <v>407</v>
      </c>
      <c r="C16" s="322">
        <v>0</v>
      </c>
      <c r="D16" s="181"/>
      <c r="E16" s="149"/>
      <c r="F16" s="183">
        <f t="shared" si="0"/>
        <v>1043216.63</v>
      </c>
    </row>
    <row r="17" spans="1:10" ht="21" customHeight="1" x14ac:dyDescent="0.25">
      <c r="A17" s="335">
        <v>45119</v>
      </c>
      <c r="B17" s="341" t="s">
        <v>408</v>
      </c>
      <c r="C17" s="322">
        <v>66833.850000000006</v>
      </c>
      <c r="D17" s="181"/>
      <c r="E17" s="149"/>
      <c r="F17" s="183">
        <f t="shared" si="0"/>
        <v>1110050.48</v>
      </c>
    </row>
    <row r="18" spans="1:10" ht="21" customHeight="1" x14ac:dyDescent="0.25">
      <c r="A18" s="335">
        <v>45119</v>
      </c>
      <c r="B18" s="341" t="s">
        <v>409</v>
      </c>
      <c r="C18" s="322">
        <v>1345.4</v>
      </c>
      <c r="D18" s="181"/>
      <c r="E18" s="149"/>
      <c r="F18" s="183">
        <f t="shared" si="0"/>
        <v>1111395.8799999999</v>
      </c>
      <c r="J18" s="133" t="s">
        <v>363</v>
      </c>
    </row>
    <row r="19" spans="1:10" ht="21" customHeight="1" x14ac:dyDescent="0.25">
      <c r="A19" s="335">
        <v>45120</v>
      </c>
      <c r="B19" s="341" t="s">
        <v>410</v>
      </c>
      <c r="C19" s="322">
        <v>62164.47</v>
      </c>
      <c r="D19" s="181"/>
      <c r="E19" s="149"/>
      <c r="F19" s="183">
        <f t="shared" si="0"/>
        <v>1173560.3499999999</v>
      </c>
    </row>
    <row r="20" spans="1:10" ht="21" customHeight="1" x14ac:dyDescent="0.25">
      <c r="A20" s="335">
        <v>45121</v>
      </c>
      <c r="B20" s="341" t="s">
        <v>411</v>
      </c>
      <c r="C20" s="322">
        <v>51273.68</v>
      </c>
      <c r="D20" s="181"/>
      <c r="E20" s="149"/>
      <c r="F20" s="183">
        <f t="shared" si="0"/>
        <v>1224834.0299999998</v>
      </c>
    </row>
    <row r="21" spans="1:10" ht="24.75" customHeight="1" x14ac:dyDescent="0.25">
      <c r="A21" s="335">
        <v>45122</v>
      </c>
      <c r="B21" s="341" t="s">
        <v>412</v>
      </c>
      <c r="C21" s="322">
        <v>0</v>
      </c>
      <c r="D21" s="181"/>
      <c r="E21" s="149"/>
      <c r="F21" s="183">
        <f t="shared" si="0"/>
        <v>1224834.0299999998</v>
      </c>
    </row>
    <row r="22" spans="1:10" ht="21" customHeight="1" x14ac:dyDescent="0.25">
      <c r="A22" s="335">
        <v>45122</v>
      </c>
      <c r="B22" s="341" t="s">
        <v>413</v>
      </c>
      <c r="C22" s="322">
        <v>49319.38</v>
      </c>
      <c r="D22" s="181"/>
      <c r="E22" s="149"/>
      <c r="F22" s="183">
        <f t="shared" si="0"/>
        <v>1274153.4099999997</v>
      </c>
    </row>
    <row r="23" spans="1:10" ht="24.75" customHeight="1" x14ac:dyDescent="0.25">
      <c r="A23" s="335">
        <v>45122</v>
      </c>
      <c r="B23" s="341" t="s">
        <v>414</v>
      </c>
      <c r="C23" s="322">
        <v>19983.599999999999</v>
      </c>
      <c r="D23" s="181"/>
      <c r="E23" s="149"/>
      <c r="F23" s="183">
        <f t="shared" si="0"/>
        <v>1294137.0099999998</v>
      </c>
    </row>
    <row r="24" spans="1:10" ht="21" customHeight="1" x14ac:dyDescent="0.3">
      <c r="A24" s="335">
        <v>45122</v>
      </c>
      <c r="B24" s="341" t="s">
        <v>415</v>
      </c>
      <c r="C24" s="322">
        <v>60011.519999999997</v>
      </c>
      <c r="D24" s="181"/>
      <c r="E24" s="149"/>
      <c r="F24" s="183">
        <f t="shared" si="0"/>
        <v>1354148.5299999998</v>
      </c>
      <c r="G24" s="184"/>
    </row>
    <row r="25" spans="1:10" ht="21" customHeight="1" x14ac:dyDescent="0.25">
      <c r="A25" s="335">
        <v>45124</v>
      </c>
      <c r="B25" s="341" t="s">
        <v>416</v>
      </c>
      <c r="C25" s="322">
        <v>73787.100000000006</v>
      </c>
      <c r="D25" s="181"/>
      <c r="E25" s="149"/>
      <c r="F25" s="183">
        <f t="shared" si="0"/>
        <v>1427935.63</v>
      </c>
    </row>
    <row r="26" spans="1:10" ht="21" customHeight="1" x14ac:dyDescent="0.25">
      <c r="A26" s="335">
        <v>45124</v>
      </c>
      <c r="B26" s="341" t="s">
        <v>417</v>
      </c>
      <c r="C26" s="322">
        <v>81209.850000000006</v>
      </c>
      <c r="D26" s="181"/>
      <c r="E26" s="149"/>
      <c r="F26" s="183">
        <f t="shared" si="0"/>
        <v>1509145.48</v>
      </c>
    </row>
    <row r="27" spans="1:10" ht="21" customHeight="1" x14ac:dyDescent="0.25">
      <c r="A27" s="335">
        <v>45124</v>
      </c>
      <c r="B27" s="341" t="s">
        <v>418</v>
      </c>
      <c r="C27" s="322">
        <v>0</v>
      </c>
      <c r="D27" s="181"/>
      <c r="E27" s="149"/>
      <c r="F27" s="183">
        <f t="shared" si="0"/>
        <v>1509145.48</v>
      </c>
    </row>
    <row r="28" spans="1:10" ht="21" customHeight="1" x14ac:dyDescent="0.25">
      <c r="A28" s="335">
        <v>45125</v>
      </c>
      <c r="B28" s="341" t="s">
        <v>419</v>
      </c>
      <c r="C28" s="322">
        <v>16014</v>
      </c>
      <c r="D28" s="181"/>
      <c r="E28" s="149"/>
      <c r="F28" s="183">
        <f t="shared" si="0"/>
        <v>1525159.48</v>
      </c>
    </row>
    <row r="29" spans="1:10" ht="21" customHeight="1" x14ac:dyDescent="0.25">
      <c r="A29" s="335">
        <v>45125</v>
      </c>
      <c r="B29" s="341" t="s">
        <v>420</v>
      </c>
      <c r="C29" s="322">
        <v>0</v>
      </c>
      <c r="D29" s="181"/>
      <c r="E29" s="149"/>
      <c r="F29" s="183">
        <f t="shared" si="0"/>
        <v>1525159.48</v>
      </c>
      <c r="J29" s="149">
        <v>0</v>
      </c>
    </row>
    <row r="30" spans="1:10" ht="21" customHeight="1" x14ac:dyDescent="0.25">
      <c r="A30" s="335">
        <v>45125</v>
      </c>
      <c r="B30" s="341" t="s">
        <v>421</v>
      </c>
      <c r="C30" s="322">
        <v>17158</v>
      </c>
      <c r="D30" s="181"/>
      <c r="E30" s="149"/>
      <c r="F30" s="183">
        <f t="shared" si="0"/>
        <v>1542317.48</v>
      </c>
      <c r="J30" s="149">
        <v>0</v>
      </c>
    </row>
    <row r="31" spans="1:10" ht="21" customHeight="1" x14ac:dyDescent="0.25">
      <c r="A31" s="335">
        <v>45125</v>
      </c>
      <c r="B31" s="341" t="s">
        <v>422</v>
      </c>
      <c r="C31" s="322">
        <v>39357.599999999999</v>
      </c>
      <c r="D31" s="181"/>
      <c r="E31" s="149"/>
      <c r="F31" s="183">
        <f t="shared" si="0"/>
        <v>1581675.08</v>
      </c>
      <c r="J31" s="149">
        <v>0</v>
      </c>
    </row>
    <row r="32" spans="1:10" ht="21" customHeight="1" x14ac:dyDescent="0.3">
      <c r="A32" s="335">
        <v>45126</v>
      </c>
      <c r="B32" s="341" t="s">
        <v>423</v>
      </c>
      <c r="C32" s="322">
        <v>79733.740000000005</v>
      </c>
      <c r="D32" s="181"/>
      <c r="E32" s="149"/>
      <c r="F32" s="183">
        <f t="shared" si="0"/>
        <v>1661408.82</v>
      </c>
      <c r="G32" s="184"/>
      <c r="J32" s="149">
        <v>0</v>
      </c>
    </row>
    <row r="33" spans="1:10" ht="21" customHeight="1" x14ac:dyDescent="0.25">
      <c r="A33" s="335">
        <v>45126</v>
      </c>
      <c r="B33" s="341" t="s">
        <v>424</v>
      </c>
      <c r="C33" s="322">
        <v>0</v>
      </c>
      <c r="D33" s="181"/>
      <c r="E33" s="149"/>
      <c r="F33" s="183">
        <f t="shared" si="0"/>
        <v>1661408.82</v>
      </c>
      <c r="J33" s="149">
        <v>0</v>
      </c>
    </row>
    <row r="34" spans="1:10" ht="21" customHeight="1" x14ac:dyDescent="0.25">
      <c r="A34" s="335">
        <v>45126</v>
      </c>
      <c r="B34" s="341" t="s">
        <v>425</v>
      </c>
      <c r="C34" s="322">
        <v>594</v>
      </c>
      <c r="D34" s="181"/>
      <c r="E34" s="149"/>
      <c r="F34" s="183">
        <f t="shared" si="0"/>
        <v>1662002.82</v>
      </c>
      <c r="J34" s="149">
        <v>0</v>
      </c>
    </row>
    <row r="35" spans="1:10" ht="23.25" customHeight="1" x14ac:dyDescent="0.25">
      <c r="A35" s="335">
        <v>45126</v>
      </c>
      <c r="B35" s="341" t="s">
        <v>426</v>
      </c>
      <c r="C35" s="322">
        <v>0</v>
      </c>
      <c r="D35" s="181"/>
      <c r="E35" s="149"/>
      <c r="F35" s="183">
        <f t="shared" si="0"/>
        <v>1662002.82</v>
      </c>
      <c r="J35" s="149">
        <v>0</v>
      </c>
    </row>
    <row r="36" spans="1:10" ht="23.25" customHeight="1" x14ac:dyDescent="0.25">
      <c r="A36" s="335">
        <v>45127</v>
      </c>
      <c r="B36" s="341" t="s">
        <v>427</v>
      </c>
      <c r="C36" s="322">
        <v>0</v>
      </c>
      <c r="D36" s="181"/>
      <c r="E36" s="149"/>
      <c r="F36" s="183">
        <f t="shared" si="0"/>
        <v>1662002.82</v>
      </c>
      <c r="J36" s="133">
        <v>0</v>
      </c>
    </row>
    <row r="37" spans="1:10" ht="23.25" customHeight="1" x14ac:dyDescent="0.25">
      <c r="A37" s="335">
        <v>45127</v>
      </c>
      <c r="B37" s="341" t="s">
        <v>428</v>
      </c>
      <c r="C37" s="322">
        <v>89753.15</v>
      </c>
      <c r="D37" s="181"/>
      <c r="E37" s="149"/>
      <c r="F37" s="183">
        <f t="shared" si="0"/>
        <v>1751755.97</v>
      </c>
      <c r="J37" s="187">
        <f>SUM(J29:J36)</f>
        <v>0</v>
      </c>
    </row>
    <row r="38" spans="1:10" ht="23.25" customHeight="1" x14ac:dyDescent="0.25">
      <c r="A38" s="335">
        <v>45128</v>
      </c>
      <c r="B38" s="341" t="s">
        <v>429</v>
      </c>
      <c r="C38" s="322">
        <v>8469.0499999999993</v>
      </c>
      <c r="D38" s="181"/>
      <c r="E38" s="149"/>
      <c r="F38" s="183">
        <f t="shared" si="0"/>
        <v>1760225.02</v>
      </c>
    </row>
    <row r="39" spans="1:10" ht="23.25" customHeight="1" x14ac:dyDescent="0.25">
      <c r="A39" s="335">
        <v>45128</v>
      </c>
      <c r="B39" s="341" t="s">
        <v>430</v>
      </c>
      <c r="C39" s="322">
        <v>69894.600000000006</v>
      </c>
      <c r="D39" s="181"/>
      <c r="E39" s="149"/>
      <c r="F39" s="183">
        <f t="shared" si="0"/>
        <v>1830119.62</v>
      </c>
    </row>
    <row r="40" spans="1:10" ht="23.25" customHeight="1" x14ac:dyDescent="0.25">
      <c r="A40" s="335">
        <v>45128</v>
      </c>
      <c r="B40" s="341" t="s">
        <v>431</v>
      </c>
      <c r="C40" s="322">
        <v>0</v>
      </c>
      <c r="D40" s="181"/>
      <c r="E40" s="100"/>
      <c r="F40" s="183">
        <f t="shared" si="0"/>
        <v>1830119.62</v>
      </c>
    </row>
    <row r="41" spans="1:10" ht="23.25" customHeight="1" x14ac:dyDescent="0.25">
      <c r="A41" s="335">
        <v>45128</v>
      </c>
      <c r="B41" s="341" t="s">
        <v>432</v>
      </c>
      <c r="C41" s="322">
        <v>3432.8</v>
      </c>
      <c r="D41" s="181"/>
      <c r="E41" s="100"/>
      <c r="F41" s="183">
        <f t="shared" si="0"/>
        <v>1833552.4200000002</v>
      </c>
    </row>
    <row r="42" spans="1:10" ht="23.25" customHeight="1" x14ac:dyDescent="0.25">
      <c r="A42" s="335">
        <v>45128</v>
      </c>
      <c r="B42" s="341" t="s">
        <v>433</v>
      </c>
      <c r="C42" s="322">
        <v>0</v>
      </c>
      <c r="D42" s="185"/>
      <c r="E42" s="100"/>
      <c r="F42" s="183">
        <f t="shared" si="0"/>
        <v>1833552.4200000002</v>
      </c>
    </row>
    <row r="43" spans="1:10" ht="23.25" customHeight="1" x14ac:dyDescent="0.25">
      <c r="A43" s="335">
        <v>45129</v>
      </c>
      <c r="B43" s="341" t="s">
        <v>434</v>
      </c>
      <c r="C43" s="322">
        <v>0</v>
      </c>
      <c r="D43" s="192"/>
      <c r="E43" s="100"/>
      <c r="F43" s="183">
        <f t="shared" si="0"/>
        <v>1833552.4200000002</v>
      </c>
    </row>
    <row r="44" spans="1:10" ht="23.25" customHeight="1" x14ac:dyDescent="0.25">
      <c r="A44" s="335">
        <v>45129</v>
      </c>
      <c r="B44" s="341" t="s">
        <v>435</v>
      </c>
      <c r="C44" s="322">
        <v>55115.4</v>
      </c>
      <c r="D44" s="192"/>
      <c r="E44" s="100"/>
      <c r="F44" s="183">
        <f t="shared" si="0"/>
        <v>1888667.82</v>
      </c>
    </row>
    <row r="45" spans="1:10" ht="23.25" customHeight="1" x14ac:dyDescent="0.25">
      <c r="A45" s="335">
        <v>45129</v>
      </c>
      <c r="B45" s="341" t="s">
        <v>436</v>
      </c>
      <c r="C45" s="322">
        <v>66157.350000000006</v>
      </c>
      <c r="D45" s="192"/>
      <c r="E45" s="100"/>
      <c r="F45" s="183">
        <f t="shared" si="0"/>
        <v>1954825.1700000002</v>
      </c>
    </row>
    <row r="46" spans="1:10" ht="23.25" customHeight="1" x14ac:dyDescent="0.25">
      <c r="A46" s="335">
        <v>45129</v>
      </c>
      <c r="B46" s="341" t="s">
        <v>437</v>
      </c>
      <c r="C46" s="322">
        <v>1730.4</v>
      </c>
      <c r="D46" s="192"/>
      <c r="E46" s="100"/>
      <c r="F46" s="183">
        <f t="shared" si="0"/>
        <v>1956555.57</v>
      </c>
    </row>
    <row r="47" spans="1:10" ht="23.25" customHeight="1" x14ac:dyDescent="0.25">
      <c r="A47" s="335">
        <v>45131</v>
      </c>
      <c r="B47" s="341" t="s">
        <v>438</v>
      </c>
      <c r="C47" s="322">
        <v>8367.4</v>
      </c>
      <c r="D47" s="192"/>
      <c r="E47" s="100"/>
      <c r="F47" s="183">
        <f t="shared" si="0"/>
        <v>1964922.97</v>
      </c>
    </row>
    <row r="48" spans="1:10" ht="23.25" customHeight="1" x14ac:dyDescent="0.25">
      <c r="A48" s="335">
        <v>45131</v>
      </c>
      <c r="B48" s="341" t="s">
        <v>439</v>
      </c>
      <c r="C48" s="322">
        <v>69725.83</v>
      </c>
      <c r="D48" s="192"/>
      <c r="E48" s="100"/>
      <c r="F48" s="183">
        <f t="shared" si="0"/>
        <v>2034648.8</v>
      </c>
    </row>
    <row r="49" spans="1:6" ht="23.25" customHeight="1" x14ac:dyDescent="0.25">
      <c r="A49" s="335">
        <v>45133</v>
      </c>
      <c r="B49" s="341" t="s">
        <v>440</v>
      </c>
      <c r="C49" s="322">
        <v>71238.23</v>
      </c>
      <c r="D49" s="192"/>
      <c r="E49" s="100"/>
      <c r="F49" s="183">
        <f t="shared" si="0"/>
        <v>2105887.0300000003</v>
      </c>
    </row>
    <row r="50" spans="1:6" ht="23.25" customHeight="1" x14ac:dyDescent="0.25">
      <c r="A50" s="335">
        <v>45133</v>
      </c>
      <c r="B50" s="341" t="s">
        <v>441</v>
      </c>
      <c r="C50" s="322">
        <v>0</v>
      </c>
      <c r="D50" s="192"/>
      <c r="E50" s="100"/>
      <c r="F50" s="183">
        <f t="shared" si="0"/>
        <v>2105887.0300000003</v>
      </c>
    </row>
    <row r="51" spans="1:6" ht="23.25" customHeight="1" x14ac:dyDescent="0.25">
      <c r="A51" s="335">
        <v>45134</v>
      </c>
      <c r="B51" s="341" t="s">
        <v>442</v>
      </c>
      <c r="C51" s="322">
        <v>0</v>
      </c>
      <c r="D51" s="192"/>
      <c r="E51" s="100"/>
      <c r="F51" s="183">
        <f t="shared" si="0"/>
        <v>2105887.0300000003</v>
      </c>
    </row>
    <row r="52" spans="1:6" ht="23.25" customHeight="1" x14ac:dyDescent="0.25">
      <c r="A52" s="336">
        <v>45134</v>
      </c>
      <c r="B52" s="248" t="s">
        <v>443</v>
      </c>
      <c r="C52" s="149">
        <v>68136.3</v>
      </c>
      <c r="D52" s="192"/>
      <c r="E52" s="100"/>
      <c r="F52" s="183">
        <f t="shared" si="0"/>
        <v>2174023.33</v>
      </c>
    </row>
    <row r="53" spans="1:6" ht="23.25" customHeight="1" x14ac:dyDescent="0.25">
      <c r="A53" s="336">
        <v>45135</v>
      </c>
      <c r="B53" s="248" t="s">
        <v>444</v>
      </c>
      <c r="C53" s="149">
        <v>331.8</v>
      </c>
      <c r="D53" s="192"/>
      <c r="E53" s="100"/>
      <c r="F53" s="183">
        <f t="shared" si="0"/>
        <v>2174355.13</v>
      </c>
    </row>
    <row r="54" spans="1:6" ht="23.25" customHeight="1" x14ac:dyDescent="0.25">
      <c r="A54" s="336">
        <v>45135</v>
      </c>
      <c r="B54" s="248" t="s">
        <v>445</v>
      </c>
      <c r="C54" s="149">
        <v>79638.87</v>
      </c>
      <c r="D54" s="192"/>
      <c r="E54" s="100"/>
      <c r="F54" s="183">
        <f t="shared" si="0"/>
        <v>2253994</v>
      </c>
    </row>
    <row r="55" spans="1:6" ht="23.25" customHeight="1" x14ac:dyDescent="0.25">
      <c r="A55" s="336">
        <v>45135</v>
      </c>
      <c r="B55" s="248" t="s">
        <v>446</v>
      </c>
      <c r="C55" s="149">
        <v>0</v>
      </c>
      <c r="D55" s="192"/>
      <c r="E55" s="100"/>
      <c r="F55" s="183">
        <f t="shared" si="0"/>
        <v>2253994</v>
      </c>
    </row>
    <row r="56" spans="1:6" ht="23.25" customHeight="1" x14ac:dyDescent="0.25">
      <c r="A56" s="336">
        <v>45135</v>
      </c>
      <c r="B56" s="248" t="s">
        <v>447</v>
      </c>
      <c r="C56" s="149">
        <v>27350.46</v>
      </c>
      <c r="D56" s="192"/>
      <c r="E56" s="100"/>
      <c r="F56" s="183">
        <f t="shared" si="0"/>
        <v>2281344.46</v>
      </c>
    </row>
    <row r="57" spans="1:6" ht="29.25" customHeight="1" x14ac:dyDescent="0.25">
      <c r="A57" s="337">
        <v>45136</v>
      </c>
      <c r="B57" s="194" t="s">
        <v>448</v>
      </c>
      <c r="C57" s="100">
        <v>0</v>
      </c>
      <c r="D57" s="192"/>
      <c r="E57" s="100"/>
      <c r="F57" s="183">
        <f t="shared" si="0"/>
        <v>2281344.46</v>
      </c>
    </row>
    <row r="58" spans="1:6" ht="29.25" customHeight="1" x14ac:dyDescent="0.25">
      <c r="A58" s="337">
        <v>45136</v>
      </c>
      <c r="B58" s="194" t="s">
        <v>449</v>
      </c>
      <c r="C58" s="100">
        <v>60701.279999999999</v>
      </c>
      <c r="D58" s="192"/>
      <c r="E58" s="100"/>
      <c r="F58" s="183">
        <f t="shared" si="0"/>
        <v>2342045.7399999998</v>
      </c>
    </row>
    <row r="59" spans="1:6" ht="29.25" customHeight="1" x14ac:dyDescent="0.25">
      <c r="A59" s="337">
        <v>45136</v>
      </c>
      <c r="B59" s="194" t="s">
        <v>450</v>
      </c>
      <c r="C59" s="100">
        <v>54648</v>
      </c>
      <c r="D59" s="192"/>
      <c r="E59" s="100"/>
      <c r="F59" s="183">
        <f t="shared" si="0"/>
        <v>2396693.7399999998</v>
      </c>
    </row>
    <row r="60" spans="1:6" ht="29.25" customHeight="1" x14ac:dyDescent="0.25">
      <c r="A60" s="337"/>
      <c r="B60" s="194"/>
      <c r="C60" s="100"/>
      <c r="D60" s="192"/>
      <c r="E60" s="100"/>
      <c r="F60" s="183">
        <f t="shared" si="0"/>
        <v>2396693.7399999998</v>
      </c>
    </row>
    <row r="61" spans="1:6" ht="29.25" customHeight="1" x14ac:dyDescent="0.25">
      <c r="A61" s="337"/>
      <c r="B61" s="194"/>
      <c r="C61" s="100"/>
      <c r="D61" s="192"/>
      <c r="E61" s="100"/>
      <c r="F61" s="183">
        <f t="shared" si="0"/>
        <v>2396693.7399999998</v>
      </c>
    </row>
    <row r="62" spans="1:6" ht="29.25" hidden="1" customHeight="1" x14ac:dyDescent="0.25">
      <c r="A62" s="338"/>
      <c r="B62" s="196"/>
      <c r="C62" s="36"/>
      <c r="D62" s="197"/>
      <c r="E62" s="36"/>
      <c r="F62" s="183">
        <f t="shared" si="0"/>
        <v>2396693.7399999998</v>
      </c>
    </row>
    <row r="63" spans="1:6" hidden="1" x14ac:dyDescent="0.25">
      <c r="A63" s="338"/>
      <c r="B63" s="196"/>
      <c r="C63" s="36"/>
      <c r="D63" s="197"/>
      <c r="E63" s="36"/>
      <c r="F63" s="183">
        <f t="shared" si="0"/>
        <v>2396693.7399999998</v>
      </c>
    </row>
    <row r="64" spans="1:6" hidden="1" x14ac:dyDescent="0.25">
      <c r="A64" s="338"/>
      <c r="B64" s="196"/>
      <c r="C64" s="36"/>
      <c r="D64" s="197"/>
      <c r="E64" s="36"/>
      <c r="F64" s="183">
        <f t="shared" si="0"/>
        <v>2396693.7399999998</v>
      </c>
    </row>
    <row r="65" spans="1:6" hidden="1" x14ac:dyDescent="0.25">
      <c r="A65" s="338"/>
      <c r="B65" s="196"/>
      <c r="C65" s="36"/>
      <c r="D65" s="197"/>
      <c r="E65" s="36"/>
      <c r="F65" s="183">
        <f t="shared" si="0"/>
        <v>2396693.7399999998</v>
      </c>
    </row>
    <row r="66" spans="1:6" hidden="1" x14ac:dyDescent="0.25">
      <c r="A66" s="338"/>
      <c r="B66" s="196"/>
      <c r="C66" s="36"/>
      <c r="D66" s="197"/>
      <c r="E66" s="36"/>
      <c r="F66" s="183">
        <f t="shared" si="0"/>
        <v>2396693.7399999998</v>
      </c>
    </row>
    <row r="67" spans="1:6" hidden="1" x14ac:dyDescent="0.25">
      <c r="A67" s="338"/>
      <c r="B67" s="196"/>
      <c r="C67" s="36"/>
      <c r="D67" s="197"/>
      <c r="E67" s="36"/>
      <c r="F67" s="183">
        <f t="shared" si="0"/>
        <v>2396693.7399999998</v>
      </c>
    </row>
    <row r="68" spans="1:6" hidden="1" x14ac:dyDescent="0.25">
      <c r="A68" s="337"/>
      <c r="B68" s="198"/>
      <c r="C68" s="100"/>
      <c r="D68" s="192"/>
      <c r="E68" s="100"/>
      <c r="F68" s="183">
        <f t="shared" si="0"/>
        <v>2396693.7399999998</v>
      </c>
    </row>
    <row r="69" spans="1:6" hidden="1" x14ac:dyDescent="0.25">
      <c r="A69" s="337"/>
      <c r="B69" s="198"/>
      <c r="C69" s="100"/>
      <c r="D69" s="192"/>
      <c r="E69" s="100"/>
      <c r="F69" s="183">
        <f t="shared" ref="F69:F78" si="1">C69-E69+F68</f>
        <v>2396693.7399999998</v>
      </c>
    </row>
    <row r="70" spans="1:6" hidden="1" x14ac:dyDescent="0.25">
      <c r="A70" s="337"/>
      <c r="B70" s="198"/>
      <c r="C70" s="100"/>
      <c r="D70" s="192"/>
      <c r="E70" s="100"/>
      <c r="F70" s="183">
        <f t="shared" si="1"/>
        <v>2396693.7399999998</v>
      </c>
    </row>
    <row r="71" spans="1:6" hidden="1" x14ac:dyDescent="0.25">
      <c r="A71" s="337"/>
      <c r="B71" s="198"/>
      <c r="C71" s="100"/>
      <c r="D71" s="192"/>
      <c r="E71" s="100"/>
      <c r="F71" s="183">
        <f t="shared" si="1"/>
        <v>2396693.7399999998</v>
      </c>
    </row>
    <row r="72" spans="1:6" hidden="1" x14ac:dyDescent="0.25">
      <c r="A72" s="337"/>
      <c r="B72" s="198"/>
      <c r="C72" s="100"/>
      <c r="D72" s="192"/>
      <c r="E72" s="100"/>
      <c r="F72" s="183">
        <f t="shared" si="1"/>
        <v>2396693.7399999998</v>
      </c>
    </row>
    <row r="73" spans="1:6" hidden="1" x14ac:dyDescent="0.25">
      <c r="A73" s="337"/>
      <c r="B73" s="198"/>
      <c r="C73" s="100"/>
      <c r="D73" s="192"/>
      <c r="E73" s="100"/>
      <c r="F73" s="183">
        <f t="shared" si="1"/>
        <v>2396693.7399999998</v>
      </c>
    </row>
    <row r="74" spans="1:6" hidden="1" x14ac:dyDescent="0.25">
      <c r="A74" s="337"/>
      <c r="B74" s="198"/>
      <c r="C74" s="100"/>
      <c r="D74" s="192"/>
      <c r="E74" s="100"/>
      <c r="F74" s="183">
        <f t="shared" si="1"/>
        <v>2396693.7399999998</v>
      </c>
    </row>
    <row r="75" spans="1:6" hidden="1" x14ac:dyDescent="0.25">
      <c r="A75" s="337"/>
      <c r="B75" s="198"/>
      <c r="C75" s="100"/>
      <c r="D75" s="192"/>
      <c r="E75" s="100"/>
      <c r="F75" s="183">
        <f t="shared" si="1"/>
        <v>2396693.7399999998</v>
      </c>
    </row>
    <row r="76" spans="1:6" hidden="1" x14ac:dyDescent="0.25">
      <c r="A76" s="337"/>
      <c r="B76" s="198"/>
      <c r="C76" s="100"/>
      <c r="D76" s="192"/>
      <c r="E76" s="100"/>
      <c r="F76" s="183">
        <f t="shared" si="1"/>
        <v>2396693.7399999998</v>
      </c>
    </row>
    <row r="77" spans="1:6" hidden="1" x14ac:dyDescent="0.25">
      <c r="A77" s="337"/>
      <c r="B77" s="198"/>
      <c r="C77" s="100"/>
      <c r="D77" s="192"/>
      <c r="E77" s="100"/>
      <c r="F77" s="183">
        <f t="shared" si="1"/>
        <v>2396693.7399999998</v>
      </c>
    </row>
    <row r="78" spans="1:6" ht="16.5" thickBot="1" x14ac:dyDescent="0.3">
      <c r="A78" s="339"/>
      <c r="B78" s="200"/>
      <c r="C78" s="36">
        <v>0</v>
      </c>
      <c r="D78" s="197"/>
      <c r="E78" s="36"/>
      <c r="F78" s="183">
        <f t="shared" si="1"/>
        <v>2396693.7399999998</v>
      </c>
    </row>
    <row r="79" spans="1:6" ht="39.75" customHeight="1" thickBot="1" x14ac:dyDescent="0.35">
      <c r="A79" s="340"/>
      <c r="B79" s="202"/>
      <c r="C79" s="317">
        <f>SUM(C3:C78)</f>
        <v>2396693.7399999998</v>
      </c>
      <c r="D79" s="175"/>
      <c r="E79" s="204">
        <f>SUM(E3:E78)</f>
        <v>0</v>
      </c>
      <c r="F79" s="205">
        <f>F78</f>
        <v>2396693.7399999998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U90"/>
  <sheetViews>
    <sheetView tabSelected="1" workbookViewId="0">
      <pane xSplit="1" ySplit="4" topLeftCell="B35" activePane="bottomRight" state="frozen"/>
      <selection pane="topRight" activeCell="B1" sqref="B1"/>
      <selection pane="bottomLeft" activeCell="A5" sqref="A5"/>
      <selection pane="bottomRight" activeCell="F46" sqref="F46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64"/>
      <c r="C1" s="366" t="s">
        <v>451</v>
      </c>
      <c r="D1" s="367"/>
      <c r="E1" s="367"/>
      <c r="F1" s="367"/>
      <c r="G1" s="367"/>
      <c r="H1" s="367"/>
      <c r="I1" s="367"/>
      <c r="J1" s="367"/>
      <c r="K1" s="367"/>
      <c r="L1" s="367"/>
      <c r="M1" s="367"/>
    </row>
    <row r="2" spans="1:21" ht="16.5" thickBot="1" x14ac:dyDescent="0.3">
      <c r="B2" s="365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68" t="s">
        <v>0</v>
      </c>
      <c r="C3" s="369"/>
      <c r="D3" s="10"/>
      <c r="E3" s="11"/>
      <c r="F3" s="11"/>
      <c r="H3" s="370" t="s">
        <v>1</v>
      </c>
      <c r="I3" s="370"/>
      <c r="K3" s="13"/>
      <c r="L3" s="13"/>
      <c r="M3" s="6"/>
      <c r="R3" s="400" t="s">
        <v>2</v>
      </c>
    </row>
    <row r="4" spans="1:21" ht="20.25" thickTop="1" thickBot="1" x14ac:dyDescent="0.35">
      <c r="A4" s="14" t="s">
        <v>3</v>
      </c>
      <c r="B4" s="15"/>
      <c r="C4" s="16">
        <v>358228.12</v>
      </c>
      <c r="D4" s="307">
        <v>45137</v>
      </c>
      <c r="E4" s="349" t="s">
        <v>4</v>
      </c>
      <c r="F4" s="350"/>
      <c r="H4" s="351" t="s">
        <v>5</v>
      </c>
      <c r="I4" s="352"/>
      <c r="J4" s="255"/>
      <c r="K4" s="256"/>
      <c r="L4" s="16"/>
      <c r="M4" s="21" t="s">
        <v>6</v>
      </c>
      <c r="N4" s="22" t="s">
        <v>7</v>
      </c>
      <c r="P4" s="386" t="s">
        <v>8</v>
      </c>
      <c r="Q4" s="387"/>
      <c r="R4" s="401"/>
    </row>
    <row r="5" spans="1:21" ht="18" thickBot="1" x14ac:dyDescent="0.35">
      <c r="A5" s="23" t="s">
        <v>9</v>
      </c>
      <c r="B5" s="24">
        <v>45138</v>
      </c>
      <c r="C5" s="25"/>
      <c r="D5" s="26"/>
      <c r="E5" s="27">
        <v>45138</v>
      </c>
      <c r="F5" s="28"/>
      <c r="G5" s="29"/>
      <c r="H5" s="30">
        <v>45138</v>
      </c>
      <c r="I5" s="31"/>
      <c r="J5" s="251"/>
      <c r="K5" s="257"/>
      <c r="L5" s="13"/>
      <c r="M5" s="33">
        <v>0</v>
      </c>
      <c r="N5" s="34">
        <v>0</v>
      </c>
      <c r="O5" s="35"/>
      <c r="P5" s="235">
        <f>N5+M5+L5+I5+C5</f>
        <v>0</v>
      </c>
      <c r="Q5" s="236">
        <v>0</v>
      </c>
      <c r="R5" s="238">
        <f>M5-F5</f>
        <v>0</v>
      </c>
      <c r="S5" s="37"/>
    </row>
    <row r="6" spans="1:21" ht="18" thickBot="1" x14ac:dyDescent="0.35">
      <c r="A6" s="23"/>
      <c r="B6" s="24">
        <v>45139</v>
      </c>
      <c r="C6" s="25"/>
      <c r="D6" s="38"/>
      <c r="E6" s="27">
        <v>45139</v>
      </c>
      <c r="F6" s="28"/>
      <c r="G6" s="29"/>
      <c r="H6" s="30">
        <v>45139</v>
      </c>
      <c r="I6" s="31"/>
      <c r="J6" s="258"/>
      <c r="K6" s="71"/>
      <c r="L6" s="259"/>
      <c r="M6" s="33">
        <v>0</v>
      </c>
      <c r="N6" s="34">
        <v>0</v>
      </c>
      <c r="O6" s="35"/>
      <c r="P6" s="235">
        <f>N6+M6+L6+I6+C6</f>
        <v>0</v>
      </c>
      <c r="Q6" s="236">
        <v>0</v>
      </c>
      <c r="R6" s="238">
        <v>0</v>
      </c>
      <c r="S6" s="37"/>
      <c r="T6" s="9"/>
    </row>
    <row r="7" spans="1:21" ht="18" thickBot="1" x14ac:dyDescent="0.35">
      <c r="A7" s="23"/>
      <c r="B7" s="24">
        <v>45140</v>
      </c>
      <c r="C7" s="25"/>
      <c r="D7" s="42"/>
      <c r="E7" s="27">
        <v>45140</v>
      </c>
      <c r="F7" s="28"/>
      <c r="G7" s="29"/>
      <c r="H7" s="30">
        <v>45140</v>
      </c>
      <c r="I7" s="31"/>
      <c r="J7" s="258"/>
      <c r="K7" s="102"/>
      <c r="L7" s="259"/>
      <c r="M7" s="33">
        <v>0</v>
      </c>
      <c r="N7" s="34">
        <v>0</v>
      </c>
      <c r="O7" s="35"/>
      <c r="P7" s="235">
        <f>N7+M7+L7+I7+C7</f>
        <v>0</v>
      </c>
      <c r="Q7" s="236">
        <f>P7-F7</f>
        <v>0</v>
      </c>
      <c r="R7" s="238">
        <v>0</v>
      </c>
      <c r="S7" s="37"/>
    </row>
    <row r="8" spans="1:21" ht="18" thickBot="1" x14ac:dyDescent="0.35">
      <c r="A8" s="23"/>
      <c r="B8" s="24">
        <v>45141</v>
      </c>
      <c r="C8" s="25"/>
      <c r="D8" s="42"/>
      <c r="E8" s="27">
        <v>45141</v>
      </c>
      <c r="F8" s="28"/>
      <c r="G8" s="29"/>
      <c r="H8" s="30">
        <v>45141</v>
      </c>
      <c r="I8" s="31"/>
      <c r="J8" s="258"/>
      <c r="K8" s="260"/>
      <c r="L8" s="259"/>
      <c r="M8" s="33">
        <v>0</v>
      </c>
      <c r="N8" s="34">
        <v>0</v>
      </c>
      <c r="O8" s="35"/>
      <c r="P8" s="235">
        <f t="shared" ref="P8:P56" si="0">N8+M8+L8+I8+C8</f>
        <v>0</v>
      </c>
      <c r="Q8" s="236">
        <f t="shared" ref="Q8:Q58" si="1">P8-F8</f>
        <v>0</v>
      </c>
      <c r="R8" s="238">
        <v>0</v>
      </c>
      <c r="S8" s="37"/>
    </row>
    <row r="9" spans="1:21" ht="18" thickBot="1" x14ac:dyDescent="0.35">
      <c r="A9" s="23"/>
      <c r="B9" s="24">
        <v>45142</v>
      </c>
      <c r="C9" s="25"/>
      <c r="D9" s="46"/>
      <c r="E9" s="27">
        <v>45142</v>
      </c>
      <c r="F9" s="28"/>
      <c r="G9" s="29"/>
      <c r="H9" s="30">
        <v>45142</v>
      </c>
      <c r="I9" s="31"/>
      <c r="J9" s="258"/>
      <c r="K9" s="261"/>
      <c r="L9" s="259"/>
      <c r="M9" s="33">
        <v>0</v>
      </c>
      <c r="N9" s="34">
        <v>0</v>
      </c>
      <c r="O9" s="35"/>
      <c r="P9" s="235">
        <f t="shared" si="0"/>
        <v>0</v>
      </c>
      <c r="Q9" s="236">
        <v>0</v>
      </c>
      <c r="R9" s="238">
        <v>0</v>
      </c>
      <c r="S9" s="37"/>
    </row>
    <row r="10" spans="1:21" ht="18" thickBot="1" x14ac:dyDescent="0.35">
      <c r="A10" s="23"/>
      <c r="B10" s="24">
        <v>45143</v>
      </c>
      <c r="C10" s="25"/>
      <c r="D10" s="38"/>
      <c r="E10" s="27">
        <v>45143</v>
      </c>
      <c r="F10" s="28"/>
      <c r="G10" s="29"/>
      <c r="H10" s="30">
        <v>45143</v>
      </c>
      <c r="I10" s="31"/>
      <c r="J10" s="258"/>
      <c r="K10" s="262"/>
      <c r="L10" s="263"/>
      <c r="M10" s="33">
        <v>0</v>
      </c>
      <c r="N10" s="34">
        <v>0</v>
      </c>
      <c r="O10" s="35"/>
      <c r="P10" s="235">
        <f>N10+M10+L10+I10+C10</f>
        <v>0</v>
      </c>
      <c r="Q10" s="236">
        <f t="shared" si="1"/>
        <v>0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45144</v>
      </c>
      <c r="C11" s="25"/>
      <c r="D11" s="38"/>
      <c r="E11" s="27">
        <v>45144</v>
      </c>
      <c r="F11" s="28"/>
      <c r="G11" s="29"/>
      <c r="H11" s="30">
        <v>45144</v>
      </c>
      <c r="I11" s="31"/>
      <c r="J11" s="258"/>
      <c r="K11" s="261"/>
      <c r="L11" s="259"/>
      <c r="M11" s="33">
        <v>0</v>
      </c>
      <c r="N11" s="34">
        <v>0</v>
      </c>
      <c r="O11" s="35"/>
      <c r="P11" s="235">
        <f>N11+M11+L11+I11+C11</f>
        <v>0</v>
      </c>
      <c r="Q11" s="236">
        <v>0</v>
      </c>
      <c r="R11" s="238">
        <v>0</v>
      </c>
      <c r="S11" s="37"/>
    </row>
    <row r="12" spans="1:21" ht="18" thickBot="1" x14ac:dyDescent="0.35">
      <c r="A12" s="23"/>
      <c r="B12" s="24">
        <v>45145</v>
      </c>
      <c r="C12" s="25"/>
      <c r="D12" s="38"/>
      <c r="E12" s="27">
        <v>45145</v>
      </c>
      <c r="F12" s="28"/>
      <c r="G12" s="29"/>
      <c r="H12" s="30">
        <v>45145</v>
      </c>
      <c r="I12" s="31"/>
      <c r="J12" s="258"/>
      <c r="K12" s="264"/>
      <c r="L12" s="259"/>
      <c r="M12" s="33">
        <v>0</v>
      </c>
      <c r="N12" s="34">
        <v>0</v>
      </c>
      <c r="O12" s="35"/>
      <c r="P12" s="235">
        <f t="shared" si="0"/>
        <v>0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45146</v>
      </c>
      <c r="C13" s="25"/>
      <c r="D13" s="42"/>
      <c r="E13" s="27">
        <v>45146</v>
      </c>
      <c r="F13" s="28"/>
      <c r="G13" s="29"/>
      <c r="H13" s="30">
        <v>45146</v>
      </c>
      <c r="I13" s="31"/>
      <c r="J13" s="258"/>
      <c r="K13" s="71"/>
      <c r="L13" s="259"/>
      <c r="M13" s="33">
        <v>0</v>
      </c>
      <c r="N13" s="34">
        <v>0</v>
      </c>
      <c r="O13" s="35"/>
      <c r="P13" s="235">
        <f t="shared" si="0"/>
        <v>0</v>
      </c>
      <c r="Q13" s="236">
        <f t="shared" si="1"/>
        <v>0</v>
      </c>
      <c r="R13" s="238">
        <v>0</v>
      </c>
      <c r="S13" s="37"/>
    </row>
    <row r="14" spans="1:21" ht="18" thickBot="1" x14ac:dyDescent="0.35">
      <c r="A14" s="23"/>
      <c r="B14" s="24">
        <v>45147</v>
      </c>
      <c r="C14" s="25"/>
      <c r="D14" s="46"/>
      <c r="E14" s="27">
        <v>45147</v>
      </c>
      <c r="F14" s="28"/>
      <c r="G14" s="29"/>
      <c r="H14" s="30">
        <v>45147</v>
      </c>
      <c r="I14" s="31"/>
      <c r="J14" s="258"/>
      <c r="K14" s="260"/>
      <c r="L14" s="259"/>
      <c r="M14" s="33">
        <v>0</v>
      </c>
      <c r="N14" s="34">
        <v>0</v>
      </c>
      <c r="O14" s="35"/>
      <c r="P14" s="235">
        <f t="shared" si="0"/>
        <v>0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45148</v>
      </c>
      <c r="C15" s="25"/>
      <c r="D15" s="46"/>
      <c r="E15" s="27">
        <v>45148</v>
      </c>
      <c r="F15" s="28"/>
      <c r="G15" s="29"/>
      <c r="H15" s="30">
        <v>45148</v>
      </c>
      <c r="I15" s="31"/>
      <c r="J15" s="258"/>
      <c r="K15" s="260"/>
      <c r="L15" s="259"/>
      <c r="M15" s="33">
        <v>0</v>
      </c>
      <c r="N15" s="34">
        <v>0</v>
      </c>
      <c r="O15" s="314"/>
      <c r="P15" s="235">
        <f t="shared" si="0"/>
        <v>0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45149</v>
      </c>
      <c r="C16" s="25"/>
      <c r="D16" s="42"/>
      <c r="E16" s="27">
        <v>45149</v>
      </c>
      <c r="F16" s="28"/>
      <c r="G16" s="29"/>
      <c r="H16" s="30">
        <v>45149</v>
      </c>
      <c r="I16" s="31"/>
      <c r="J16" s="258"/>
      <c r="K16" s="260"/>
      <c r="L16" s="13"/>
      <c r="M16" s="33">
        <v>0</v>
      </c>
      <c r="N16" s="34">
        <v>0</v>
      </c>
      <c r="O16" s="35"/>
      <c r="P16" s="235">
        <f t="shared" si="0"/>
        <v>0</v>
      </c>
      <c r="Q16" s="236">
        <f t="shared" si="1"/>
        <v>0</v>
      </c>
      <c r="R16" s="238">
        <v>0</v>
      </c>
      <c r="S16" s="37"/>
    </row>
    <row r="17" spans="1:20" ht="18" thickBot="1" x14ac:dyDescent="0.35">
      <c r="A17" s="23"/>
      <c r="B17" s="24">
        <v>45150</v>
      </c>
      <c r="C17" s="25"/>
      <c r="D17" s="46"/>
      <c r="E17" s="27">
        <v>45150</v>
      </c>
      <c r="F17" s="28"/>
      <c r="G17" s="29"/>
      <c r="H17" s="30">
        <v>45150</v>
      </c>
      <c r="I17" s="31"/>
      <c r="J17" s="258"/>
      <c r="K17" s="45"/>
      <c r="L17" s="263"/>
      <c r="M17" s="33">
        <v>0</v>
      </c>
      <c r="N17" s="34">
        <v>0</v>
      </c>
      <c r="O17" s="35"/>
      <c r="P17" s="235">
        <f t="shared" si="0"/>
        <v>0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45151</v>
      </c>
      <c r="C18" s="25"/>
      <c r="D18" s="38"/>
      <c r="E18" s="27">
        <v>45151</v>
      </c>
      <c r="F18" s="28"/>
      <c r="G18" s="29"/>
      <c r="H18" s="30">
        <v>45151</v>
      </c>
      <c r="I18" s="31"/>
      <c r="J18" s="258"/>
      <c r="K18" s="265"/>
      <c r="L18" s="259"/>
      <c r="M18" s="33">
        <v>0</v>
      </c>
      <c r="N18" s="34">
        <v>0</v>
      </c>
      <c r="O18" s="35"/>
      <c r="P18" s="235">
        <f t="shared" si="0"/>
        <v>0</v>
      </c>
      <c r="Q18" s="236">
        <f t="shared" si="1"/>
        <v>0</v>
      </c>
      <c r="R18" s="238">
        <v>0</v>
      </c>
      <c r="S18" s="37"/>
    </row>
    <row r="19" spans="1:20" ht="17.25" customHeight="1" thickBot="1" x14ac:dyDescent="0.35">
      <c r="A19" s="23"/>
      <c r="B19" s="24">
        <v>45152</v>
      </c>
      <c r="C19" s="25"/>
      <c r="D19" s="38"/>
      <c r="E19" s="27">
        <v>45152</v>
      </c>
      <c r="F19" s="28"/>
      <c r="G19" s="29"/>
      <c r="H19" s="30">
        <v>45152</v>
      </c>
      <c r="I19" s="31"/>
      <c r="J19" s="258"/>
      <c r="K19" s="266"/>
      <c r="L19" s="267"/>
      <c r="M19" s="33">
        <v>0</v>
      </c>
      <c r="N19" s="34">
        <v>0</v>
      </c>
      <c r="O19" s="35"/>
      <c r="P19" s="235">
        <f t="shared" si="0"/>
        <v>0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45153</v>
      </c>
      <c r="C20" s="25"/>
      <c r="D20" s="38"/>
      <c r="E20" s="27">
        <v>45153</v>
      </c>
      <c r="F20" s="28"/>
      <c r="G20" s="29"/>
      <c r="H20" s="30">
        <v>45153</v>
      </c>
      <c r="I20" s="31"/>
      <c r="J20" s="258"/>
      <c r="K20" s="262"/>
      <c r="L20" s="263"/>
      <c r="M20" s="33">
        <v>0</v>
      </c>
      <c r="N20" s="34">
        <v>0</v>
      </c>
      <c r="O20" s="35"/>
      <c r="P20" s="235">
        <f t="shared" si="0"/>
        <v>0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45154</v>
      </c>
      <c r="C21" s="25"/>
      <c r="D21" s="38"/>
      <c r="E21" s="27">
        <v>45154</v>
      </c>
      <c r="F21" s="28"/>
      <c r="G21" s="29"/>
      <c r="H21" s="30">
        <v>45154</v>
      </c>
      <c r="I21" s="31"/>
      <c r="J21" s="258"/>
      <c r="K21" s="268"/>
      <c r="L21" s="263"/>
      <c r="M21" s="33">
        <v>0</v>
      </c>
      <c r="N21" s="34">
        <v>0</v>
      </c>
      <c r="O21" s="35"/>
      <c r="P21" s="235">
        <f t="shared" si="0"/>
        <v>0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45155</v>
      </c>
      <c r="C22" s="25"/>
      <c r="D22" s="46"/>
      <c r="E22" s="27">
        <v>45155</v>
      </c>
      <c r="F22" s="28"/>
      <c r="G22" s="29"/>
      <c r="H22" s="30">
        <v>45155</v>
      </c>
      <c r="I22" s="31"/>
      <c r="J22" s="258"/>
      <c r="K22" s="302"/>
      <c r="L22" s="269"/>
      <c r="M22" s="33">
        <v>0</v>
      </c>
      <c r="N22" s="34">
        <v>0</v>
      </c>
      <c r="O22" s="315"/>
      <c r="P22" s="235">
        <f t="shared" si="0"/>
        <v>0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45156</v>
      </c>
      <c r="C23" s="25"/>
      <c r="D23" s="46"/>
      <c r="E23" s="27">
        <v>45156</v>
      </c>
      <c r="F23" s="28"/>
      <c r="G23" s="29"/>
      <c r="H23" s="30">
        <v>45156</v>
      </c>
      <c r="I23" s="31"/>
      <c r="J23" s="270"/>
      <c r="K23" s="271"/>
      <c r="L23" s="263"/>
      <c r="M23" s="33">
        <v>0</v>
      </c>
      <c r="N23" s="34">
        <v>0</v>
      </c>
      <c r="O23" s="35"/>
      <c r="P23" s="235">
        <f t="shared" si="0"/>
        <v>0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45157</v>
      </c>
      <c r="C24" s="25"/>
      <c r="D24" s="42"/>
      <c r="E24" s="27">
        <v>45157</v>
      </c>
      <c r="F24" s="28"/>
      <c r="G24" s="29"/>
      <c r="H24" s="30">
        <v>45157</v>
      </c>
      <c r="I24" s="31"/>
      <c r="J24" s="272"/>
      <c r="K24" s="271"/>
      <c r="L24" s="273"/>
      <c r="M24" s="33">
        <v>0</v>
      </c>
      <c r="N24" s="34">
        <v>0</v>
      </c>
      <c r="O24" s="37"/>
      <c r="P24" s="235">
        <f t="shared" si="0"/>
        <v>0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45158</v>
      </c>
      <c r="C25" s="25"/>
      <c r="D25" s="38"/>
      <c r="E25" s="27">
        <v>45158</v>
      </c>
      <c r="F25" s="28"/>
      <c r="G25" s="29"/>
      <c r="H25" s="30">
        <v>45158</v>
      </c>
      <c r="I25" s="31"/>
      <c r="J25" s="274"/>
      <c r="K25" s="275"/>
      <c r="L25" s="276"/>
      <c r="M25" s="33">
        <v>0</v>
      </c>
      <c r="N25" s="34">
        <v>0</v>
      </c>
      <c r="O25" s="35"/>
      <c r="P25" s="235">
        <f t="shared" si="0"/>
        <v>0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45159</v>
      </c>
      <c r="C26" s="25"/>
      <c r="D26" s="38"/>
      <c r="E26" s="27">
        <v>45159</v>
      </c>
      <c r="F26" s="28"/>
      <c r="G26" s="29"/>
      <c r="H26" s="30">
        <v>45159</v>
      </c>
      <c r="I26" s="31"/>
      <c r="J26" s="258"/>
      <c r="K26" s="271"/>
      <c r="L26" s="263"/>
      <c r="M26" s="33">
        <v>0</v>
      </c>
      <c r="N26" s="34">
        <v>0</v>
      </c>
      <c r="O26" s="35"/>
      <c r="P26" s="235">
        <f t="shared" si="0"/>
        <v>0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45160</v>
      </c>
      <c r="C27" s="25"/>
      <c r="D27" s="42"/>
      <c r="E27" s="27">
        <v>45160</v>
      </c>
      <c r="F27" s="28"/>
      <c r="G27" s="29"/>
      <c r="H27" s="30">
        <v>45160</v>
      </c>
      <c r="I27" s="31"/>
      <c r="J27" s="277"/>
      <c r="K27" s="275"/>
      <c r="L27" s="276"/>
      <c r="M27" s="33">
        <v>0</v>
      </c>
      <c r="N27" s="34">
        <v>0</v>
      </c>
      <c r="O27" s="35"/>
      <c r="P27" s="235">
        <f t="shared" si="0"/>
        <v>0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45161</v>
      </c>
      <c r="C28" s="25"/>
      <c r="D28" s="42"/>
      <c r="E28" s="27">
        <v>45161</v>
      </c>
      <c r="F28" s="28"/>
      <c r="G28" s="29"/>
      <c r="H28" s="30">
        <v>45161</v>
      </c>
      <c r="I28" s="31"/>
      <c r="J28" s="278"/>
      <c r="K28" s="71"/>
      <c r="L28" s="276"/>
      <c r="M28" s="33">
        <v>0</v>
      </c>
      <c r="N28" s="34">
        <v>0</v>
      </c>
      <c r="O28" s="35"/>
      <c r="P28" s="235">
        <f t="shared" si="0"/>
        <v>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45162</v>
      </c>
      <c r="C29" s="25"/>
      <c r="D29" s="72"/>
      <c r="E29" s="27">
        <v>45162</v>
      </c>
      <c r="F29" s="28"/>
      <c r="G29" s="29"/>
      <c r="H29" s="30">
        <v>45162</v>
      </c>
      <c r="I29" s="31"/>
      <c r="J29" s="277"/>
      <c r="K29" s="279"/>
      <c r="L29" s="276"/>
      <c r="M29" s="33">
        <v>0</v>
      </c>
      <c r="N29" s="34">
        <v>0</v>
      </c>
      <c r="O29" s="35"/>
      <c r="P29" s="235">
        <f t="shared" si="0"/>
        <v>0</v>
      </c>
      <c r="Q29" s="236">
        <f t="shared" si="1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45163</v>
      </c>
      <c r="C30" s="25"/>
      <c r="D30" s="72"/>
      <c r="E30" s="27">
        <v>45163</v>
      </c>
      <c r="F30" s="28"/>
      <c r="G30" s="29"/>
      <c r="H30" s="30">
        <v>45163</v>
      </c>
      <c r="I30" s="31"/>
      <c r="J30" s="86"/>
      <c r="K30" s="280"/>
      <c r="L30" s="281"/>
      <c r="M30" s="33">
        <v>0</v>
      </c>
      <c r="N30" s="34">
        <v>0</v>
      </c>
      <c r="O30" s="35"/>
      <c r="P30" s="235">
        <f t="shared" si="0"/>
        <v>0</v>
      </c>
      <c r="Q30" s="236">
        <f t="shared" si="1"/>
        <v>0</v>
      </c>
      <c r="R30" s="238">
        <v>0</v>
      </c>
      <c r="S30" s="37"/>
    </row>
    <row r="31" spans="1:20" ht="18" thickBot="1" x14ac:dyDescent="0.35">
      <c r="A31" s="23"/>
      <c r="B31" s="24">
        <v>45164</v>
      </c>
      <c r="C31" s="25"/>
      <c r="D31" s="77"/>
      <c r="E31" s="27">
        <v>45164</v>
      </c>
      <c r="F31" s="28"/>
      <c r="G31" s="29"/>
      <c r="H31" s="30">
        <v>45164</v>
      </c>
      <c r="I31" s="31"/>
      <c r="J31" s="278"/>
      <c r="K31" s="275"/>
      <c r="L31" s="276"/>
      <c r="M31" s="33">
        <v>0</v>
      </c>
      <c r="N31" s="34">
        <v>0</v>
      </c>
      <c r="O31" s="35"/>
      <c r="P31" s="235">
        <f t="shared" si="0"/>
        <v>0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45165</v>
      </c>
      <c r="C32" s="25"/>
      <c r="D32" s="82"/>
      <c r="E32" s="27">
        <v>45165</v>
      </c>
      <c r="F32" s="28"/>
      <c r="G32" s="29"/>
      <c r="H32" s="30">
        <v>45165</v>
      </c>
      <c r="I32" s="31"/>
      <c r="J32" s="86"/>
      <c r="K32" s="280"/>
      <c r="L32" s="281"/>
      <c r="M32" s="33">
        <v>0</v>
      </c>
      <c r="N32" s="34">
        <v>0</v>
      </c>
      <c r="O32" s="35"/>
      <c r="P32" s="235">
        <f t="shared" si="0"/>
        <v>0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45166</v>
      </c>
      <c r="C33" s="25"/>
      <c r="D33" s="80"/>
      <c r="E33" s="27">
        <v>45166</v>
      </c>
      <c r="F33" s="28"/>
      <c r="G33" s="29"/>
      <c r="H33" s="30">
        <v>45166</v>
      </c>
      <c r="I33" s="31"/>
      <c r="J33" s="86"/>
      <c r="K33" s="282"/>
      <c r="L33" s="216"/>
      <c r="M33" s="33">
        <v>0</v>
      </c>
      <c r="N33" s="34">
        <v>0</v>
      </c>
      <c r="O33" s="35"/>
      <c r="P33" s="235">
        <f t="shared" si="0"/>
        <v>0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>
        <v>45167</v>
      </c>
      <c r="C34" s="25"/>
      <c r="D34" s="82"/>
      <c r="E34" s="27">
        <v>45167</v>
      </c>
      <c r="F34" s="28"/>
      <c r="G34" s="29"/>
      <c r="H34" s="30">
        <v>45167</v>
      </c>
      <c r="I34" s="31"/>
      <c r="J34" s="86"/>
      <c r="K34" s="332"/>
      <c r="L34" s="284"/>
      <c r="M34" s="33">
        <v>0</v>
      </c>
      <c r="N34" s="34">
        <v>0</v>
      </c>
      <c r="O34" s="35"/>
      <c r="P34" s="235">
        <f t="shared" si="0"/>
        <v>0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>
        <v>45168</v>
      </c>
      <c r="C35" s="25"/>
      <c r="D35" s="77"/>
      <c r="E35" s="27">
        <v>45168</v>
      </c>
      <c r="F35" s="28"/>
      <c r="G35" s="29"/>
      <c r="H35" s="30">
        <v>45168</v>
      </c>
      <c r="I35" s="31"/>
      <c r="J35" s="86"/>
      <c r="K35" s="282"/>
      <c r="L35" s="216"/>
      <c r="M35" s="33">
        <v>0</v>
      </c>
      <c r="N35" s="34">
        <v>0</v>
      </c>
      <c r="O35" s="35"/>
      <c r="P35" s="235">
        <f t="shared" si="0"/>
        <v>0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>
        <v>45169</v>
      </c>
      <c r="C36" s="25"/>
      <c r="D36" s="85"/>
      <c r="E36" s="27">
        <v>45169</v>
      </c>
      <c r="F36" s="28"/>
      <c r="G36" s="29"/>
      <c r="H36" s="30">
        <v>45169</v>
      </c>
      <c r="I36" s="31"/>
      <c r="J36" s="86"/>
      <c r="K36" s="319"/>
      <c r="L36" s="216"/>
      <c r="M36" s="33">
        <v>0</v>
      </c>
      <c r="N36" s="34">
        <v>0</v>
      </c>
      <c r="O36" s="35"/>
      <c r="P36" s="235">
        <f t="shared" si="0"/>
        <v>0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>
        <v>45170</v>
      </c>
      <c r="C37" s="25"/>
      <c r="D37" s="82"/>
      <c r="E37" s="27">
        <v>45170</v>
      </c>
      <c r="F37" s="28"/>
      <c r="G37" s="29"/>
      <c r="H37" s="30">
        <v>45170</v>
      </c>
      <c r="I37" s="31"/>
      <c r="J37" s="86"/>
      <c r="K37" s="285"/>
      <c r="L37" s="216"/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>
        <v>45171</v>
      </c>
      <c r="C38" s="25"/>
      <c r="D38" s="80"/>
      <c r="E38" s="27">
        <v>45171</v>
      </c>
      <c r="F38" s="28"/>
      <c r="G38" s="29"/>
      <c r="H38" s="30">
        <v>45171</v>
      </c>
      <c r="I38" s="31"/>
      <c r="J38" s="86"/>
      <c r="K38" s="330"/>
      <c r="L38" s="216"/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>
        <v>45172</v>
      </c>
      <c r="C39" s="25"/>
      <c r="D39" s="80"/>
      <c r="E39" s="27">
        <v>45172</v>
      </c>
      <c r="F39" s="28"/>
      <c r="G39" s="29"/>
      <c r="H39" s="30">
        <v>45172</v>
      </c>
      <c r="I39" s="31"/>
      <c r="J39" s="86"/>
      <c r="K39" s="282"/>
      <c r="L39" s="281"/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>
        <v>45173</v>
      </c>
      <c r="C40" s="25"/>
      <c r="D40" s="80"/>
      <c r="E40" s="27">
        <v>45173</v>
      </c>
      <c r="F40" s="28"/>
      <c r="G40" s="29"/>
      <c r="H40" s="30">
        <v>45173</v>
      </c>
      <c r="I40" s="31"/>
      <c r="J40" s="86"/>
      <c r="K40" s="231"/>
      <c r="L40" s="281"/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>
        <v>45174</v>
      </c>
      <c r="C41" s="25"/>
      <c r="D41" s="80"/>
      <c r="E41" s="27">
        <v>45174</v>
      </c>
      <c r="F41" s="28"/>
      <c r="G41" s="29"/>
      <c r="H41" s="30">
        <v>45174</v>
      </c>
      <c r="I41" s="31"/>
      <c r="J41" s="86"/>
      <c r="K41" s="305"/>
      <c r="L41" s="281"/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305"/>
      <c r="L42" s="281"/>
      <c r="M42" s="33"/>
      <c r="N42" s="34"/>
      <c r="O42" s="35"/>
      <c r="P42" s="235"/>
      <c r="Q42" s="236"/>
      <c r="R42" s="238"/>
      <c r="S42" s="37"/>
    </row>
    <row r="43" spans="1:19" ht="18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86"/>
      <c r="K43" s="305"/>
      <c r="L43" s="281"/>
      <c r="M43" s="33"/>
      <c r="N43" s="34"/>
      <c r="O43" s="35"/>
      <c r="P43" s="235"/>
      <c r="Q43" s="236"/>
      <c r="R43" s="238"/>
      <c r="S43" s="37"/>
    </row>
    <row r="44" spans="1:19" ht="18" thickBot="1" x14ac:dyDescent="0.35">
      <c r="A44" s="23"/>
      <c r="B44" s="24">
        <v>45138</v>
      </c>
      <c r="C44" s="408">
        <v>718960</v>
      </c>
      <c r="D44" s="409" t="s">
        <v>489</v>
      </c>
      <c r="E44" s="27"/>
      <c r="F44" s="28"/>
      <c r="G44" s="29"/>
      <c r="H44" s="30"/>
      <c r="I44" s="31"/>
      <c r="J44" s="86">
        <v>45140</v>
      </c>
      <c r="K44" s="305" t="s">
        <v>453</v>
      </c>
      <c r="L44" s="281">
        <v>14500</v>
      </c>
      <c r="M44" s="33"/>
      <c r="N44" s="34"/>
      <c r="O44" s="35"/>
      <c r="P44" s="235"/>
      <c r="Q44" s="236"/>
      <c r="R44" s="238"/>
      <c r="S44" s="37"/>
    </row>
    <row r="45" spans="1:19" ht="18" thickBot="1" x14ac:dyDescent="0.35">
      <c r="A45" s="23"/>
      <c r="B45" s="24">
        <v>45146</v>
      </c>
      <c r="C45" s="25">
        <v>12434</v>
      </c>
      <c r="D45" s="80" t="s">
        <v>456</v>
      </c>
      <c r="E45" s="27"/>
      <c r="F45" s="28"/>
      <c r="G45" s="29"/>
      <c r="H45" s="30"/>
      <c r="I45" s="31"/>
      <c r="J45" s="342">
        <v>45145</v>
      </c>
      <c r="K45" s="343" t="s">
        <v>454</v>
      </c>
      <c r="L45" s="344">
        <v>10000</v>
      </c>
      <c r="M45" s="33"/>
      <c r="N45" s="34"/>
      <c r="O45" s="35"/>
      <c r="P45" s="235"/>
      <c r="Q45" s="236"/>
      <c r="R45" s="238"/>
      <c r="S45" s="37"/>
    </row>
    <row r="46" spans="1:19" ht="18" thickBot="1" x14ac:dyDescent="0.35">
      <c r="A46" s="23"/>
      <c r="B46" s="24">
        <v>45147</v>
      </c>
      <c r="C46" s="25">
        <v>37120</v>
      </c>
      <c r="D46" s="80" t="s">
        <v>457</v>
      </c>
      <c r="E46" s="27"/>
      <c r="F46" s="28"/>
      <c r="G46" s="29"/>
      <c r="H46" s="30"/>
      <c r="I46" s="31"/>
      <c r="J46" s="86">
        <v>45146</v>
      </c>
      <c r="K46" s="305" t="s">
        <v>455</v>
      </c>
      <c r="L46" s="281">
        <v>1255.48</v>
      </c>
      <c r="M46" s="33"/>
      <c r="N46" s="34"/>
      <c r="O46" s="35"/>
      <c r="P46" s="235"/>
      <c r="Q46" s="236"/>
      <c r="R46" s="238"/>
      <c r="S46" s="37"/>
    </row>
    <row r="47" spans="1:19" ht="18" thickBot="1" x14ac:dyDescent="0.35">
      <c r="A47" s="23"/>
      <c r="B47" s="24">
        <v>45159</v>
      </c>
      <c r="C47" s="25">
        <v>822198.47</v>
      </c>
      <c r="D47" s="80" t="s">
        <v>458</v>
      </c>
      <c r="E47" s="27"/>
      <c r="F47" s="28"/>
      <c r="G47" s="29"/>
      <c r="H47" s="30"/>
      <c r="I47" s="31"/>
      <c r="J47" s="86">
        <v>45153</v>
      </c>
      <c r="K47" s="305" t="s">
        <v>108</v>
      </c>
      <c r="L47" s="281">
        <v>1392</v>
      </c>
      <c r="M47" s="33"/>
      <c r="N47" s="34"/>
      <c r="O47" s="35"/>
      <c r="P47" s="235"/>
      <c r="Q47" s="236"/>
      <c r="R47" s="238"/>
      <c r="S47" s="37"/>
    </row>
    <row r="48" spans="1:19" ht="18" thickBot="1" x14ac:dyDescent="0.35">
      <c r="A48" s="23"/>
      <c r="B48" s="24">
        <v>45167</v>
      </c>
      <c r="C48" s="408">
        <v>670000</v>
      </c>
      <c r="D48" s="410" t="s">
        <v>490</v>
      </c>
      <c r="E48" s="27"/>
      <c r="F48" s="28"/>
      <c r="G48" s="29"/>
      <c r="H48" s="30"/>
      <c r="I48" s="31"/>
      <c r="J48" s="86">
        <v>45154</v>
      </c>
      <c r="K48" s="305" t="s">
        <v>111</v>
      </c>
      <c r="L48" s="281">
        <v>549</v>
      </c>
      <c r="M48" s="33"/>
      <c r="N48" s="34"/>
      <c r="O48" s="35"/>
      <c r="P48" s="235"/>
      <c r="Q48" s="236"/>
      <c r="R48" s="238"/>
      <c r="S48" s="37"/>
    </row>
    <row r="49" spans="1:19" ht="18" thickBot="1" x14ac:dyDescent="0.35">
      <c r="A49" s="23"/>
      <c r="B49" s="24"/>
      <c r="C49" s="25"/>
      <c r="D49" s="80"/>
      <c r="E49" s="27"/>
      <c r="F49" s="28"/>
      <c r="G49" s="29"/>
      <c r="H49" s="30"/>
      <c r="I49" s="31"/>
      <c r="J49" s="86">
        <v>45167</v>
      </c>
      <c r="K49" s="305" t="s">
        <v>109</v>
      </c>
      <c r="L49" s="281">
        <v>1031.47</v>
      </c>
      <c r="M49" s="33"/>
      <c r="N49" s="34"/>
      <c r="O49" s="35"/>
      <c r="P49" s="235"/>
      <c r="Q49" s="236"/>
      <c r="R49" s="238"/>
      <c r="S49" s="37"/>
    </row>
    <row r="50" spans="1:19" ht="18" thickBot="1" x14ac:dyDescent="0.35">
      <c r="A50" s="23"/>
      <c r="B50" s="24"/>
      <c r="C50" s="25"/>
      <c r="D50" s="80"/>
      <c r="E50" s="27"/>
      <c r="F50" s="28"/>
      <c r="G50" s="29"/>
      <c r="H50" s="30"/>
      <c r="I50" s="31"/>
      <c r="J50" s="86"/>
      <c r="K50" s="305"/>
      <c r="L50" s="281"/>
      <c r="M50" s="33"/>
      <c r="N50" s="34"/>
      <c r="O50" s="35"/>
      <c r="P50" s="235"/>
      <c r="Q50" s="236"/>
      <c r="R50" s="238"/>
      <c r="S50" s="37"/>
    </row>
    <row r="51" spans="1:19" ht="18" thickBot="1" x14ac:dyDescent="0.35">
      <c r="A51" s="23"/>
      <c r="B51" s="24"/>
      <c r="C51" s="25"/>
      <c r="D51" s="80"/>
      <c r="E51" s="27"/>
      <c r="F51" s="28"/>
      <c r="G51" s="29"/>
      <c r="H51" s="30"/>
      <c r="I51" s="31"/>
      <c r="J51" s="86">
        <v>45170</v>
      </c>
      <c r="K51" s="305" t="s">
        <v>459</v>
      </c>
      <c r="L51" s="281">
        <v>767163.22</v>
      </c>
      <c r="M51" s="33"/>
      <c r="N51" s="34"/>
      <c r="O51" s="35"/>
      <c r="P51" s="235"/>
      <c r="Q51" s="236"/>
      <c r="R51" s="238"/>
      <c r="S51" s="37"/>
    </row>
    <row r="52" spans="1:19" ht="18" thickBot="1" x14ac:dyDescent="0.35">
      <c r="A52" s="23"/>
      <c r="B52" s="24"/>
      <c r="C52" s="25"/>
      <c r="D52" s="80"/>
      <c r="E52" s="27"/>
      <c r="F52" s="28"/>
      <c r="G52" s="29"/>
      <c r="H52" s="30"/>
      <c r="I52" s="31"/>
      <c r="J52" s="86"/>
      <c r="K52" s="305"/>
      <c r="L52" s="281"/>
      <c r="M52" s="33"/>
      <c r="N52" s="34"/>
      <c r="O52" s="35"/>
      <c r="P52" s="235"/>
      <c r="Q52" s="236"/>
      <c r="R52" s="238"/>
      <c r="S52" s="37"/>
    </row>
    <row r="53" spans="1:19" ht="18" thickBot="1" x14ac:dyDescent="0.35">
      <c r="A53" s="23"/>
      <c r="B53" s="24"/>
      <c r="C53" s="25"/>
      <c r="D53" s="80"/>
      <c r="E53" s="27"/>
      <c r="F53" s="28"/>
      <c r="G53" s="29"/>
      <c r="H53" s="30"/>
      <c r="I53" s="31"/>
      <c r="J53" s="86"/>
      <c r="K53" s="231"/>
      <c r="L53" s="281"/>
      <c r="M53" s="33">
        <v>0</v>
      </c>
      <c r="N53" s="34">
        <v>0</v>
      </c>
      <c r="O53" s="35"/>
      <c r="P53" s="235">
        <v>0</v>
      </c>
      <c r="Q53" s="236">
        <f t="shared" si="1"/>
        <v>0</v>
      </c>
      <c r="R53" s="238">
        <v>0</v>
      </c>
      <c r="S53" s="37"/>
    </row>
    <row r="54" spans="1:19" ht="18" thickBot="1" x14ac:dyDescent="0.35">
      <c r="A54" s="23"/>
      <c r="B54" s="24"/>
      <c r="C54" s="25"/>
      <c r="D54" s="80"/>
      <c r="E54" s="27"/>
      <c r="F54" s="90"/>
      <c r="G54" s="29"/>
      <c r="H54" s="30"/>
      <c r="I54" s="91"/>
      <c r="J54" s="86"/>
      <c r="K54" s="89"/>
      <c r="L54" s="281"/>
      <c r="M54" s="33">
        <v>0</v>
      </c>
      <c r="N54" s="34">
        <v>0</v>
      </c>
      <c r="O54" s="35"/>
      <c r="P54" s="240">
        <v>0</v>
      </c>
      <c r="Q54" s="236">
        <f t="shared" si="1"/>
        <v>0</v>
      </c>
      <c r="R54" s="242">
        <v>0</v>
      </c>
      <c r="S54" s="37"/>
    </row>
    <row r="55" spans="1:19" ht="18" thickBot="1" x14ac:dyDescent="0.35">
      <c r="A55" s="23"/>
      <c r="B55" s="24"/>
      <c r="C55" s="25"/>
      <c r="D55" s="80"/>
      <c r="E55" s="27"/>
      <c r="F55" s="90"/>
      <c r="G55" s="29"/>
      <c r="H55" s="30"/>
      <c r="I55" s="91"/>
      <c r="J55" s="86"/>
      <c r="K55" s="231"/>
      <c r="L55" s="281"/>
      <c r="M55" s="92">
        <v>0</v>
      </c>
      <c r="N55" s="93"/>
      <c r="O55" s="35"/>
      <c r="P55" s="36">
        <f t="shared" si="0"/>
        <v>0</v>
      </c>
      <c r="Q55" s="236">
        <f t="shared" si="1"/>
        <v>0</v>
      </c>
      <c r="R55" s="13">
        <v>0</v>
      </c>
      <c r="S55" s="37"/>
    </row>
    <row r="56" spans="1:19" ht="18.75" thickTop="1" thickBot="1" x14ac:dyDescent="0.35">
      <c r="A56" s="23"/>
      <c r="B56" s="24"/>
      <c r="C56" s="25"/>
      <c r="D56" s="94"/>
      <c r="E56" s="27"/>
      <c r="F56" s="95"/>
      <c r="G56" s="29"/>
      <c r="H56" s="30"/>
      <c r="I56" s="96"/>
      <c r="J56" s="86"/>
      <c r="K56" s="89"/>
      <c r="L56" s="281"/>
      <c r="M56" s="371">
        <f>SUM(M5:M39)</f>
        <v>0</v>
      </c>
      <c r="N56" s="356">
        <f>SUM(N5:N39)</f>
        <v>0</v>
      </c>
      <c r="P56" s="98">
        <f t="shared" si="0"/>
        <v>0</v>
      </c>
      <c r="Q56" s="236">
        <f>SUM(Q5:Q55)</f>
        <v>0</v>
      </c>
      <c r="R56" s="329">
        <f>SUM(R5:R39)</f>
        <v>0</v>
      </c>
    </row>
    <row r="57" spans="1:19" ht="18" thickBot="1" x14ac:dyDescent="0.35">
      <c r="A57" s="23"/>
      <c r="B57" s="24"/>
      <c r="C57" s="100"/>
      <c r="D57" s="94"/>
      <c r="E57" s="27"/>
      <c r="F57" s="101"/>
      <c r="G57" s="29"/>
      <c r="H57" s="30"/>
      <c r="I57" s="96"/>
      <c r="J57" s="86"/>
      <c r="K57" s="102"/>
      <c r="L57" s="281"/>
      <c r="M57" s="372"/>
      <c r="N57" s="357"/>
      <c r="P57" s="36"/>
      <c r="Q57" s="236">
        <f t="shared" si="1"/>
        <v>0</v>
      </c>
      <c r="R57" s="13">
        <v>0</v>
      </c>
    </row>
    <row r="58" spans="1:19" ht="18" thickBot="1" x14ac:dyDescent="0.35">
      <c r="A58" s="23"/>
      <c r="B58" s="111"/>
      <c r="C58" s="107"/>
      <c r="D58" s="108"/>
      <c r="E58" s="112"/>
      <c r="F58" s="109"/>
      <c r="G58" s="110"/>
      <c r="H58" s="113"/>
      <c r="I58" s="91"/>
      <c r="J58" s="86"/>
      <c r="K58" s="287"/>
      <c r="L58" s="216"/>
      <c r="M58" s="105"/>
      <c r="N58" s="106"/>
      <c r="P58" s="36"/>
      <c r="Q58" s="236">
        <f t="shared" si="1"/>
        <v>0</v>
      </c>
    </row>
    <row r="59" spans="1:19" ht="16.5" thickBot="1" x14ac:dyDescent="0.3">
      <c r="A59" s="23"/>
      <c r="B59" s="111"/>
      <c r="C59" s="25">
        <v>0</v>
      </c>
      <c r="D59" s="115"/>
      <c r="E59" s="116"/>
      <c r="F59" s="107"/>
      <c r="H59" s="117"/>
      <c r="I59" s="91"/>
      <c r="J59" s="288"/>
      <c r="K59" s="289"/>
      <c r="L59" s="13"/>
      <c r="M59" s="120"/>
      <c r="N59" s="34"/>
      <c r="P59" s="36"/>
      <c r="Q59" s="9"/>
    </row>
    <row r="60" spans="1:19" ht="16.5" thickBot="1" x14ac:dyDescent="0.3">
      <c r="B60" s="121" t="s">
        <v>10</v>
      </c>
      <c r="C60" s="122">
        <f>SUM(C5:C59)</f>
        <v>2260712.4699999997</v>
      </c>
      <c r="D60" s="123"/>
      <c r="E60" s="124" t="s">
        <v>10</v>
      </c>
      <c r="F60" s="125">
        <f>SUM(F5:F59)</f>
        <v>0</v>
      </c>
      <c r="G60" s="123"/>
      <c r="H60" s="126" t="s">
        <v>11</v>
      </c>
      <c r="I60" s="127">
        <f>SUM(I5:I59)</f>
        <v>0</v>
      </c>
      <c r="J60" s="290"/>
      <c r="K60" s="291" t="s">
        <v>12</v>
      </c>
      <c r="L60" s="292">
        <f>SUM(L5:L59)</f>
        <v>795891.16999999993</v>
      </c>
      <c r="M60" s="131"/>
      <c r="N60" s="131"/>
      <c r="P60" s="36"/>
      <c r="Q60" s="9"/>
    </row>
    <row r="61" spans="1:19" ht="17.25" thickTop="1" thickBot="1" x14ac:dyDescent="0.3">
      <c r="C61" s="4" t="s">
        <v>9</v>
      </c>
      <c r="P61" s="36"/>
      <c r="Q61" s="9"/>
    </row>
    <row r="62" spans="1:19" ht="19.5" thickBot="1" x14ac:dyDescent="0.3">
      <c r="A62" s="133"/>
      <c r="B62" s="134"/>
      <c r="C62" s="1"/>
      <c r="H62" s="358" t="s">
        <v>13</v>
      </c>
      <c r="I62" s="359"/>
      <c r="J62" s="135"/>
      <c r="K62" s="360">
        <f>I60+L60</f>
        <v>795891.16999999993</v>
      </c>
      <c r="L62" s="361"/>
      <c r="M62" s="362">
        <f>N56+M56</f>
        <v>0</v>
      </c>
      <c r="N62" s="363"/>
      <c r="P62" s="36"/>
      <c r="Q62" s="9"/>
    </row>
    <row r="63" spans="1:19" x14ac:dyDescent="0.25">
      <c r="D63" s="355" t="s">
        <v>14</v>
      </c>
      <c r="E63" s="355"/>
      <c r="F63" s="136">
        <f>F60-K62-C60</f>
        <v>-3056603.6399999997</v>
      </c>
      <c r="I63" s="137"/>
      <c r="J63" s="138"/>
      <c r="P63" s="36"/>
      <c r="Q63" s="9"/>
    </row>
    <row r="64" spans="1:19" x14ac:dyDescent="0.25">
      <c r="D64" s="373" t="s">
        <v>15</v>
      </c>
      <c r="E64" s="373"/>
      <c r="F64" s="131">
        <v>0</v>
      </c>
      <c r="I64" s="374" t="s">
        <v>16</v>
      </c>
      <c r="J64" s="375"/>
      <c r="K64" s="388">
        <f>F66+F67+F68</f>
        <v>-2503480.5599999996</v>
      </c>
      <c r="L64" s="389"/>
      <c r="P64" s="36"/>
      <c r="Q64" s="9"/>
    </row>
    <row r="65" spans="2:17" ht="16.5" thickBot="1" x14ac:dyDescent="0.3">
      <c r="D65" s="139"/>
      <c r="E65" s="140"/>
      <c r="F65" s="141">
        <v>0</v>
      </c>
      <c r="I65" s="142"/>
      <c r="J65" s="143"/>
      <c r="K65" s="108"/>
      <c r="L65" s="294"/>
      <c r="Q65" s="9"/>
    </row>
    <row r="66" spans="2:17" ht="16.5" thickTop="1" x14ac:dyDescent="0.25">
      <c r="C66" s="5" t="s">
        <v>9</v>
      </c>
      <c r="E66" s="133" t="s">
        <v>17</v>
      </c>
      <c r="F66" s="131">
        <f>SUM(F63:F65)</f>
        <v>-3056603.6399999997</v>
      </c>
      <c r="H66" s="23"/>
      <c r="I66" s="146" t="s">
        <v>18</v>
      </c>
      <c r="J66" s="147"/>
      <c r="K66" s="390">
        <f>-C4</f>
        <v>-358228.12</v>
      </c>
      <c r="L66" s="391"/>
      <c r="Q66" s="9"/>
    </row>
    <row r="67" spans="2:17" ht="16.5" thickBot="1" x14ac:dyDescent="0.3">
      <c r="D67" s="148" t="s">
        <v>19</v>
      </c>
      <c r="E67" s="133" t="s">
        <v>20</v>
      </c>
      <c r="F67" s="149">
        <v>0</v>
      </c>
    </row>
    <row r="68" spans="2:17" ht="20.25" thickTop="1" thickBot="1" x14ac:dyDescent="0.35">
      <c r="C68" s="150">
        <v>45174</v>
      </c>
      <c r="D68" s="380" t="s">
        <v>21</v>
      </c>
      <c r="E68" s="381"/>
      <c r="F68" s="316">
        <v>553123.07999999996</v>
      </c>
      <c r="I68" s="392" t="s">
        <v>170</v>
      </c>
      <c r="J68" s="393"/>
      <c r="K68" s="402">
        <f>K64+K66</f>
        <v>-2861708.6799999997</v>
      </c>
      <c r="L68" s="402"/>
    </row>
    <row r="69" spans="2:17" ht="17.25" x14ac:dyDescent="0.3">
      <c r="C69" s="152"/>
      <c r="D69" s="153"/>
      <c r="E69" s="154"/>
      <c r="F69" s="155"/>
      <c r="J69" s="295"/>
    </row>
    <row r="70" spans="2:17" ht="15" customHeight="1" x14ac:dyDescent="0.25">
      <c r="I70" s="157"/>
      <c r="J70" s="296"/>
      <c r="K70" s="297"/>
      <c r="L70" s="297"/>
    </row>
    <row r="71" spans="2:17" ht="16.5" customHeight="1" x14ac:dyDescent="0.25">
      <c r="B71" s="159"/>
      <c r="C71" s="160"/>
      <c r="D71" s="161"/>
      <c r="E71" s="36"/>
      <c r="I71" s="157"/>
      <c r="J71" s="296"/>
      <c r="K71" s="297"/>
      <c r="L71" s="297"/>
      <c r="M71" s="162"/>
      <c r="N71" s="133"/>
    </row>
    <row r="72" spans="2:17" x14ac:dyDescent="0.25">
      <c r="B72" s="159"/>
      <c r="C72" s="163"/>
      <c r="E72" s="36"/>
      <c r="M72" s="162"/>
      <c r="N72" s="133"/>
    </row>
    <row r="73" spans="2:17" x14ac:dyDescent="0.25">
      <c r="B73" s="159"/>
      <c r="C73" s="163"/>
      <c r="E73" s="36"/>
      <c r="F73" s="164"/>
      <c r="L73" s="298"/>
      <c r="M73" s="1"/>
    </row>
    <row r="74" spans="2:17" x14ac:dyDescent="0.25">
      <c r="B74" s="159"/>
      <c r="C74" s="163"/>
      <c r="E74" s="36"/>
      <c r="M74" s="1"/>
    </row>
    <row r="75" spans="2:17" x14ac:dyDescent="0.25">
      <c r="B75" s="159"/>
      <c r="C75" s="163"/>
      <c r="E75" s="36"/>
      <c r="F75" s="166"/>
      <c r="M75" s="1"/>
    </row>
    <row r="76" spans="2:17" x14ac:dyDescent="0.25">
      <c r="E76" s="167"/>
      <c r="F76" s="36"/>
      <c r="M76" s="1"/>
    </row>
    <row r="77" spans="2:17" x14ac:dyDescent="0.25">
      <c r="E77" s="167"/>
      <c r="F77" s="36"/>
      <c r="M77" s="1"/>
    </row>
    <row r="78" spans="2:17" x14ac:dyDescent="0.25">
      <c r="E78" s="167"/>
      <c r="F78" s="36"/>
      <c r="M78" s="1"/>
    </row>
    <row r="79" spans="2:17" x14ac:dyDescent="0.25">
      <c r="E79" s="167"/>
      <c r="F79" s="36"/>
      <c r="M79" s="1"/>
    </row>
    <row r="80" spans="2:17" x14ac:dyDescent="0.25">
      <c r="E80" s="167"/>
      <c r="F80" s="36"/>
      <c r="M80" s="1"/>
    </row>
    <row r="81" spans="5:13" x14ac:dyDescent="0.25">
      <c r="E81" s="167"/>
      <c r="F81" s="36"/>
      <c r="M81" s="1"/>
    </row>
    <row r="82" spans="5:13" x14ac:dyDescent="0.25">
      <c r="E82" s="167"/>
      <c r="F82" s="36"/>
      <c r="M82" s="1"/>
    </row>
    <row r="83" spans="5:13" x14ac:dyDescent="0.25">
      <c r="E83" s="167"/>
      <c r="F83" s="36"/>
      <c r="M83" s="1"/>
    </row>
    <row r="84" spans="5:13" x14ac:dyDescent="0.25">
      <c r="E84" s="167"/>
      <c r="F84" s="36"/>
      <c r="M84" s="1"/>
    </row>
    <row r="85" spans="5:13" x14ac:dyDescent="0.25">
      <c r="E85" s="167"/>
      <c r="F85" s="36"/>
      <c r="M85" s="1"/>
    </row>
    <row r="86" spans="5:13" x14ac:dyDescent="0.25">
      <c r="E86" s="167"/>
      <c r="F86" s="36"/>
      <c r="M86" s="1"/>
    </row>
    <row r="87" spans="5:13" x14ac:dyDescent="0.25">
      <c r="E87" s="167"/>
      <c r="F87" s="36"/>
    </row>
    <row r="88" spans="5:13" x14ac:dyDescent="0.25">
      <c r="F88" s="166"/>
    </row>
    <row r="89" spans="5:13" x14ac:dyDescent="0.25">
      <c r="F89" s="166"/>
    </row>
    <row r="90" spans="5:13" x14ac:dyDescent="0.25">
      <c r="F90" s="166"/>
    </row>
  </sheetData>
  <mergeCells count="21">
    <mergeCell ref="R3:R4"/>
    <mergeCell ref="E4:F4"/>
    <mergeCell ref="H4:I4"/>
    <mergeCell ref="P4:Q4"/>
    <mergeCell ref="D63:E63"/>
    <mergeCell ref="N56:N57"/>
    <mergeCell ref="H62:I62"/>
    <mergeCell ref="K62:L62"/>
    <mergeCell ref="M62:N62"/>
    <mergeCell ref="B1:B2"/>
    <mergeCell ref="C1:M1"/>
    <mergeCell ref="B3:C3"/>
    <mergeCell ref="H3:I3"/>
    <mergeCell ref="M56:M57"/>
    <mergeCell ref="D64:E64"/>
    <mergeCell ref="I64:J64"/>
    <mergeCell ref="K64:L64"/>
    <mergeCell ref="K66:L66"/>
    <mergeCell ref="D68:E68"/>
    <mergeCell ref="I68:J68"/>
    <mergeCell ref="K68:L68"/>
  </mergeCells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J115"/>
  <sheetViews>
    <sheetView workbookViewId="0">
      <selection activeCell="D23" sqref="D23"/>
    </sheetView>
  </sheetViews>
  <sheetFormatPr baseColWidth="10" defaultRowHeight="15.75" x14ac:dyDescent="0.25"/>
  <cols>
    <col min="1" max="1" width="14.85546875" style="156" bestFit="1" customWidth="1"/>
    <col min="2" max="2" width="16.42578125" style="207" customWidth="1"/>
    <col min="3" max="3" width="19.5703125" style="1" bestFit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333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334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335"/>
      <c r="B3" s="341"/>
      <c r="C3" s="322"/>
      <c r="D3" s="244"/>
      <c r="E3" s="220"/>
      <c r="F3" s="180">
        <f>C3-E3</f>
        <v>0</v>
      </c>
    </row>
    <row r="4" spans="1:7" ht="22.5" customHeight="1" x14ac:dyDescent="0.25">
      <c r="A4" s="335"/>
      <c r="B4" s="341"/>
      <c r="C4" s="322"/>
      <c r="D4" s="244"/>
      <c r="E4" s="220"/>
      <c r="F4" s="183">
        <f>C4-E4+F3</f>
        <v>0</v>
      </c>
    </row>
    <row r="5" spans="1:7" ht="21" customHeight="1" x14ac:dyDescent="0.25">
      <c r="A5" s="335"/>
      <c r="B5" s="341"/>
      <c r="C5" s="322"/>
      <c r="D5" s="244"/>
      <c r="E5" s="220"/>
      <c r="F5" s="183">
        <f t="shared" ref="F5:F68" si="0">C5-E5+F4</f>
        <v>0</v>
      </c>
    </row>
    <row r="6" spans="1:7" ht="21" customHeight="1" x14ac:dyDescent="0.3">
      <c r="A6" s="335"/>
      <c r="B6" s="341"/>
      <c r="C6" s="322"/>
      <c r="D6" s="244"/>
      <c r="E6" s="220"/>
      <c r="F6" s="183">
        <f t="shared" si="0"/>
        <v>0</v>
      </c>
      <c r="G6" s="184"/>
    </row>
    <row r="7" spans="1:7" ht="21" customHeight="1" x14ac:dyDescent="0.25">
      <c r="A7" s="335"/>
      <c r="B7" s="341"/>
      <c r="C7" s="322"/>
      <c r="D7" s="244"/>
      <c r="E7" s="220"/>
      <c r="F7" s="183">
        <f t="shared" si="0"/>
        <v>0</v>
      </c>
    </row>
    <row r="8" spans="1:7" ht="21" customHeight="1" x14ac:dyDescent="0.25">
      <c r="A8" s="335"/>
      <c r="B8" s="341"/>
      <c r="C8" s="322"/>
      <c r="D8" s="244"/>
      <c r="E8" s="220"/>
      <c r="F8" s="183">
        <f t="shared" si="0"/>
        <v>0</v>
      </c>
    </row>
    <row r="9" spans="1:7" ht="21" customHeight="1" x14ac:dyDescent="0.25">
      <c r="A9" s="335"/>
      <c r="B9" s="341"/>
      <c r="C9" s="322"/>
      <c r="D9" s="181"/>
      <c r="E9" s="149"/>
      <c r="F9" s="183">
        <f t="shared" si="0"/>
        <v>0</v>
      </c>
    </row>
    <row r="10" spans="1:7" ht="21" customHeight="1" x14ac:dyDescent="0.25">
      <c r="A10" s="335"/>
      <c r="B10" s="341"/>
      <c r="C10" s="322"/>
      <c r="D10" s="181"/>
      <c r="E10" s="149"/>
      <c r="F10" s="183">
        <f t="shared" si="0"/>
        <v>0</v>
      </c>
    </row>
    <row r="11" spans="1:7" ht="21" customHeight="1" x14ac:dyDescent="0.25">
      <c r="A11" s="335"/>
      <c r="B11" s="341"/>
      <c r="C11" s="322"/>
      <c r="D11" s="181"/>
      <c r="E11" s="149"/>
      <c r="F11" s="183">
        <f t="shared" si="0"/>
        <v>0</v>
      </c>
    </row>
    <row r="12" spans="1:7" ht="21" customHeight="1" x14ac:dyDescent="0.3">
      <c r="A12" s="335"/>
      <c r="B12" s="341"/>
      <c r="C12" s="322"/>
      <c r="D12" s="181"/>
      <c r="E12" s="149"/>
      <c r="F12" s="183">
        <f t="shared" si="0"/>
        <v>0</v>
      </c>
      <c r="G12" s="184"/>
    </row>
    <row r="13" spans="1:7" ht="21" customHeight="1" x14ac:dyDescent="0.25">
      <c r="A13" s="335"/>
      <c r="B13" s="341"/>
      <c r="C13" s="322"/>
      <c r="D13" s="181"/>
      <c r="E13" s="149"/>
      <c r="F13" s="183">
        <f t="shared" si="0"/>
        <v>0</v>
      </c>
    </row>
    <row r="14" spans="1:7" ht="21" customHeight="1" x14ac:dyDescent="0.25">
      <c r="A14" s="335"/>
      <c r="B14" s="341"/>
      <c r="C14" s="322"/>
      <c r="D14" s="181"/>
      <c r="E14" s="149"/>
      <c r="F14" s="183">
        <f t="shared" si="0"/>
        <v>0</v>
      </c>
    </row>
    <row r="15" spans="1:7" ht="21" customHeight="1" x14ac:dyDescent="0.25">
      <c r="A15" s="335"/>
      <c r="B15" s="341"/>
      <c r="C15" s="322"/>
      <c r="D15" s="181"/>
      <c r="E15" s="149"/>
      <c r="F15" s="183">
        <f t="shared" si="0"/>
        <v>0</v>
      </c>
    </row>
    <row r="16" spans="1:7" ht="21" customHeight="1" x14ac:dyDescent="0.25">
      <c r="A16" s="335"/>
      <c r="B16" s="341"/>
      <c r="C16" s="322"/>
      <c r="D16" s="181"/>
      <c r="E16" s="149"/>
      <c r="F16" s="183">
        <f t="shared" si="0"/>
        <v>0</v>
      </c>
    </row>
    <row r="17" spans="1:10" ht="21" customHeight="1" x14ac:dyDescent="0.25">
      <c r="A17" s="335"/>
      <c r="B17" s="341"/>
      <c r="C17" s="322"/>
      <c r="D17" s="181"/>
      <c r="E17" s="149"/>
      <c r="F17" s="183">
        <f t="shared" si="0"/>
        <v>0</v>
      </c>
    </row>
    <row r="18" spans="1:10" ht="21" customHeight="1" x14ac:dyDescent="0.25">
      <c r="A18" s="335"/>
      <c r="B18" s="341"/>
      <c r="C18" s="322"/>
      <c r="D18" s="181"/>
      <c r="E18" s="149"/>
      <c r="F18" s="183">
        <f t="shared" si="0"/>
        <v>0</v>
      </c>
      <c r="J18" s="133" t="s">
        <v>363</v>
      </c>
    </row>
    <row r="19" spans="1:10" ht="21" customHeight="1" x14ac:dyDescent="0.25">
      <c r="A19" s="335"/>
      <c r="B19" s="341"/>
      <c r="C19" s="322"/>
      <c r="D19" s="181"/>
      <c r="E19" s="149"/>
      <c r="F19" s="183">
        <f t="shared" si="0"/>
        <v>0</v>
      </c>
    </row>
    <row r="20" spans="1:10" ht="21" customHeight="1" x14ac:dyDescent="0.25">
      <c r="A20" s="335"/>
      <c r="B20" s="341"/>
      <c r="C20" s="322"/>
      <c r="D20" s="181"/>
      <c r="E20" s="149"/>
      <c r="F20" s="183">
        <f t="shared" si="0"/>
        <v>0</v>
      </c>
    </row>
    <row r="21" spans="1:10" ht="24.75" customHeight="1" x14ac:dyDescent="0.25">
      <c r="A21" s="335"/>
      <c r="B21" s="341"/>
      <c r="C21" s="322"/>
      <c r="D21" s="181"/>
      <c r="E21" s="149"/>
      <c r="F21" s="183">
        <f t="shared" si="0"/>
        <v>0</v>
      </c>
    </row>
    <row r="22" spans="1:10" ht="21" customHeight="1" x14ac:dyDescent="0.25">
      <c r="A22" s="335"/>
      <c r="B22" s="341"/>
      <c r="C22" s="322"/>
      <c r="D22" s="181"/>
      <c r="E22" s="149"/>
      <c r="F22" s="183">
        <f t="shared" si="0"/>
        <v>0</v>
      </c>
    </row>
    <row r="23" spans="1:10" ht="24.75" customHeight="1" x14ac:dyDescent="0.25">
      <c r="A23" s="335"/>
      <c r="B23" s="341"/>
      <c r="C23" s="322"/>
      <c r="D23" s="181"/>
      <c r="E23" s="149"/>
      <c r="F23" s="183">
        <f t="shared" si="0"/>
        <v>0</v>
      </c>
    </row>
    <row r="24" spans="1:10" ht="21" customHeight="1" x14ac:dyDescent="0.3">
      <c r="A24" s="335"/>
      <c r="B24" s="341"/>
      <c r="C24" s="322"/>
      <c r="D24" s="181"/>
      <c r="E24" s="149"/>
      <c r="F24" s="183">
        <f t="shared" si="0"/>
        <v>0</v>
      </c>
      <c r="G24" s="184"/>
    </row>
    <row r="25" spans="1:10" ht="21" customHeight="1" x14ac:dyDescent="0.25">
      <c r="A25" s="335"/>
      <c r="B25" s="341"/>
      <c r="C25" s="322"/>
      <c r="D25" s="181"/>
      <c r="E25" s="149"/>
      <c r="F25" s="183">
        <f t="shared" si="0"/>
        <v>0</v>
      </c>
    </row>
    <row r="26" spans="1:10" ht="21" customHeight="1" x14ac:dyDescent="0.25">
      <c r="A26" s="335"/>
      <c r="B26" s="341"/>
      <c r="C26" s="322"/>
      <c r="D26" s="181"/>
      <c r="E26" s="149"/>
      <c r="F26" s="183">
        <f t="shared" si="0"/>
        <v>0</v>
      </c>
    </row>
    <row r="27" spans="1:10" ht="21" customHeight="1" x14ac:dyDescent="0.25">
      <c r="A27" s="335"/>
      <c r="B27" s="341"/>
      <c r="C27" s="322"/>
      <c r="D27" s="181"/>
      <c r="E27" s="149"/>
      <c r="F27" s="183">
        <f t="shared" si="0"/>
        <v>0</v>
      </c>
    </row>
    <row r="28" spans="1:10" ht="21" customHeight="1" x14ac:dyDescent="0.25">
      <c r="A28" s="335"/>
      <c r="B28" s="341"/>
      <c r="C28" s="322"/>
      <c r="D28" s="181"/>
      <c r="E28" s="149"/>
      <c r="F28" s="183">
        <f t="shared" si="0"/>
        <v>0</v>
      </c>
    </row>
    <row r="29" spans="1:10" ht="21" customHeight="1" x14ac:dyDescent="0.25">
      <c r="A29" s="335"/>
      <c r="B29" s="341"/>
      <c r="C29" s="322"/>
      <c r="D29" s="181"/>
      <c r="E29" s="149"/>
      <c r="F29" s="183">
        <f t="shared" si="0"/>
        <v>0</v>
      </c>
      <c r="J29" s="149">
        <v>0</v>
      </c>
    </row>
    <row r="30" spans="1:10" ht="21" customHeight="1" x14ac:dyDescent="0.25">
      <c r="A30" s="335"/>
      <c r="B30" s="341"/>
      <c r="C30" s="322"/>
      <c r="D30" s="181"/>
      <c r="E30" s="149"/>
      <c r="F30" s="183">
        <f t="shared" si="0"/>
        <v>0</v>
      </c>
      <c r="J30" s="149">
        <v>0</v>
      </c>
    </row>
    <row r="31" spans="1:10" ht="21" customHeight="1" x14ac:dyDescent="0.25">
      <c r="A31" s="335"/>
      <c r="B31" s="341"/>
      <c r="C31" s="322"/>
      <c r="D31" s="181"/>
      <c r="E31" s="149"/>
      <c r="F31" s="183">
        <f t="shared" si="0"/>
        <v>0</v>
      </c>
      <c r="J31" s="149">
        <v>0</v>
      </c>
    </row>
    <row r="32" spans="1:10" ht="21" customHeight="1" x14ac:dyDescent="0.3">
      <c r="A32" s="335"/>
      <c r="B32" s="341"/>
      <c r="C32" s="322"/>
      <c r="D32" s="181"/>
      <c r="E32" s="149"/>
      <c r="F32" s="183">
        <f t="shared" si="0"/>
        <v>0</v>
      </c>
      <c r="G32" s="184"/>
      <c r="J32" s="149">
        <v>0</v>
      </c>
    </row>
    <row r="33" spans="1:10" ht="21" customHeight="1" x14ac:dyDescent="0.25">
      <c r="A33" s="335"/>
      <c r="B33" s="341"/>
      <c r="C33" s="322"/>
      <c r="D33" s="181"/>
      <c r="E33" s="149"/>
      <c r="F33" s="183">
        <f t="shared" si="0"/>
        <v>0</v>
      </c>
      <c r="J33" s="149">
        <v>0</v>
      </c>
    </row>
    <row r="34" spans="1:10" ht="21" customHeight="1" x14ac:dyDescent="0.25">
      <c r="A34" s="335"/>
      <c r="B34" s="341"/>
      <c r="C34" s="322"/>
      <c r="D34" s="181"/>
      <c r="E34" s="149"/>
      <c r="F34" s="183">
        <f t="shared" si="0"/>
        <v>0</v>
      </c>
      <c r="J34" s="149">
        <v>0</v>
      </c>
    </row>
    <row r="35" spans="1:10" ht="23.25" customHeight="1" x14ac:dyDescent="0.25">
      <c r="A35" s="335"/>
      <c r="B35" s="341"/>
      <c r="C35" s="322"/>
      <c r="D35" s="181"/>
      <c r="E35" s="149"/>
      <c r="F35" s="183">
        <f t="shared" si="0"/>
        <v>0</v>
      </c>
      <c r="J35" s="149">
        <v>0</v>
      </c>
    </row>
    <row r="36" spans="1:10" ht="23.25" customHeight="1" x14ac:dyDescent="0.25">
      <c r="A36" s="335"/>
      <c r="B36" s="341"/>
      <c r="C36" s="322"/>
      <c r="D36" s="181"/>
      <c r="E36" s="149"/>
      <c r="F36" s="183">
        <f t="shared" si="0"/>
        <v>0</v>
      </c>
      <c r="J36" s="133">
        <v>0</v>
      </c>
    </row>
    <row r="37" spans="1:10" ht="23.25" customHeight="1" x14ac:dyDescent="0.25">
      <c r="A37" s="335"/>
      <c r="B37" s="341"/>
      <c r="C37" s="322"/>
      <c r="D37" s="181"/>
      <c r="E37" s="149"/>
      <c r="F37" s="183">
        <f t="shared" si="0"/>
        <v>0</v>
      </c>
      <c r="J37" s="187">
        <f>SUM(J29:J36)</f>
        <v>0</v>
      </c>
    </row>
    <row r="38" spans="1:10" ht="23.25" customHeight="1" x14ac:dyDescent="0.25">
      <c r="A38" s="335"/>
      <c r="B38" s="341"/>
      <c r="C38" s="322"/>
      <c r="D38" s="181"/>
      <c r="E38" s="149"/>
      <c r="F38" s="183">
        <f t="shared" si="0"/>
        <v>0</v>
      </c>
    </row>
    <row r="39" spans="1:10" ht="23.25" customHeight="1" x14ac:dyDescent="0.25">
      <c r="A39" s="335"/>
      <c r="B39" s="341"/>
      <c r="C39" s="322"/>
      <c r="D39" s="181"/>
      <c r="E39" s="149"/>
      <c r="F39" s="183">
        <f t="shared" si="0"/>
        <v>0</v>
      </c>
    </row>
    <row r="40" spans="1:10" ht="23.25" customHeight="1" x14ac:dyDescent="0.25">
      <c r="A40" s="335"/>
      <c r="B40" s="341"/>
      <c r="C40" s="322"/>
      <c r="D40" s="181"/>
      <c r="E40" s="100"/>
      <c r="F40" s="183">
        <f t="shared" si="0"/>
        <v>0</v>
      </c>
    </row>
    <row r="41" spans="1:10" ht="23.25" customHeight="1" x14ac:dyDescent="0.25">
      <c r="A41" s="335"/>
      <c r="B41" s="341"/>
      <c r="C41" s="322"/>
      <c r="D41" s="181"/>
      <c r="E41" s="100"/>
      <c r="F41" s="183">
        <f t="shared" si="0"/>
        <v>0</v>
      </c>
    </row>
    <row r="42" spans="1:10" ht="23.25" customHeight="1" x14ac:dyDescent="0.25">
      <c r="A42" s="335"/>
      <c r="B42" s="341"/>
      <c r="C42" s="322"/>
      <c r="D42" s="185"/>
      <c r="E42" s="100"/>
      <c r="F42" s="183">
        <f t="shared" si="0"/>
        <v>0</v>
      </c>
    </row>
    <row r="43" spans="1:10" ht="23.25" customHeight="1" x14ac:dyDescent="0.25">
      <c r="A43" s="335"/>
      <c r="B43" s="341"/>
      <c r="C43" s="322"/>
      <c r="D43" s="192"/>
      <c r="E43" s="100"/>
      <c r="F43" s="183">
        <f t="shared" si="0"/>
        <v>0</v>
      </c>
    </row>
    <row r="44" spans="1:10" ht="23.25" customHeight="1" x14ac:dyDescent="0.25">
      <c r="A44" s="335"/>
      <c r="B44" s="341"/>
      <c r="C44" s="322"/>
      <c r="D44" s="192"/>
      <c r="E44" s="100"/>
      <c r="F44" s="183">
        <f t="shared" si="0"/>
        <v>0</v>
      </c>
    </row>
    <row r="45" spans="1:10" ht="23.25" customHeight="1" x14ac:dyDescent="0.25">
      <c r="A45" s="335"/>
      <c r="B45" s="341"/>
      <c r="C45" s="322"/>
      <c r="D45" s="192"/>
      <c r="E45" s="100"/>
      <c r="F45" s="183">
        <f t="shared" si="0"/>
        <v>0</v>
      </c>
    </row>
    <row r="46" spans="1:10" ht="23.25" customHeight="1" x14ac:dyDescent="0.25">
      <c r="A46" s="335"/>
      <c r="B46" s="341"/>
      <c r="C46" s="322"/>
      <c r="D46" s="192"/>
      <c r="E46" s="100"/>
      <c r="F46" s="183">
        <f t="shared" si="0"/>
        <v>0</v>
      </c>
    </row>
    <row r="47" spans="1:10" ht="23.25" customHeight="1" x14ac:dyDescent="0.25">
      <c r="A47" s="335"/>
      <c r="B47" s="341"/>
      <c r="C47" s="322"/>
      <c r="D47" s="192"/>
      <c r="E47" s="100"/>
      <c r="F47" s="183">
        <f t="shared" si="0"/>
        <v>0</v>
      </c>
    </row>
    <row r="48" spans="1:10" ht="23.25" customHeight="1" x14ac:dyDescent="0.25">
      <c r="A48" s="335"/>
      <c r="B48" s="341"/>
      <c r="C48" s="322"/>
      <c r="D48" s="192"/>
      <c r="E48" s="100"/>
      <c r="F48" s="183">
        <f t="shared" si="0"/>
        <v>0</v>
      </c>
    </row>
    <row r="49" spans="1:6" ht="23.25" customHeight="1" x14ac:dyDescent="0.25">
      <c r="A49" s="335"/>
      <c r="B49" s="341"/>
      <c r="C49" s="322"/>
      <c r="D49" s="192"/>
      <c r="E49" s="100"/>
      <c r="F49" s="183">
        <f t="shared" si="0"/>
        <v>0</v>
      </c>
    </row>
    <row r="50" spans="1:6" ht="23.25" customHeight="1" x14ac:dyDescent="0.25">
      <c r="A50" s="335"/>
      <c r="B50" s="341"/>
      <c r="C50" s="322"/>
      <c r="D50" s="192"/>
      <c r="E50" s="100"/>
      <c r="F50" s="183">
        <f t="shared" si="0"/>
        <v>0</v>
      </c>
    </row>
    <row r="51" spans="1:6" ht="23.25" customHeight="1" x14ac:dyDescent="0.25">
      <c r="A51" s="335"/>
      <c r="B51" s="341"/>
      <c r="C51" s="322"/>
      <c r="D51" s="192"/>
      <c r="E51" s="100"/>
      <c r="F51" s="183">
        <f t="shared" si="0"/>
        <v>0</v>
      </c>
    </row>
    <row r="52" spans="1:6" ht="23.25" customHeight="1" x14ac:dyDescent="0.25">
      <c r="A52" s="336"/>
      <c r="B52" s="248"/>
      <c r="C52" s="149"/>
      <c r="D52" s="192"/>
      <c r="E52" s="100"/>
      <c r="F52" s="183">
        <f t="shared" si="0"/>
        <v>0</v>
      </c>
    </row>
    <row r="53" spans="1:6" ht="23.25" customHeight="1" x14ac:dyDescent="0.25">
      <c r="A53" s="336"/>
      <c r="B53" s="248"/>
      <c r="C53" s="149"/>
      <c r="D53" s="192"/>
      <c r="E53" s="100"/>
      <c r="F53" s="183">
        <f t="shared" si="0"/>
        <v>0</v>
      </c>
    </row>
    <row r="54" spans="1:6" ht="23.25" customHeight="1" x14ac:dyDescent="0.25">
      <c r="A54" s="336"/>
      <c r="B54" s="248"/>
      <c r="C54" s="149"/>
      <c r="D54" s="192"/>
      <c r="E54" s="100"/>
      <c r="F54" s="183">
        <f t="shared" si="0"/>
        <v>0</v>
      </c>
    </row>
    <row r="55" spans="1:6" ht="23.25" customHeight="1" x14ac:dyDescent="0.25">
      <c r="A55" s="336"/>
      <c r="B55" s="248"/>
      <c r="C55" s="149"/>
      <c r="D55" s="192"/>
      <c r="E55" s="100"/>
      <c r="F55" s="183">
        <f t="shared" si="0"/>
        <v>0</v>
      </c>
    </row>
    <row r="56" spans="1:6" ht="23.25" customHeight="1" x14ac:dyDescent="0.25">
      <c r="A56" s="336"/>
      <c r="B56" s="248"/>
      <c r="C56" s="149"/>
      <c r="D56" s="192"/>
      <c r="E56" s="100"/>
      <c r="F56" s="183">
        <f t="shared" si="0"/>
        <v>0</v>
      </c>
    </row>
    <row r="57" spans="1:6" ht="29.25" customHeight="1" x14ac:dyDescent="0.25">
      <c r="A57" s="337"/>
      <c r="B57" s="194"/>
      <c r="C57" s="100"/>
      <c r="D57" s="192"/>
      <c r="E57" s="100"/>
      <c r="F57" s="183">
        <f t="shared" si="0"/>
        <v>0</v>
      </c>
    </row>
    <row r="58" spans="1:6" ht="29.25" customHeight="1" x14ac:dyDescent="0.25">
      <c r="A58" s="337"/>
      <c r="B58" s="194"/>
      <c r="C58" s="100"/>
      <c r="D58" s="192"/>
      <c r="E58" s="100"/>
      <c r="F58" s="183">
        <f t="shared" si="0"/>
        <v>0</v>
      </c>
    </row>
    <row r="59" spans="1:6" ht="29.25" customHeight="1" x14ac:dyDescent="0.25">
      <c r="A59" s="337"/>
      <c r="B59" s="194"/>
      <c r="C59" s="100"/>
      <c r="D59" s="192"/>
      <c r="E59" s="100"/>
      <c r="F59" s="183">
        <f t="shared" si="0"/>
        <v>0</v>
      </c>
    </row>
    <row r="60" spans="1:6" ht="29.25" customHeight="1" x14ac:dyDescent="0.25">
      <c r="A60" s="337"/>
      <c r="B60" s="194"/>
      <c r="C60" s="100"/>
      <c r="D60" s="192"/>
      <c r="E60" s="100"/>
      <c r="F60" s="183">
        <f t="shared" si="0"/>
        <v>0</v>
      </c>
    </row>
    <row r="61" spans="1:6" ht="29.25" customHeight="1" x14ac:dyDescent="0.25">
      <c r="A61" s="337"/>
      <c r="B61" s="194"/>
      <c r="C61" s="100"/>
      <c r="D61" s="192"/>
      <c r="E61" s="100"/>
      <c r="F61" s="183">
        <f t="shared" si="0"/>
        <v>0</v>
      </c>
    </row>
    <row r="62" spans="1:6" ht="29.25" hidden="1" customHeight="1" x14ac:dyDescent="0.25">
      <c r="A62" s="338"/>
      <c r="B62" s="196"/>
      <c r="C62" s="36"/>
      <c r="D62" s="197"/>
      <c r="E62" s="36"/>
      <c r="F62" s="183">
        <f t="shared" si="0"/>
        <v>0</v>
      </c>
    </row>
    <row r="63" spans="1:6" hidden="1" x14ac:dyDescent="0.25">
      <c r="A63" s="338"/>
      <c r="B63" s="196"/>
      <c r="C63" s="36"/>
      <c r="D63" s="197"/>
      <c r="E63" s="36"/>
      <c r="F63" s="183">
        <f t="shared" si="0"/>
        <v>0</v>
      </c>
    </row>
    <row r="64" spans="1:6" hidden="1" x14ac:dyDescent="0.25">
      <c r="A64" s="338"/>
      <c r="B64" s="196"/>
      <c r="C64" s="36"/>
      <c r="D64" s="197"/>
      <c r="E64" s="36"/>
      <c r="F64" s="183">
        <f t="shared" si="0"/>
        <v>0</v>
      </c>
    </row>
    <row r="65" spans="1:6" hidden="1" x14ac:dyDescent="0.25">
      <c r="A65" s="338"/>
      <c r="B65" s="196"/>
      <c r="C65" s="36"/>
      <c r="D65" s="197"/>
      <c r="E65" s="36"/>
      <c r="F65" s="183">
        <f t="shared" si="0"/>
        <v>0</v>
      </c>
    </row>
    <row r="66" spans="1:6" hidden="1" x14ac:dyDescent="0.25">
      <c r="A66" s="338"/>
      <c r="B66" s="196"/>
      <c r="C66" s="36"/>
      <c r="D66" s="197"/>
      <c r="E66" s="36"/>
      <c r="F66" s="183">
        <f t="shared" si="0"/>
        <v>0</v>
      </c>
    </row>
    <row r="67" spans="1:6" hidden="1" x14ac:dyDescent="0.25">
      <c r="A67" s="338"/>
      <c r="B67" s="196"/>
      <c r="C67" s="36"/>
      <c r="D67" s="197"/>
      <c r="E67" s="36"/>
      <c r="F67" s="183">
        <f t="shared" si="0"/>
        <v>0</v>
      </c>
    </row>
    <row r="68" spans="1:6" hidden="1" x14ac:dyDescent="0.25">
      <c r="A68" s="337"/>
      <c r="B68" s="198"/>
      <c r="C68" s="100"/>
      <c r="D68" s="192"/>
      <c r="E68" s="100"/>
      <c r="F68" s="183">
        <f t="shared" si="0"/>
        <v>0</v>
      </c>
    </row>
    <row r="69" spans="1:6" hidden="1" x14ac:dyDescent="0.25">
      <c r="A69" s="337"/>
      <c r="B69" s="198"/>
      <c r="C69" s="100"/>
      <c r="D69" s="192"/>
      <c r="E69" s="100"/>
      <c r="F69" s="183">
        <f t="shared" ref="F69:F78" si="1">C69-E69+F68</f>
        <v>0</v>
      </c>
    </row>
    <row r="70" spans="1:6" hidden="1" x14ac:dyDescent="0.25">
      <c r="A70" s="337"/>
      <c r="B70" s="198"/>
      <c r="C70" s="100"/>
      <c r="D70" s="192"/>
      <c r="E70" s="100"/>
      <c r="F70" s="183">
        <f t="shared" si="1"/>
        <v>0</v>
      </c>
    </row>
    <row r="71" spans="1:6" hidden="1" x14ac:dyDescent="0.25">
      <c r="A71" s="337"/>
      <c r="B71" s="198"/>
      <c r="C71" s="100"/>
      <c r="D71" s="192"/>
      <c r="E71" s="100"/>
      <c r="F71" s="183">
        <f t="shared" si="1"/>
        <v>0</v>
      </c>
    </row>
    <row r="72" spans="1:6" hidden="1" x14ac:dyDescent="0.25">
      <c r="A72" s="337"/>
      <c r="B72" s="198"/>
      <c r="C72" s="100"/>
      <c r="D72" s="192"/>
      <c r="E72" s="100"/>
      <c r="F72" s="183">
        <f t="shared" si="1"/>
        <v>0</v>
      </c>
    </row>
    <row r="73" spans="1:6" hidden="1" x14ac:dyDescent="0.25">
      <c r="A73" s="337"/>
      <c r="B73" s="198"/>
      <c r="C73" s="100"/>
      <c r="D73" s="192"/>
      <c r="E73" s="100"/>
      <c r="F73" s="183">
        <f t="shared" si="1"/>
        <v>0</v>
      </c>
    </row>
    <row r="74" spans="1:6" hidden="1" x14ac:dyDescent="0.25">
      <c r="A74" s="337"/>
      <c r="B74" s="198"/>
      <c r="C74" s="100"/>
      <c r="D74" s="192"/>
      <c r="E74" s="100"/>
      <c r="F74" s="183">
        <f t="shared" si="1"/>
        <v>0</v>
      </c>
    </row>
    <row r="75" spans="1:6" hidden="1" x14ac:dyDescent="0.25">
      <c r="A75" s="337"/>
      <c r="B75" s="198"/>
      <c r="C75" s="100"/>
      <c r="D75" s="192"/>
      <c r="E75" s="100"/>
      <c r="F75" s="183">
        <f t="shared" si="1"/>
        <v>0</v>
      </c>
    </row>
    <row r="76" spans="1:6" hidden="1" x14ac:dyDescent="0.25">
      <c r="A76" s="337"/>
      <c r="B76" s="198"/>
      <c r="C76" s="100"/>
      <c r="D76" s="192"/>
      <c r="E76" s="100"/>
      <c r="F76" s="183">
        <f t="shared" si="1"/>
        <v>0</v>
      </c>
    </row>
    <row r="77" spans="1:6" hidden="1" x14ac:dyDescent="0.25">
      <c r="A77" s="337"/>
      <c r="B77" s="198"/>
      <c r="C77" s="100"/>
      <c r="D77" s="192"/>
      <c r="E77" s="100"/>
      <c r="F77" s="183">
        <f t="shared" si="1"/>
        <v>0</v>
      </c>
    </row>
    <row r="78" spans="1:6" ht="16.5" thickBot="1" x14ac:dyDescent="0.3">
      <c r="A78" s="339"/>
      <c r="B78" s="200"/>
      <c r="C78" s="36">
        <v>0</v>
      </c>
      <c r="D78" s="197"/>
      <c r="E78" s="36"/>
      <c r="F78" s="183">
        <f t="shared" si="1"/>
        <v>0</v>
      </c>
    </row>
    <row r="79" spans="1:6" ht="39.75" customHeight="1" thickBot="1" x14ac:dyDescent="0.35">
      <c r="A79" s="340"/>
      <c r="B79" s="202"/>
      <c r="C79" s="317">
        <f>SUM(C3:C78)</f>
        <v>0</v>
      </c>
      <c r="D79" s="175"/>
      <c r="E79" s="204">
        <f>SUM(E3:E78)</f>
        <v>0</v>
      </c>
      <c r="F79" s="205">
        <f>F78</f>
        <v>0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7" sqref="C37"/>
    </sheetView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9:F32"/>
  <sheetViews>
    <sheetView topLeftCell="A3" workbookViewId="0">
      <selection activeCell="F28" sqref="F28"/>
    </sheetView>
  </sheetViews>
  <sheetFormatPr baseColWidth="10" defaultRowHeight="18.75" x14ac:dyDescent="0.3"/>
  <cols>
    <col min="3" max="3" width="31" customWidth="1"/>
    <col min="4" max="4" width="22.7109375" style="210" customWidth="1"/>
  </cols>
  <sheetData>
    <row r="9" spans="2:5" x14ac:dyDescent="0.3">
      <c r="B9" s="345">
        <v>45174</v>
      </c>
      <c r="C9" s="6" t="s">
        <v>460</v>
      </c>
      <c r="D9" s="403">
        <v>11424</v>
      </c>
      <c r="E9" t="s">
        <v>461</v>
      </c>
    </row>
    <row r="10" spans="2:5" x14ac:dyDescent="0.3">
      <c r="B10" s="345">
        <v>45175</v>
      </c>
      <c r="C10" s="6" t="s">
        <v>462</v>
      </c>
      <c r="D10" s="403">
        <v>37120</v>
      </c>
      <c r="E10" t="s">
        <v>463</v>
      </c>
    </row>
    <row r="11" spans="2:5" x14ac:dyDescent="0.3">
      <c r="B11" s="345">
        <v>45177</v>
      </c>
      <c r="C11" s="6" t="s">
        <v>464</v>
      </c>
      <c r="D11" s="403">
        <v>14500</v>
      </c>
      <c r="E11" t="s">
        <v>465</v>
      </c>
    </row>
    <row r="12" spans="2:5" x14ac:dyDescent="0.3">
      <c r="B12" s="345">
        <v>45180</v>
      </c>
      <c r="C12" s="6" t="s">
        <v>466</v>
      </c>
      <c r="D12" s="403">
        <v>877000</v>
      </c>
      <c r="E12" t="s">
        <v>467</v>
      </c>
    </row>
    <row r="13" spans="2:5" x14ac:dyDescent="0.3">
      <c r="B13" s="345">
        <v>45180</v>
      </c>
      <c r="C13" s="6" t="s">
        <v>375</v>
      </c>
      <c r="D13" s="403">
        <v>1392</v>
      </c>
      <c r="E13" t="s">
        <v>468</v>
      </c>
    </row>
    <row r="14" spans="2:5" x14ac:dyDescent="0.3">
      <c r="B14" s="345">
        <v>45184</v>
      </c>
      <c r="C14" s="6" t="s">
        <v>469</v>
      </c>
      <c r="D14" s="403">
        <v>4988</v>
      </c>
      <c r="E14" t="s">
        <v>470</v>
      </c>
    </row>
    <row r="15" spans="2:5" x14ac:dyDescent="0.3">
      <c r="B15" s="345">
        <v>45184</v>
      </c>
      <c r="C15" s="6" t="s">
        <v>471</v>
      </c>
      <c r="D15" s="403">
        <v>1107417.6100000001</v>
      </c>
      <c r="E15" t="s">
        <v>472</v>
      </c>
    </row>
    <row r="16" spans="2:5" x14ac:dyDescent="0.3">
      <c r="B16" s="345">
        <v>45187</v>
      </c>
      <c r="C16" s="6" t="s">
        <v>473</v>
      </c>
      <c r="D16" s="403">
        <v>12424</v>
      </c>
      <c r="E16" t="s">
        <v>474</v>
      </c>
    </row>
    <row r="17" spans="2:6" x14ac:dyDescent="0.3">
      <c r="B17" s="345">
        <v>45187</v>
      </c>
      <c r="C17" s="6" t="s">
        <v>111</v>
      </c>
      <c r="D17" s="403">
        <v>549</v>
      </c>
    </row>
    <row r="18" spans="2:6" x14ac:dyDescent="0.3">
      <c r="B18" s="345">
        <v>45189</v>
      </c>
      <c r="C18" s="6" t="s">
        <v>475</v>
      </c>
      <c r="D18" s="403">
        <v>37120</v>
      </c>
      <c r="E18" t="s">
        <v>480</v>
      </c>
    </row>
    <row r="19" spans="2:6" x14ac:dyDescent="0.3">
      <c r="B19" s="345">
        <v>45195</v>
      </c>
      <c r="C19" s="6" t="s">
        <v>476</v>
      </c>
      <c r="D19" s="403">
        <v>612850</v>
      </c>
      <c r="E19" t="s">
        <v>477</v>
      </c>
    </row>
    <row r="20" spans="2:6" x14ac:dyDescent="0.3">
      <c r="B20" s="345">
        <v>45196</v>
      </c>
      <c r="C20" s="6" t="s">
        <v>478</v>
      </c>
      <c r="D20" s="403">
        <v>1031.47</v>
      </c>
    </row>
    <row r="21" spans="2:6" ht="32.25" x14ac:dyDescent="0.3">
      <c r="B21" s="345">
        <v>45197</v>
      </c>
      <c r="C21" s="346" t="s">
        <v>479</v>
      </c>
      <c r="D21" s="210">
        <v>9077</v>
      </c>
      <c r="E21" s="404" t="s">
        <v>481</v>
      </c>
      <c r="F21" s="405"/>
    </row>
    <row r="22" spans="2:6" x14ac:dyDescent="0.3">
      <c r="B22" s="345">
        <v>45198</v>
      </c>
      <c r="C22" s="6" t="s">
        <v>471</v>
      </c>
      <c r="D22" s="210">
        <v>1099966.51</v>
      </c>
      <c r="E22" t="s">
        <v>472</v>
      </c>
    </row>
    <row r="23" spans="2:6" x14ac:dyDescent="0.3">
      <c r="B23" s="6"/>
      <c r="C23" s="6"/>
    </row>
    <row r="24" spans="2:6" x14ac:dyDescent="0.3">
      <c r="B24" s="6"/>
      <c r="C24" s="6"/>
    </row>
    <row r="25" spans="2:6" x14ac:dyDescent="0.3">
      <c r="B25" s="6"/>
      <c r="C25" s="6"/>
    </row>
    <row r="26" spans="2:6" x14ac:dyDescent="0.3">
      <c r="B26" s="6"/>
      <c r="C26" s="6"/>
    </row>
    <row r="27" spans="2:6" x14ac:dyDescent="0.3">
      <c r="B27" s="6"/>
      <c r="C27" s="6"/>
    </row>
    <row r="28" spans="2:6" x14ac:dyDescent="0.3">
      <c r="B28" s="6"/>
      <c r="C28" s="6"/>
    </row>
    <row r="29" spans="2:6" x14ac:dyDescent="0.3">
      <c r="B29" s="6"/>
      <c r="C29" s="6"/>
    </row>
    <row r="30" spans="2:6" x14ac:dyDescent="0.3">
      <c r="B30" s="6"/>
      <c r="C30" s="6"/>
    </row>
    <row r="31" spans="2:6" x14ac:dyDescent="0.3">
      <c r="B31" s="6"/>
      <c r="C31" s="6"/>
    </row>
    <row r="32" spans="2:6" x14ac:dyDescent="0.3">
      <c r="B32" s="6"/>
      <c r="C3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15"/>
  <sheetViews>
    <sheetView topLeftCell="A16" workbookViewId="0">
      <selection activeCell="C88" sqref="C88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77">
        <v>44935</v>
      </c>
      <c r="B3" s="178" t="s">
        <v>31</v>
      </c>
      <c r="C3" s="179">
        <v>66876.399999999994</v>
      </c>
      <c r="D3" s="212">
        <v>44940</v>
      </c>
      <c r="E3" s="213">
        <v>66876.399999999994</v>
      </c>
      <c r="F3" s="180">
        <f>C3-E3</f>
        <v>0</v>
      </c>
    </row>
    <row r="4" spans="1:7" ht="22.5" customHeight="1" x14ac:dyDescent="0.25">
      <c r="A4" s="181">
        <v>44935</v>
      </c>
      <c r="B4" s="182" t="s">
        <v>32</v>
      </c>
      <c r="C4" s="149">
        <v>4200</v>
      </c>
      <c r="D4" s="212">
        <v>44940</v>
      </c>
      <c r="E4" s="214">
        <v>4200</v>
      </c>
      <c r="F4" s="183">
        <f>C4-E4+F3</f>
        <v>0</v>
      </c>
    </row>
    <row r="5" spans="1:7" ht="21" customHeight="1" x14ac:dyDescent="0.25">
      <c r="A5" s="181">
        <v>44936</v>
      </c>
      <c r="B5" s="182" t="s">
        <v>33</v>
      </c>
      <c r="C5" s="149">
        <v>69024</v>
      </c>
      <c r="D5" s="212">
        <v>44940</v>
      </c>
      <c r="E5" s="214">
        <v>69024</v>
      </c>
      <c r="F5" s="183">
        <f t="shared" ref="F5:F68" si="0">C5-E5+F4</f>
        <v>0</v>
      </c>
    </row>
    <row r="6" spans="1:7" ht="21" customHeight="1" x14ac:dyDescent="0.3">
      <c r="A6" s="181">
        <v>44937</v>
      </c>
      <c r="B6" s="182" t="s">
        <v>34</v>
      </c>
      <c r="C6" s="149">
        <v>15219.6</v>
      </c>
      <c r="D6" s="212">
        <v>44940</v>
      </c>
      <c r="E6" s="214">
        <v>15219.6</v>
      </c>
      <c r="F6" s="183">
        <f t="shared" si="0"/>
        <v>0</v>
      </c>
      <c r="G6" s="184"/>
    </row>
    <row r="7" spans="1:7" ht="21" customHeight="1" x14ac:dyDescent="0.25">
      <c r="A7" s="181">
        <v>44938</v>
      </c>
      <c r="B7" s="182" t="s">
        <v>35</v>
      </c>
      <c r="C7" s="149">
        <v>121464.92</v>
      </c>
      <c r="D7" s="212">
        <v>44940</v>
      </c>
      <c r="E7" s="214">
        <v>121464.92</v>
      </c>
      <c r="F7" s="183">
        <f t="shared" si="0"/>
        <v>0</v>
      </c>
    </row>
    <row r="8" spans="1:7" ht="21" customHeight="1" x14ac:dyDescent="0.25">
      <c r="A8" s="181">
        <v>44939</v>
      </c>
      <c r="B8" s="182" t="s">
        <v>36</v>
      </c>
      <c r="C8" s="149">
        <v>97453.87</v>
      </c>
      <c r="D8" s="215">
        <v>44946</v>
      </c>
      <c r="E8" s="216">
        <v>97453.87</v>
      </c>
      <c r="F8" s="183">
        <f t="shared" si="0"/>
        <v>0</v>
      </c>
    </row>
    <row r="9" spans="1:7" ht="21" customHeight="1" x14ac:dyDescent="0.25">
      <c r="A9" s="181">
        <v>44940</v>
      </c>
      <c r="B9" s="182" t="s">
        <v>37</v>
      </c>
      <c r="C9" s="149">
        <v>142167.48000000001</v>
      </c>
      <c r="D9" s="215">
        <v>44946</v>
      </c>
      <c r="E9" s="216">
        <v>142167.48000000001</v>
      </c>
      <c r="F9" s="183">
        <f t="shared" si="0"/>
        <v>0</v>
      </c>
    </row>
    <row r="10" spans="1:7" ht="21" customHeight="1" x14ac:dyDescent="0.25">
      <c r="A10" s="181">
        <v>44942</v>
      </c>
      <c r="B10" s="182" t="s">
        <v>38</v>
      </c>
      <c r="C10" s="149">
        <v>7989.4</v>
      </c>
      <c r="D10" s="215">
        <v>44946</v>
      </c>
      <c r="E10" s="216">
        <v>7989.4</v>
      </c>
      <c r="F10" s="183">
        <f t="shared" si="0"/>
        <v>0</v>
      </c>
    </row>
    <row r="11" spans="1:7" ht="21" customHeight="1" x14ac:dyDescent="0.25">
      <c r="A11" s="181">
        <v>44942</v>
      </c>
      <c r="B11" s="182" t="s">
        <v>39</v>
      </c>
      <c r="C11" s="149">
        <v>89578.1</v>
      </c>
      <c r="D11" s="215">
        <v>44946</v>
      </c>
      <c r="E11" s="216">
        <v>89578.1</v>
      </c>
      <c r="F11" s="183">
        <f t="shared" si="0"/>
        <v>0</v>
      </c>
    </row>
    <row r="12" spans="1:7" ht="21" customHeight="1" x14ac:dyDescent="0.3">
      <c r="A12" s="181">
        <v>44943</v>
      </c>
      <c r="B12" s="182" t="s">
        <v>40</v>
      </c>
      <c r="C12" s="149">
        <v>84731.3</v>
      </c>
      <c r="D12" s="215">
        <v>44946</v>
      </c>
      <c r="E12" s="216">
        <v>84731.3</v>
      </c>
      <c r="F12" s="183">
        <f t="shared" si="0"/>
        <v>0</v>
      </c>
      <c r="G12" s="184"/>
    </row>
    <row r="13" spans="1:7" ht="21" customHeight="1" x14ac:dyDescent="0.25">
      <c r="A13" s="181">
        <v>44943</v>
      </c>
      <c r="B13" s="182" t="s">
        <v>41</v>
      </c>
      <c r="C13" s="149">
        <v>9527</v>
      </c>
      <c r="D13" s="215">
        <v>44946</v>
      </c>
      <c r="E13" s="216">
        <v>9527</v>
      </c>
      <c r="F13" s="183">
        <f t="shared" si="0"/>
        <v>0</v>
      </c>
    </row>
    <row r="14" spans="1:7" ht="21" customHeight="1" x14ac:dyDescent="0.25">
      <c r="A14" s="181">
        <v>44944</v>
      </c>
      <c r="B14" s="182" t="s">
        <v>42</v>
      </c>
      <c r="C14" s="149">
        <v>12017.19</v>
      </c>
      <c r="D14" s="215">
        <v>44946</v>
      </c>
      <c r="E14" s="216">
        <v>12017.19</v>
      </c>
      <c r="F14" s="183">
        <f t="shared" si="0"/>
        <v>0</v>
      </c>
    </row>
    <row r="15" spans="1:7" ht="21" customHeight="1" x14ac:dyDescent="0.25">
      <c r="A15" s="181">
        <v>44945</v>
      </c>
      <c r="B15" s="182" t="s">
        <v>43</v>
      </c>
      <c r="C15" s="149">
        <v>155214</v>
      </c>
      <c r="D15" s="215">
        <v>44946</v>
      </c>
      <c r="E15" s="216">
        <v>155214</v>
      </c>
      <c r="F15" s="183">
        <f t="shared" si="0"/>
        <v>0</v>
      </c>
    </row>
    <row r="16" spans="1:7" ht="21" customHeight="1" x14ac:dyDescent="0.25">
      <c r="A16" s="181">
        <v>44946</v>
      </c>
      <c r="B16" s="182" t="s">
        <v>44</v>
      </c>
      <c r="C16" s="149">
        <v>87505.3</v>
      </c>
      <c r="D16" s="217">
        <v>44953</v>
      </c>
      <c r="E16" s="218">
        <v>87505.3</v>
      </c>
      <c r="F16" s="183">
        <f t="shared" si="0"/>
        <v>0</v>
      </c>
    </row>
    <row r="17" spans="1:10" ht="21" customHeight="1" x14ac:dyDescent="0.25">
      <c r="A17" s="181">
        <v>44947</v>
      </c>
      <c r="B17" s="182" t="s">
        <v>45</v>
      </c>
      <c r="C17" s="149">
        <v>124226.23</v>
      </c>
      <c r="D17" s="217">
        <v>44953</v>
      </c>
      <c r="E17" s="218">
        <v>124226.23</v>
      </c>
      <c r="F17" s="183">
        <f t="shared" si="0"/>
        <v>0</v>
      </c>
    </row>
    <row r="18" spans="1:10" ht="21" customHeight="1" x14ac:dyDescent="0.25">
      <c r="A18" s="181">
        <v>44950</v>
      </c>
      <c r="B18" s="182" t="s">
        <v>46</v>
      </c>
      <c r="C18" s="149">
        <v>74380.55</v>
      </c>
      <c r="D18" s="217">
        <v>44953</v>
      </c>
      <c r="E18" s="218">
        <v>74380.55</v>
      </c>
      <c r="F18" s="183">
        <f t="shared" si="0"/>
        <v>0</v>
      </c>
    </row>
    <row r="19" spans="1:10" ht="21" customHeight="1" x14ac:dyDescent="0.25">
      <c r="A19" s="181">
        <v>44952</v>
      </c>
      <c r="B19" s="182" t="s">
        <v>47</v>
      </c>
      <c r="C19" s="149">
        <v>17080</v>
      </c>
      <c r="D19" s="217">
        <v>44953</v>
      </c>
      <c r="E19" s="218">
        <v>17080</v>
      </c>
      <c r="F19" s="183">
        <f t="shared" si="0"/>
        <v>0</v>
      </c>
    </row>
    <row r="20" spans="1:10" ht="21" customHeight="1" x14ac:dyDescent="0.25">
      <c r="A20" s="181">
        <v>44952</v>
      </c>
      <c r="B20" s="182" t="s">
        <v>48</v>
      </c>
      <c r="C20" s="149">
        <v>135608.74</v>
      </c>
      <c r="D20" s="217">
        <v>44953</v>
      </c>
      <c r="E20" s="218">
        <v>135608.74</v>
      </c>
      <c r="F20" s="183">
        <f t="shared" si="0"/>
        <v>0</v>
      </c>
    </row>
    <row r="21" spans="1:10" ht="24.75" customHeight="1" x14ac:dyDescent="0.25">
      <c r="A21" s="181">
        <v>44952</v>
      </c>
      <c r="B21" s="182" t="s">
        <v>49</v>
      </c>
      <c r="C21" s="149">
        <v>21961.200000000001</v>
      </c>
      <c r="D21" s="217">
        <v>44953</v>
      </c>
      <c r="E21" s="218">
        <v>21961.200000000001</v>
      </c>
      <c r="F21" s="183">
        <f t="shared" si="0"/>
        <v>0</v>
      </c>
    </row>
    <row r="22" spans="1:10" ht="21" customHeight="1" x14ac:dyDescent="0.25">
      <c r="A22" s="181">
        <v>44952</v>
      </c>
      <c r="B22" s="182" t="s">
        <v>50</v>
      </c>
      <c r="C22" s="149">
        <v>748</v>
      </c>
      <c r="D22" s="217">
        <v>44953</v>
      </c>
      <c r="E22" s="218">
        <v>748</v>
      </c>
      <c r="F22" s="183">
        <f t="shared" si="0"/>
        <v>0</v>
      </c>
    </row>
    <row r="23" spans="1:10" ht="21" customHeight="1" x14ac:dyDescent="0.25">
      <c r="A23" s="181">
        <v>44953</v>
      </c>
      <c r="B23" s="182" t="s">
        <v>51</v>
      </c>
      <c r="C23" s="149">
        <v>70003</v>
      </c>
      <c r="D23" s="217">
        <v>44953</v>
      </c>
      <c r="E23" s="218">
        <v>70003</v>
      </c>
      <c r="F23" s="183">
        <f t="shared" si="0"/>
        <v>0</v>
      </c>
    </row>
    <row r="24" spans="1:10" ht="21" customHeight="1" x14ac:dyDescent="0.3">
      <c r="A24" s="181">
        <v>44953</v>
      </c>
      <c r="B24" s="182" t="s">
        <v>52</v>
      </c>
      <c r="C24" s="149">
        <v>616</v>
      </c>
      <c r="D24" s="219">
        <v>44960</v>
      </c>
      <c r="E24" s="220">
        <v>616</v>
      </c>
      <c r="F24" s="183">
        <f t="shared" si="0"/>
        <v>0</v>
      </c>
      <c r="G24" s="184"/>
    </row>
    <row r="25" spans="1:10" ht="21" customHeight="1" x14ac:dyDescent="0.25">
      <c r="A25" s="181">
        <v>44954</v>
      </c>
      <c r="B25" s="182" t="s">
        <v>53</v>
      </c>
      <c r="C25" s="149">
        <v>6048.9</v>
      </c>
      <c r="D25" s="219">
        <v>44960</v>
      </c>
      <c r="E25" s="220">
        <v>6048.9</v>
      </c>
      <c r="F25" s="183">
        <f t="shared" si="0"/>
        <v>0</v>
      </c>
    </row>
    <row r="26" spans="1:10" ht="21" customHeight="1" x14ac:dyDescent="0.25">
      <c r="A26" s="181">
        <v>44954</v>
      </c>
      <c r="B26" s="182" t="s">
        <v>54</v>
      </c>
      <c r="C26" s="149">
        <v>110754.3</v>
      </c>
      <c r="D26" s="219">
        <v>44960</v>
      </c>
      <c r="E26" s="220">
        <v>110754.3</v>
      </c>
      <c r="F26" s="183">
        <f t="shared" si="0"/>
        <v>0</v>
      </c>
    </row>
    <row r="27" spans="1:10" ht="21" customHeight="1" x14ac:dyDescent="0.25">
      <c r="A27" s="181"/>
      <c r="B27" s="182"/>
      <c r="C27" s="149"/>
      <c r="D27" s="185"/>
      <c r="E27" s="149"/>
      <c r="F27" s="183">
        <f t="shared" si="0"/>
        <v>0</v>
      </c>
    </row>
    <row r="28" spans="1:10" ht="21" customHeight="1" x14ac:dyDescent="0.25">
      <c r="A28" s="181"/>
      <c r="B28" s="182"/>
      <c r="C28" s="149"/>
      <c r="D28" s="185"/>
      <c r="E28" s="149"/>
      <c r="F28" s="183">
        <f t="shared" si="0"/>
        <v>0</v>
      </c>
    </row>
    <row r="29" spans="1:10" ht="21" customHeight="1" x14ac:dyDescent="0.25">
      <c r="A29" s="181"/>
      <c r="B29" s="182"/>
      <c r="C29" s="149"/>
      <c r="D29" s="185"/>
      <c r="E29" s="149"/>
      <c r="F29" s="183">
        <f t="shared" si="0"/>
        <v>0</v>
      </c>
      <c r="J29" s="149">
        <v>0</v>
      </c>
    </row>
    <row r="30" spans="1:10" ht="21" hidden="1" customHeight="1" x14ac:dyDescent="0.25">
      <c r="A30" s="185"/>
      <c r="B30" s="186"/>
      <c r="C30" s="149"/>
      <c r="D30" s="185"/>
      <c r="E30" s="149"/>
      <c r="F30" s="183">
        <f t="shared" si="0"/>
        <v>0</v>
      </c>
      <c r="J30" s="149">
        <v>0</v>
      </c>
    </row>
    <row r="31" spans="1:10" ht="21" hidden="1" customHeight="1" x14ac:dyDescent="0.25">
      <c r="A31" s="185"/>
      <c r="B31" s="186"/>
      <c r="C31" s="149"/>
      <c r="D31" s="185"/>
      <c r="E31" s="149"/>
      <c r="F31" s="183">
        <f t="shared" si="0"/>
        <v>0</v>
      </c>
      <c r="J31" s="149">
        <v>0</v>
      </c>
    </row>
    <row r="32" spans="1:10" ht="21" hidden="1" customHeight="1" x14ac:dyDescent="0.3">
      <c r="A32" s="185"/>
      <c r="B32" s="186"/>
      <c r="C32" s="149"/>
      <c r="D32" s="185"/>
      <c r="E32" s="149"/>
      <c r="F32" s="183">
        <f t="shared" si="0"/>
        <v>0</v>
      </c>
      <c r="G32" s="184"/>
      <c r="J32" s="149">
        <v>0</v>
      </c>
    </row>
    <row r="33" spans="1:10" ht="21" hidden="1" customHeight="1" x14ac:dyDescent="0.25">
      <c r="A33" s="185"/>
      <c r="B33" s="186"/>
      <c r="C33" s="149"/>
      <c r="D33" s="185"/>
      <c r="E33" s="149"/>
      <c r="F33" s="183">
        <f t="shared" si="0"/>
        <v>0</v>
      </c>
      <c r="J33" s="149">
        <v>0</v>
      </c>
    </row>
    <row r="34" spans="1:10" ht="21" hidden="1" customHeight="1" x14ac:dyDescent="0.25">
      <c r="A34" s="185"/>
      <c r="B34" s="186"/>
      <c r="C34" s="149"/>
      <c r="D34" s="185"/>
      <c r="E34" s="149"/>
      <c r="F34" s="183">
        <f t="shared" si="0"/>
        <v>0</v>
      </c>
      <c r="J34" s="149">
        <v>0</v>
      </c>
    </row>
    <row r="35" spans="1:10" ht="18.75" hidden="1" customHeight="1" x14ac:dyDescent="0.25">
      <c r="A35" s="185"/>
      <c r="B35" s="186"/>
      <c r="C35" s="149"/>
      <c r="D35" s="185"/>
      <c r="E35" s="149"/>
      <c r="F35" s="183">
        <f t="shared" si="0"/>
        <v>0</v>
      </c>
      <c r="J35" s="149">
        <v>0</v>
      </c>
    </row>
    <row r="36" spans="1:10" ht="18.75" hidden="1" customHeight="1" x14ac:dyDescent="0.25">
      <c r="A36" s="185"/>
      <c r="B36" s="186"/>
      <c r="C36" s="149"/>
      <c r="D36" s="185"/>
      <c r="E36" s="149"/>
      <c r="F36" s="183">
        <f t="shared" si="0"/>
        <v>0</v>
      </c>
      <c r="J36" s="133">
        <v>0</v>
      </c>
    </row>
    <row r="37" spans="1:10" ht="18.75" hidden="1" customHeight="1" x14ac:dyDescent="0.25">
      <c r="A37" s="185"/>
      <c r="B37" s="186"/>
      <c r="C37" s="149"/>
      <c r="D37" s="185"/>
      <c r="E37" s="149"/>
      <c r="F37" s="183">
        <f t="shared" si="0"/>
        <v>0</v>
      </c>
      <c r="J37" s="187">
        <f>SUM(J29:J36)</f>
        <v>0</v>
      </c>
    </row>
    <row r="38" spans="1:10" ht="18.75" hidden="1" customHeight="1" x14ac:dyDescent="0.25">
      <c r="A38" s="185"/>
      <c r="B38" s="186"/>
      <c r="C38" s="149"/>
      <c r="D38" s="185"/>
      <c r="E38" s="149"/>
      <c r="F38" s="183">
        <f t="shared" si="0"/>
        <v>0</v>
      </c>
    </row>
    <row r="39" spans="1:10" ht="18.75" hidden="1" customHeight="1" x14ac:dyDescent="0.25">
      <c r="A39" s="185"/>
      <c r="B39" s="186"/>
      <c r="C39" s="149"/>
      <c r="D39" s="185"/>
      <c r="E39" s="149"/>
      <c r="F39" s="183">
        <f t="shared" si="0"/>
        <v>0</v>
      </c>
    </row>
    <row r="40" spans="1:10" ht="18.75" hidden="1" customHeight="1" x14ac:dyDescent="0.25">
      <c r="A40" s="185"/>
      <c r="B40" s="186"/>
      <c r="C40" s="149"/>
      <c r="D40" s="185"/>
      <c r="E40" s="100"/>
      <c r="F40" s="183">
        <f t="shared" si="0"/>
        <v>0</v>
      </c>
    </row>
    <row r="41" spans="1:10" ht="18.75" hidden="1" customHeight="1" x14ac:dyDescent="0.25">
      <c r="A41" s="185"/>
      <c r="B41" s="186"/>
      <c r="C41" s="149"/>
      <c r="D41" s="185"/>
      <c r="E41" s="100"/>
      <c r="F41" s="183">
        <f t="shared" si="0"/>
        <v>0</v>
      </c>
    </row>
    <row r="42" spans="1:10" ht="18.75" hidden="1" customHeight="1" x14ac:dyDescent="0.25">
      <c r="A42" s="188"/>
      <c r="B42" s="189"/>
      <c r="C42" s="100"/>
      <c r="D42" s="185"/>
      <c r="E42" s="100"/>
      <c r="F42" s="183">
        <f t="shared" si="0"/>
        <v>0</v>
      </c>
    </row>
    <row r="43" spans="1:10" hidden="1" x14ac:dyDescent="0.25">
      <c r="A43" s="190"/>
      <c r="B43" s="191"/>
      <c r="C43" s="100"/>
      <c r="D43" s="192"/>
      <c r="E43" s="100"/>
      <c r="F43" s="183">
        <f t="shared" si="0"/>
        <v>0</v>
      </c>
    </row>
    <row r="44" spans="1:10" ht="15" hidden="1" customHeight="1" x14ac:dyDescent="0.25">
      <c r="A44" s="193"/>
      <c r="B44" s="194"/>
      <c r="C44" s="100"/>
      <c r="D44" s="192"/>
      <c r="E44" s="100"/>
      <c r="F44" s="183">
        <f t="shared" si="0"/>
        <v>0</v>
      </c>
    </row>
    <row r="45" spans="1:10" hidden="1" x14ac:dyDescent="0.25">
      <c r="A45" s="193"/>
      <c r="B45" s="194"/>
      <c r="C45" s="100"/>
      <c r="D45" s="192"/>
      <c r="E45" s="100"/>
      <c r="F45" s="183">
        <f t="shared" si="0"/>
        <v>0</v>
      </c>
    </row>
    <row r="46" spans="1:10" hidden="1" x14ac:dyDescent="0.25">
      <c r="A46" s="193"/>
      <c r="B46" s="194"/>
      <c r="C46" s="100"/>
      <c r="D46" s="192"/>
      <c r="E46" s="100"/>
      <c r="F46" s="183">
        <f t="shared" si="0"/>
        <v>0</v>
      </c>
    </row>
    <row r="47" spans="1:10" hidden="1" x14ac:dyDescent="0.25">
      <c r="A47" s="193"/>
      <c r="B47" s="194"/>
      <c r="C47" s="100"/>
      <c r="D47" s="192"/>
      <c r="E47" s="100"/>
      <c r="F47" s="183">
        <f t="shared" si="0"/>
        <v>0</v>
      </c>
    </row>
    <row r="48" spans="1:10" hidden="1" x14ac:dyDescent="0.25">
      <c r="A48" s="193"/>
      <c r="B48" s="194"/>
      <c r="C48" s="100"/>
      <c r="D48" s="192"/>
      <c r="E48" s="100"/>
      <c r="F48" s="183">
        <f t="shared" si="0"/>
        <v>0</v>
      </c>
    </row>
    <row r="49" spans="1:6" hidden="1" x14ac:dyDescent="0.25">
      <c r="A49" s="193"/>
      <c r="B49" s="194"/>
      <c r="C49" s="100"/>
      <c r="D49" s="192"/>
      <c r="E49" s="100"/>
      <c r="F49" s="183">
        <f t="shared" si="0"/>
        <v>0</v>
      </c>
    </row>
    <row r="50" spans="1:6" hidden="1" x14ac:dyDescent="0.25">
      <c r="A50" s="193"/>
      <c r="B50" s="194"/>
      <c r="C50" s="100"/>
      <c r="D50" s="192"/>
      <c r="E50" s="100"/>
      <c r="F50" s="183">
        <f t="shared" si="0"/>
        <v>0</v>
      </c>
    </row>
    <row r="51" spans="1:6" hidden="1" x14ac:dyDescent="0.25">
      <c r="A51" s="193"/>
      <c r="B51" s="194"/>
      <c r="C51" s="100"/>
      <c r="D51" s="192"/>
      <c r="E51" s="100"/>
      <c r="F51" s="183">
        <f t="shared" si="0"/>
        <v>0</v>
      </c>
    </row>
    <row r="52" spans="1:6" hidden="1" x14ac:dyDescent="0.25">
      <c r="A52" s="193"/>
      <c r="B52" s="194"/>
      <c r="C52" s="100"/>
      <c r="D52" s="192"/>
      <c r="E52" s="100"/>
      <c r="F52" s="183">
        <f t="shared" si="0"/>
        <v>0</v>
      </c>
    </row>
    <row r="53" spans="1:6" hidden="1" x14ac:dyDescent="0.25">
      <c r="A53" s="193"/>
      <c r="B53" s="194"/>
      <c r="C53" s="100"/>
      <c r="D53" s="192"/>
      <c r="E53" s="100"/>
      <c r="F53" s="183">
        <f t="shared" si="0"/>
        <v>0</v>
      </c>
    </row>
    <row r="54" spans="1:6" hidden="1" x14ac:dyDescent="0.25">
      <c r="A54" s="193"/>
      <c r="B54" s="194"/>
      <c r="C54" s="100"/>
      <c r="D54" s="192"/>
      <c r="E54" s="100"/>
      <c r="F54" s="183">
        <f t="shared" si="0"/>
        <v>0</v>
      </c>
    </row>
    <row r="55" spans="1:6" hidden="1" x14ac:dyDescent="0.25">
      <c r="A55" s="193"/>
      <c r="B55" s="194"/>
      <c r="C55" s="100"/>
      <c r="D55" s="192"/>
      <c r="E55" s="100"/>
      <c r="F55" s="183">
        <f t="shared" si="0"/>
        <v>0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0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0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0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0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0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0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0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0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0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0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0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0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0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0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0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0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0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0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0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0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0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0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0</v>
      </c>
    </row>
    <row r="79" spans="1:6" ht="19.5" thickBot="1" x14ac:dyDescent="0.35">
      <c r="A79" s="201"/>
      <c r="B79" s="202"/>
      <c r="C79" s="203">
        <f>SUM(C3:C78)</f>
        <v>1524395.48</v>
      </c>
      <c r="D79" s="175"/>
      <c r="E79" s="204">
        <f>SUM(E3:E78)</f>
        <v>1524395.48</v>
      </c>
      <c r="F79" s="205">
        <f>F78</f>
        <v>0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79"/>
  <sheetViews>
    <sheetView topLeftCell="A37" workbookViewId="0">
      <selection activeCell="E40" sqref="E40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64"/>
      <c r="C1" s="366" t="s">
        <v>61</v>
      </c>
      <c r="D1" s="367"/>
      <c r="E1" s="367"/>
      <c r="F1" s="367"/>
      <c r="G1" s="367"/>
      <c r="H1" s="367"/>
      <c r="I1" s="367"/>
      <c r="J1" s="367"/>
      <c r="K1" s="367"/>
      <c r="L1" s="367"/>
      <c r="M1" s="367"/>
    </row>
    <row r="2" spans="1:21" ht="16.5" thickBot="1" x14ac:dyDescent="0.3">
      <c r="B2" s="365"/>
      <c r="C2" s="4"/>
      <c r="H2" s="6"/>
      <c r="I2" s="7"/>
      <c r="J2" s="8"/>
      <c r="L2" s="3"/>
      <c r="M2" s="7"/>
      <c r="N2" s="9"/>
    </row>
    <row r="3" spans="1:21" ht="21.75" thickBot="1" x14ac:dyDescent="0.35">
      <c r="B3" s="368" t="s">
        <v>0</v>
      </c>
      <c r="C3" s="369"/>
      <c r="D3" s="10"/>
      <c r="E3" s="11"/>
      <c r="F3" s="11"/>
      <c r="H3" s="370" t="s">
        <v>1</v>
      </c>
      <c r="I3" s="370"/>
      <c r="K3" s="13"/>
      <c r="L3" s="13"/>
      <c r="M3" s="6"/>
      <c r="R3" s="347" t="s">
        <v>2</v>
      </c>
    </row>
    <row r="4" spans="1:21" ht="20.25" thickTop="1" thickBot="1" x14ac:dyDescent="0.35">
      <c r="A4" s="14" t="s">
        <v>3</v>
      </c>
      <c r="B4" s="15"/>
      <c r="C4" s="16">
        <v>223528.9</v>
      </c>
      <c r="D4" s="17">
        <v>44955</v>
      </c>
      <c r="E4" s="349" t="s">
        <v>4</v>
      </c>
      <c r="F4" s="350"/>
      <c r="H4" s="351" t="s">
        <v>5</v>
      </c>
      <c r="I4" s="352"/>
      <c r="J4" s="18"/>
      <c r="K4" s="19"/>
      <c r="L4" s="20"/>
      <c r="M4" s="21" t="s">
        <v>6</v>
      </c>
      <c r="N4" s="22" t="s">
        <v>7</v>
      </c>
      <c r="P4" s="386" t="s">
        <v>8</v>
      </c>
      <c r="Q4" s="387"/>
      <c r="R4" s="385"/>
    </row>
    <row r="5" spans="1:21" ht="18" thickBot="1" x14ac:dyDescent="0.35">
      <c r="A5" s="23" t="s">
        <v>9</v>
      </c>
      <c r="B5" s="24">
        <v>44956</v>
      </c>
      <c r="C5" s="25">
        <v>0</v>
      </c>
      <c r="D5" s="26"/>
      <c r="E5" s="27">
        <v>44956</v>
      </c>
      <c r="F5" s="28">
        <v>45769</v>
      </c>
      <c r="G5" s="29"/>
      <c r="H5" s="30">
        <v>44956</v>
      </c>
      <c r="I5" s="31">
        <v>651</v>
      </c>
      <c r="J5" s="8"/>
      <c r="K5" s="32"/>
      <c r="L5" s="9"/>
      <c r="M5" s="33">
        <f>51930+12500</f>
        <v>64430</v>
      </c>
      <c r="N5" s="34">
        <v>373</v>
      </c>
      <c r="O5" s="35"/>
      <c r="P5" s="235">
        <f>N5+M5+L5+I5+C5</f>
        <v>65454</v>
      </c>
      <c r="Q5" s="236">
        <v>0</v>
      </c>
      <c r="R5" s="237">
        <v>19685</v>
      </c>
      <c r="S5" s="37"/>
    </row>
    <row r="6" spans="1:21" ht="18" thickBot="1" x14ac:dyDescent="0.35">
      <c r="A6" s="23"/>
      <c r="B6" s="24">
        <v>44957</v>
      </c>
      <c r="C6" s="25">
        <v>0</v>
      </c>
      <c r="D6" s="38"/>
      <c r="E6" s="27">
        <v>44957</v>
      </c>
      <c r="F6" s="28">
        <v>64735</v>
      </c>
      <c r="G6" s="29"/>
      <c r="H6" s="30">
        <v>44957</v>
      </c>
      <c r="I6" s="31">
        <v>31</v>
      </c>
      <c r="J6" s="39"/>
      <c r="K6" s="40"/>
      <c r="L6" s="41"/>
      <c r="M6" s="33">
        <f>12000+52726</f>
        <v>64726</v>
      </c>
      <c r="N6" s="34">
        <v>1226</v>
      </c>
      <c r="O6" s="35"/>
      <c r="P6" s="235">
        <f>N6+M6+L6+I6+C6</f>
        <v>65983</v>
      </c>
      <c r="Q6" s="236">
        <v>0</v>
      </c>
      <c r="R6" s="237">
        <v>1248</v>
      </c>
      <c r="S6" s="37"/>
      <c r="T6" s="9"/>
    </row>
    <row r="7" spans="1:21" ht="18" thickBot="1" x14ac:dyDescent="0.35">
      <c r="A7" s="23"/>
      <c r="B7" s="24">
        <v>44958</v>
      </c>
      <c r="C7" s="25">
        <v>512.5</v>
      </c>
      <c r="D7" s="42" t="s">
        <v>100</v>
      </c>
      <c r="E7" s="27">
        <v>44958</v>
      </c>
      <c r="F7" s="28">
        <v>50236</v>
      </c>
      <c r="G7" s="29"/>
      <c r="H7" s="30">
        <v>44958</v>
      </c>
      <c r="I7" s="31">
        <v>1452</v>
      </c>
      <c r="J7" s="39"/>
      <c r="K7" s="43"/>
      <c r="L7" s="41"/>
      <c r="M7" s="33">
        <f>46644.5</f>
        <v>46644.5</v>
      </c>
      <c r="N7" s="34">
        <v>1627</v>
      </c>
      <c r="O7" s="35"/>
      <c r="P7" s="235">
        <f>N7+M7+L7+I7+C7</f>
        <v>50236</v>
      </c>
      <c r="Q7" s="236">
        <f t="shared" ref="Q7:Q44" si="0">P7-F7</f>
        <v>0</v>
      </c>
      <c r="R7" s="238">
        <v>0</v>
      </c>
      <c r="S7" s="37"/>
    </row>
    <row r="8" spans="1:21" ht="18" thickBot="1" x14ac:dyDescent="0.35">
      <c r="A8" s="23"/>
      <c r="B8" s="24">
        <v>44959</v>
      </c>
      <c r="C8" s="25">
        <v>0</v>
      </c>
      <c r="D8" s="42"/>
      <c r="E8" s="27">
        <v>44959</v>
      </c>
      <c r="F8" s="28">
        <v>79623</v>
      </c>
      <c r="G8" s="29"/>
      <c r="H8" s="30">
        <v>44959</v>
      </c>
      <c r="I8" s="31">
        <v>118</v>
      </c>
      <c r="J8" s="44">
        <v>44959</v>
      </c>
      <c r="K8" s="45" t="s">
        <v>101</v>
      </c>
      <c r="L8" s="41">
        <v>3200</v>
      </c>
      <c r="M8" s="33">
        <f>15000+57433</f>
        <v>72433</v>
      </c>
      <c r="N8" s="34">
        <v>3872</v>
      </c>
      <c r="O8" s="35"/>
      <c r="P8" s="235">
        <f t="shared" ref="P8:P45" si="1">N8+M8+L8+I8+C8</f>
        <v>79623</v>
      </c>
      <c r="Q8" s="236">
        <f t="shared" si="0"/>
        <v>0</v>
      </c>
      <c r="R8" s="238">
        <v>0</v>
      </c>
      <c r="S8" s="37"/>
    </row>
    <row r="9" spans="1:21" ht="18" thickBot="1" x14ac:dyDescent="0.35">
      <c r="A9" s="23"/>
      <c r="B9" s="24">
        <v>44960</v>
      </c>
      <c r="C9" s="25">
        <v>15644</v>
      </c>
      <c r="D9" s="46" t="s">
        <v>69</v>
      </c>
      <c r="E9" s="27">
        <v>44960</v>
      </c>
      <c r="F9" s="28">
        <v>85123</v>
      </c>
      <c r="G9" s="29"/>
      <c r="H9" s="30">
        <v>44960</v>
      </c>
      <c r="I9" s="31">
        <v>549</v>
      </c>
      <c r="J9" s="39"/>
      <c r="K9" s="47"/>
      <c r="L9" s="41"/>
      <c r="M9" s="33">
        <f>16000+43637</f>
        <v>59637</v>
      </c>
      <c r="N9" s="34">
        <v>9293</v>
      </c>
      <c r="O9" s="35"/>
      <c r="P9" s="235">
        <f t="shared" si="1"/>
        <v>85123</v>
      </c>
      <c r="Q9" s="236">
        <f t="shared" si="0"/>
        <v>0</v>
      </c>
      <c r="R9" s="238">
        <v>0</v>
      </c>
      <c r="S9" s="37"/>
    </row>
    <row r="10" spans="1:21" ht="18" thickBot="1" x14ac:dyDescent="0.35">
      <c r="A10" s="23"/>
      <c r="B10" s="24">
        <v>44961</v>
      </c>
      <c r="C10" s="25">
        <v>0</v>
      </c>
      <c r="D10" s="38"/>
      <c r="E10" s="27">
        <v>44961</v>
      </c>
      <c r="F10" s="28">
        <v>60461</v>
      </c>
      <c r="G10" s="29"/>
      <c r="H10" s="30">
        <v>44961</v>
      </c>
      <c r="I10" s="31">
        <v>543</v>
      </c>
      <c r="J10" s="39">
        <v>44961</v>
      </c>
      <c r="K10" s="48" t="s">
        <v>102</v>
      </c>
      <c r="L10" s="49">
        <v>9000</v>
      </c>
      <c r="M10" s="33">
        <v>43000</v>
      </c>
      <c r="N10" s="34">
        <v>7921</v>
      </c>
      <c r="O10" s="35"/>
      <c r="P10" s="235">
        <f>N10+M10+L10+I10+C10</f>
        <v>60464</v>
      </c>
      <c r="Q10" s="236">
        <f t="shared" si="0"/>
        <v>3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44962</v>
      </c>
      <c r="C11" s="25">
        <v>4120</v>
      </c>
      <c r="D11" s="38" t="s">
        <v>103</v>
      </c>
      <c r="E11" s="27">
        <v>44962</v>
      </c>
      <c r="F11" s="28">
        <v>76230</v>
      </c>
      <c r="G11" s="29"/>
      <c r="H11" s="30">
        <v>44962</v>
      </c>
      <c r="I11" s="31">
        <v>500</v>
      </c>
      <c r="J11" s="44"/>
      <c r="K11" s="50"/>
      <c r="L11" s="41"/>
      <c r="M11" s="33">
        <f>71600+12141</f>
        <v>83741</v>
      </c>
      <c r="N11" s="34">
        <v>4669</v>
      </c>
      <c r="O11" s="35"/>
      <c r="P11" s="235">
        <f>N11+M11+L11+I11+C11</f>
        <v>93030</v>
      </c>
      <c r="Q11" s="236">
        <v>0</v>
      </c>
      <c r="R11" s="237">
        <v>16800</v>
      </c>
      <c r="S11" s="37"/>
    </row>
    <row r="12" spans="1:21" ht="18" thickBot="1" x14ac:dyDescent="0.35">
      <c r="A12" s="23"/>
      <c r="B12" s="24">
        <v>44963</v>
      </c>
      <c r="C12" s="25">
        <v>0</v>
      </c>
      <c r="D12" s="38"/>
      <c r="E12" s="27">
        <v>44963</v>
      </c>
      <c r="F12" s="28">
        <v>111609</v>
      </c>
      <c r="G12" s="29"/>
      <c r="H12" s="30">
        <v>44963</v>
      </c>
      <c r="I12" s="31">
        <v>1110.5</v>
      </c>
      <c r="J12" s="39"/>
      <c r="K12" s="51"/>
      <c r="L12" s="41"/>
      <c r="M12" s="33">
        <f>7000+102247.5</f>
        <v>109247.5</v>
      </c>
      <c r="N12" s="34">
        <v>1251</v>
      </c>
      <c r="O12" s="35"/>
      <c r="P12" s="235">
        <f t="shared" si="1"/>
        <v>111609</v>
      </c>
      <c r="Q12" s="236">
        <f t="shared" si="0"/>
        <v>0</v>
      </c>
      <c r="R12" s="238">
        <v>0</v>
      </c>
      <c r="S12" s="37"/>
    </row>
    <row r="13" spans="1:21" ht="18" thickBot="1" x14ac:dyDescent="0.35">
      <c r="A13" s="23"/>
      <c r="B13" s="24">
        <v>44964</v>
      </c>
      <c r="C13" s="25">
        <v>0</v>
      </c>
      <c r="D13" s="42"/>
      <c r="E13" s="27">
        <v>44964</v>
      </c>
      <c r="F13" s="28">
        <v>58474</v>
      </c>
      <c r="G13" s="29"/>
      <c r="H13" s="30">
        <v>44964</v>
      </c>
      <c r="I13" s="31">
        <v>600.5</v>
      </c>
      <c r="J13" s="39"/>
      <c r="K13" s="40"/>
      <c r="L13" s="41"/>
      <c r="M13" s="33">
        <f>31300+26470</f>
        <v>57770</v>
      </c>
      <c r="N13" s="34">
        <v>98</v>
      </c>
      <c r="O13" s="35"/>
      <c r="P13" s="235">
        <f t="shared" si="1"/>
        <v>58468.5</v>
      </c>
      <c r="Q13" s="239">
        <f t="shared" si="0"/>
        <v>-5.5</v>
      </c>
      <c r="R13" s="238">
        <v>0</v>
      </c>
      <c r="S13" s="37"/>
    </row>
    <row r="14" spans="1:21" ht="18" thickBot="1" x14ac:dyDescent="0.35">
      <c r="A14" s="23"/>
      <c r="B14" s="24">
        <v>44965</v>
      </c>
      <c r="C14" s="25">
        <v>0</v>
      </c>
      <c r="D14" s="46"/>
      <c r="E14" s="27">
        <v>44965</v>
      </c>
      <c r="F14" s="28">
        <v>68469</v>
      </c>
      <c r="G14" s="29"/>
      <c r="H14" s="30">
        <v>44965</v>
      </c>
      <c r="I14" s="31">
        <v>613.5</v>
      </c>
      <c r="J14" s="39"/>
      <c r="K14" s="45"/>
      <c r="L14" s="41"/>
      <c r="M14" s="33">
        <v>66691</v>
      </c>
      <c r="N14" s="34">
        <v>1164</v>
      </c>
      <c r="O14" s="35"/>
      <c r="P14" s="235">
        <f t="shared" si="1"/>
        <v>68468.5</v>
      </c>
      <c r="Q14" s="239">
        <f t="shared" si="0"/>
        <v>-0.5</v>
      </c>
      <c r="R14" s="238">
        <v>0</v>
      </c>
      <c r="S14" s="37"/>
    </row>
    <row r="15" spans="1:21" ht="18" thickBot="1" x14ac:dyDescent="0.35">
      <c r="A15" s="23"/>
      <c r="B15" s="24">
        <v>44966</v>
      </c>
      <c r="C15" s="25">
        <v>0</v>
      </c>
      <c r="D15" s="46"/>
      <c r="E15" s="27">
        <v>44966</v>
      </c>
      <c r="F15" s="28">
        <v>109720</v>
      </c>
      <c r="G15" s="29"/>
      <c r="H15" s="30">
        <v>44966</v>
      </c>
      <c r="I15" s="31">
        <v>164</v>
      </c>
      <c r="J15" s="39"/>
      <c r="K15" s="45"/>
      <c r="L15" s="41"/>
      <c r="M15" s="33">
        <f>51000+48419</f>
        <v>99419</v>
      </c>
      <c r="N15" s="34">
        <v>10137</v>
      </c>
      <c r="O15" s="35"/>
      <c r="P15" s="235">
        <f t="shared" si="1"/>
        <v>109720</v>
      </c>
      <c r="Q15" s="236">
        <f t="shared" si="0"/>
        <v>0</v>
      </c>
      <c r="R15" s="238">
        <v>0</v>
      </c>
      <c r="S15" s="37"/>
    </row>
    <row r="16" spans="1:21" ht="18" thickBot="1" x14ac:dyDescent="0.35">
      <c r="A16" s="23"/>
      <c r="B16" s="24">
        <v>44967</v>
      </c>
      <c r="C16" s="25">
        <v>20370</v>
      </c>
      <c r="D16" s="52" t="s">
        <v>69</v>
      </c>
      <c r="E16" s="27">
        <v>44967</v>
      </c>
      <c r="F16" s="28">
        <v>68417</v>
      </c>
      <c r="G16" s="29"/>
      <c r="H16" s="30">
        <v>44967</v>
      </c>
      <c r="I16" s="31">
        <v>563</v>
      </c>
      <c r="J16" s="39"/>
      <c r="K16" s="45"/>
      <c r="L16" s="9"/>
      <c r="M16" s="33">
        <v>47342</v>
      </c>
      <c r="N16" s="34">
        <v>142</v>
      </c>
      <c r="O16" s="35"/>
      <c r="P16" s="235">
        <f t="shared" si="1"/>
        <v>68417</v>
      </c>
      <c r="Q16" s="236">
        <f t="shared" si="0"/>
        <v>0</v>
      </c>
      <c r="R16" s="238">
        <v>0</v>
      </c>
      <c r="S16" s="37"/>
    </row>
    <row r="17" spans="1:20" ht="18" thickBot="1" x14ac:dyDescent="0.35">
      <c r="A17" s="23"/>
      <c r="B17" s="24">
        <v>44968</v>
      </c>
      <c r="C17" s="25">
        <v>0</v>
      </c>
      <c r="D17" s="46"/>
      <c r="E17" s="27">
        <v>44968</v>
      </c>
      <c r="F17" s="28">
        <v>86248</v>
      </c>
      <c r="G17" s="29"/>
      <c r="H17" s="30">
        <v>44968</v>
      </c>
      <c r="I17" s="31">
        <v>671</v>
      </c>
      <c r="J17" s="39">
        <v>44968</v>
      </c>
      <c r="K17" s="53" t="s">
        <v>104</v>
      </c>
      <c r="L17" s="49">
        <v>9657</v>
      </c>
      <c r="M17" s="33">
        <f>33400+37466</f>
        <v>70866</v>
      </c>
      <c r="N17" s="34">
        <v>5124</v>
      </c>
      <c r="O17" s="35"/>
      <c r="P17" s="235">
        <f t="shared" si="1"/>
        <v>86318</v>
      </c>
      <c r="Q17" s="236">
        <f t="shared" si="0"/>
        <v>70</v>
      </c>
      <c r="R17" s="238">
        <v>0</v>
      </c>
      <c r="S17" s="37"/>
    </row>
    <row r="18" spans="1:20" ht="18" thickBot="1" x14ac:dyDescent="0.35">
      <c r="A18" s="23"/>
      <c r="B18" s="24">
        <v>44969</v>
      </c>
      <c r="C18" s="25">
        <v>4604.5</v>
      </c>
      <c r="D18" s="38" t="s">
        <v>103</v>
      </c>
      <c r="E18" s="27">
        <v>44969</v>
      </c>
      <c r="F18" s="28">
        <v>112257</v>
      </c>
      <c r="G18" s="29"/>
      <c r="H18" s="30">
        <v>44969</v>
      </c>
      <c r="I18" s="31">
        <v>532</v>
      </c>
      <c r="J18" s="39"/>
      <c r="K18" s="54"/>
      <c r="L18" s="41"/>
      <c r="M18" s="33">
        <f>90700+14512</f>
        <v>105212</v>
      </c>
      <c r="N18" s="34">
        <v>1912</v>
      </c>
      <c r="O18" s="35"/>
      <c r="P18" s="235">
        <f t="shared" si="1"/>
        <v>112260.5</v>
      </c>
      <c r="Q18" s="236">
        <f t="shared" si="0"/>
        <v>3.5</v>
      </c>
      <c r="R18" s="238">
        <v>0</v>
      </c>
      <c r="S18" s="37"/>
    </row>
    <row r="19" spans="1:20" ht="18" thickBot="1" x14ac:dyDescent="0.35">
      <c r="A19" s="23"/>
      <c r="B19" s="24">
        <v>44970</v>
      </c>
      <c r="C19" s="25">
        <v>0</v>
      </c>
      <c r="D19" s="38"/>
      <c r="E19" s="27">
        <v>44970</v>
      </c>
      <c r="F19" s="28">
        <v>136132</v>
      </c>
      <c r="G19" s="29"/>
      <c r="H19" s="30">
        <v>44970</v>
      </c>
      <c r="I19" s="31">
        <v>595</v>
      </c>
      <c r="J19" s="39"/>
      <c r="K19" s="55"/>
      <c r="L19" s="56"/>
      <c r="M19" s="33">
        <f>11000+113000+9809</f>
        <v>133809</v>
      </c>
      <c r="N19" s="34">
        <v>1728</v>
      </c>
      <c r="O19" s="35"/>
      <c r="P19" s="235">
        <f t="shared" si="1"/>
        <v>136132</v>
      </c>
      <c r="Q19" s="236">
        <f t="shared" si="0"/>
        <v>0</v>
      </c>
      <c r="R19" s="238">
        <v>0</v>
      </c>
      <c r="S19" s="37"/>
    </row>
    <row r="20" spans="1:20" ht="18" thickBot="1" x14ac:dyDescent="0.35">
      <c r="A20" s="23"/>
      <c r="B20" s="24">
        <v>44971</v>
      </c>
      <c r="C20" s="25">
        <v>0</v>
      </c>
      <c r="D20" s="38"/>
      <c r="E20" s="27">
        <v>44971</v>
      </c>
      <c r="F20" s="28">
        <v>60594</v>
      </c>
      <c r="G20" s="29"/>
      <c r="H20" s="30">
        <v>44971</v>
      </c>
      <c r="I20" s="31">
        <v>616</v>
      </c>
      <c r="J20" s="39"/>
      <c r="K20" s="57"/>
      <c r="L20" s="49"/>
      <c r="M20" s="33">
        <f>22500+37478</f>
        <v>59978</v>
      </c>
      <c r="N20" s="34">
        <v>0</v>
      </c>
      <c r="O20" s="35"/>
      <c r="P20" s="235">
        <f t="shared" si="1"/>
        <v>60594</v>
      </c>
      <c r="Q20" s="236">
        <f t="shared" si="0"/>
        <v>0</v>
      </c>
      <c r="R20" s="238">
        <v>0</v>
      </c>
      <c r="S20" s="37"/>
    </row>
    <row r="21" spans="1:20" ht="18" thickBot="1" x14ac:dyDescent="0.35">
      <c r="A21" s="23"/>
      <c r="B21" s="24">
        <v>44972</v>
      </c>
      <c r="C21" s="25">
        <v>0</v>
      </c>
      <c r="D21" s="38"/>
      <c r="E21" s="27">
        <v>44972</v>
      </c>
      <c r="F21" s="28">
        <v>46506</v>
      </c>
      <c r="G21" s="29"/>
      <c r="H21" s="30">
        <v>44972</v>
      </c>
      <c r="I21" s="31">
        <v>711</v>
      </c>
      <c r="J21" s="39"/>
      <c r="K21" s="58"/>
      <c r="L21" s="49"/>
      <c r="M21" s="33">
        <f>18000+25602</f>
        <v>43602</v>
      </c>
      <c r="N21" s="34">
        <v>2193</v>
      </c>
      <c r="O21" s="35"/>
      <c r="P21" s="235">
        <f t="shared" si="1"/>
        <v>46506</v>
      </c>
      <c r="Q21" s="236">
        <f t="shared" si="0"/>
        <v>0</v>
      </c>
      <c r="R21" s="238">
        <v>0</v>
      </c>
      <c r="S21" s="37"/>
    </row>
    <row r="22" spans="1:20" ht="18" thickBot="1" x14ac:dyDescent="0.35">
      <c r="A22" s="23"/>
      <c r="B22" s="24">
        <v>44973</v>
      </c>
      <c r="C22" s="25">
        <v>37251</v>
      </c>
      <c r="D22" s="38" t="s">
        <v>69</v>
      </c>
      <c r="E22" s="27">
        <v>44973</v>
      </c>
      <c r="F22" s="28">
        <v>64392</v>
      </c>
      <c r="G22" s="29"/>
      <c r="H22" s="30">
        <v>44973</v>
      </c>
      <c r="I22" s="31">
        <v>569</v>
      </c>
      <c r="J22" s="39"/>
      <c r="K22" s="45"/>
      <c r="L22" s="59"/>
      <c r="M22" s="33">
        <f>15692+9200</f>
        <v>24892</v>
      </c>
      <c r="N22" s="34">
        <v>1680</v>
      </c>
      <c r="O22" s="35"/>
      <c r="P22" s="235">
        <f t="shared" si="1"/>
        <v>64392</v>
      </c>
      <c r="Q22" s="236">
        <f t="shared" si="0"/>
        <v>0</v>
      </c>
      <c r="R22" s="238">
        <v>0</v>
      </c>
      <c r="S22" s="37"/>
    </row>
    <row r="23" spans="1:20" ht="18" thickBot="1" x14ac:dyDescent="0.35">
      <c r="A23" s="23"/>
      <c r="B23" s="24">
        <v>44974</v>
      </c>
      <c r="C23" s="25">
        <v>0</v>
      </c>
      <c r="D23" s="46"/>
      <c r="E23" s="27">
        <v>44974</v>
      </c>
      <c r="F23" s="28">
        <v>85305</v>
      </c>
      <c r="G23" s="29"/>
      <c r="H23" s="30">
        <v>44974</v>
      </c>
      <c r="I23" s="31">
        <v>570</v>
      </c>
      <c r="J23" s="60"/>
      <c r="K23" s="61"/>
      <c r="L23" s="49"/>
      <c r="M23" s="33">
        <f>36500+45330</f>
        <v>81830</v>
      </c>
      <c r="N23" s="34">
        <v>2905</v>
      </c>
      <c r="O23" s="35"/>
      <c r="P23" s="235">
        <f t="shared" si="1"/>
        <v>85305</v>
      </c>
      <c r="Q23" s="236">
        <f t="shared" si="0"/>
        <v>0</v>
      </c>
      <c r="R23" s="238">
        <v>0</v>
      </c>
      <c r="S23" s="37"/>
    </row>
    <row r="24" spans="1:20" ht="18" thickBot="1" x14ac:dyDescent="0.35">
      <c r="A24" s="23"/>
      <c r="B24" s="24">
        <v>44975</v>
      </c>
      <c r="C24" s="25">
        <v>568</v>
      </c>
      <c r="D24" s="42" t="s">
        <v>105</v>
      </c>
      <c r="E24" s="27">
        <v>44975</v>
      </c>
      <c r="F24" s="28">
        <v>68722</v>
      </c>
      <c r="G24" s="29"/>
      <c r="H24" s="30">
        <v>44975</v>
      </c>
      <c r="I24" s="31">
        <v>539</v>
      </c>
      <c r="J24" s="62">
        <v>44975</v>
      </c>
      <c r="K24" s="63" t="s">
        <v>106</v>
      </c>
      <c r="L24" s="64">
        <v>8316.67</v>
      </c>
      <c r="M24" s="33">
        <f>38114+15000</f>
        <v>53114</v>
      </c>
      <c r="N24" s="34">
        <v>6184</v>
      </c>
      <c r="O24" s="35"/>
      <c r="P24" s="235">
        <f t="shared" si="1"/>
        <v>68721.67</v>
      </c>
      <c r="Q24" s="236">
        <f t="shared" si="0"/>
        <v>-0.33000000000174623</v>
      </c>
      <c r="R24" s="238">
        <v>0</v>
      </c>
      <c r="S24" s="37"/>
    </row>
    <row r="25" spans="1:20" ht="18" thickBot="1" x14ac:dyDescent="0.35">
      <c r="A25" s="23"/>
      <c r="B25" s="24">
        <v>44976</v>
      </c>
      <c r="C25" s="25">
        <v>0</v>
      </c>
      <c r="D25" s="38"/>
      <c r="E25" s="27">
        <v>44976</v>
      </c>
      <c r="F25" s="28">
        <v>104132</v>
      </c>
      <c r="G25" s="29"/>
      <c r="H25" s="30">
        <v>44976</v>
      </c>
      <c r="I25" s="31">
        <v>500</v>
      </c>
      <c r="J25" s="65"/>
      <c r="K25" s="66"/>
      <c r="L25" s="67"/>
      <c r="M25" s="33">
        <f>88000+13246</f>
        <v>101246</v>
      </c>
      <c r="N25" s="34">
        <v>2386</v>
      </c>
      <c r="O25" s="35"/>
      <c r="P25" s="235">
        <f t="shared" si="1"/>
        <v>104132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44977</v>
      </c>
      <c r="C26" s="25">
        <v>4120</v>
      </c>
      <c r="D26" s="38" t="s">
        <v>103</v>
      </c>
      <c r="E26" s="27">
        <v>44977</v>
      </c>
      <c r="F26" s="28">
        <v>143460</v>
      </c>
      <c r="G26" s="29"/>
      <c r="H26" s="30">
        <v>44977</v>
      </c>
      <c r="I26" s="31">
        <v>633</v>
      </c>
      <c r="J26" s="39"/>
      <c r="K26" s="63"/>
      <c r="L26" s="49"/>
      <c r="M26" s="33">
        <f>5000+133707</f>
        <v>138707</v>
      </c>
      <c r="N26" s="34">
        <v>0</v>
      </c>
      <c r="O26" s="35"/>
      <c r="P26" s="235">
        <f t="shared" si="1"/>
        <v>143460</v>
      </c>
      <c r="Q26" s="236">
        <f t="shared" si="0"/>
        <v>0</v>
      </c>
      <c r="R26" s="238">
        <v>0</v>
      </c>
      <c r="S26" s="37"/>
    </row>
    <row r="27" spans="1:20" ht="18" thickBot="1" x14ac:dyDescent="0.35">
      <c r="A27" s="23"/>
      <c r="B27" s="24">
        <v>44978</v>
      </c>
      <c r="C27" s="25">
        <v>0</v>
      </c>
      <c r="D27" s="42"/>
      <c r="E27" s="27">
        <v>44978</v>
      </c>
      <c r="F27" s="28">
        <v>58359</v>
      </c>
      <c r="G27" s="29"/>
      <c r="H27" s="30">
        <v>44978</v>
      </c>
      <c r="I27" s="31">
        <v>565</v>
      </c>
      <c r="J27" s="68"/>
      <c r="K27" s="69"/>
      <c r="L27" s="67"/>
      <c r="M27" s="33">
        <f>15000+42694</f>
        <v>57694</v>
      </c>
      <c r="N27" s="34">
        <v>0</v>
      </c>
      <c r="O27" s="35"/>
      <c r="P27" s="235">
        <f t="shared" si="1"/>
        <v>58259</v>
      </c>
      <c r="Q27" s="243">
        <f t="shared" si="0"/>
        <v>-100</v>
      </c>
      <c r="R27" s="238">
        <v>0</v>
      </c>
      <c r="S27" s="37"/>
    </row>
    <row r="28" spans="1:20" ht="18" thickBot="1" x14ac:dyDescent="0.35">
      <c r="A28" s="23"/>
      <c r="B28" s="24">
        <v>44979</v>
      </c>
      <c r="C28" s="25">
        <v>0</v>
      </c>
      <c r="D28" s="42"/>
      <c r="E28" s="27">
        <v>44979</v>
      </c>
      <c r="F28" s="28">
        <v>42871</v>
      </c>
      <c r="G28" s="29"/>
      <c r="H28" s="30">
        <v>44979</v>
      </c>
      <c r="I28" s="31">
        <v>563</v>
      </c>
      <c r="J28" s="70"/>
      <c r="K28" s="71"/>
      <c r="L28" s="67"/>
      <c r="M28" s="33">
        <v>40533</v>
      </c>
      <c r="N28" s="34">
        <v>1875</v>
      </c>
      <c r="O28" s="35"/>
      <c r="P28" s="235">
        <f t="shared" si="1"/>
        <v>42971</v>
      </c>
      <c r="Q28" s="243">
        <f t="shared" si="0"/>
        <v>100</v>
      </c>
      <c r="R28" s="238">
        <v>0</v>
      </c>
      <c r="S28" s="37"/>
    </row>
    <row r="29" spans="1:20" ht="18" thickBot="1" x14ac:dyDescent="0.35">
      <c r="A29" s="23"/>
      <c r="B29" s="24">
        <v>44980</v>
      </c>
      <c r="C29" s="25">
        <v>0</v>
      </c>
      <c r="D29" s="72"/>
      <c r="E29" s="27">
        <v>44980</v>
      </c>
      <c r="F29" s="28">
        <v>68524</v>
      </c>
      <c r="G29" s="29"/>
      <c r="H29" s="30">
        <v>44980</v>
      </c>
      <c r="I29" s="31">
        <v>72</v>
      </c>
      <c r="J29" s="68"/>
      <c r="K29" s="73"/>
      <c r="L29" s="67"/>
      <c r="M29" s="33">
        <f>54452+14000</f>
        <v>68452</v>
      </c>
      <c r="N29" s="34">
        <v>0</v>
      </c>
      <c r="O29" s="35"/>
      <c r="P29" s="235">
        <f t="shared" si="1"/>
        <v>68524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44981</v>
      </c>
      <c r="C30" s="25">
        <v>27141</v>
      </c>
      <c r="D30" s="72" t="s">
        <v>69</v>
      </c>
      <c r="E30" s="27">
        <v>44981</v>
      </c>
      <c r="F30" s="28">
        <v>79698</v>
      </c>
      <c r="G30" s="29"/>
      <c r="H30" s="30">
        <v>44981</v>
      </c>
      <c r="I30" s="31">
        <v>124</v>
      </c>
      <c r="J30" s="74"/>
      <c r="K30" s="75"/>
      <c r="L30" s="76"/>
      <c r="M30" s="33">
        <f>11476+35000</f>
        <v>46476</v>
      </c>
      <c r="N30" s="34">
        <v>5957</v>
      </c>
      <c r="O30" s="35"/>
      <c r="P30" s="235">
        <f t="shared" si="1"/>
        <v>79698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44982</v>
      </c>
      <c r="C31" s="25">
        <v>0</v>
      </c>
      <c r="D31" s="77"/>
      <c r="E31" s="27">
        <v>44982</v>
      </c>
      <c r="F31" s="28">
        <v>99687</v>
      </c>
      <c r="G31" s="29"/>
      <c r="H31" s="30">
        <v>44982</v>
      </c>
      <c r="I31" s="31">
        <v>150</v>
      </c>
      <c r="J31" s="74">
        <v>44982</v>
      </c>
      <c r="K31" s="78" t="s">
        <v>107</v>
      </c>
      <c r="L31" s="79">
        <v>9657</v>
      </c>
      <c r="M31" s="33">
        <f>42916+26000</f>
        <v>68916</v>
      </c>
      <c r="N31" s="34">
        <v>20964</v>
      </c>
      <c r="O31" s="35"/>
      <c r="P31" s="235">
        <f t="shared" si="1"/>
        <v>99687</v>
      </c>
      <c r="Q31" s="236">
        <f t="shared" si="0"/>
        <v>0</v>
      </c>
      <c r="R31" s="238">
        <v>0</v>
      </c>
      <c r="S31" s="37"/>
    </row>
    <row r="32" spans="1:20" ht="18" thickBot="1" x14ac:dyDescent="0.35">
      <c r="A32" s="23"/>
      <c r="B32" s="24">
        <v>44983</v>
      </c>
      <c r="C32" s="25">
        <v>0</v>
      </c>
      <c r="D32" s="82"/>
      <c r="E32" s="27">
        <v>44983</v>
      </c>
      <c r="F32" s="28">
        <v>110573</v>
      </c>
      <c r="G32" s="29"/>
      <c r="H32" s="30">
        <v>44983</v>
      </c>
      <c r="I32" s="31">
        <v>0</v>
      </c>
      <c r="J32" s="74"/>
      <c r="K32" s="75"/>
      <c r="L32" s="76"/>
      <c r="M32" s="33">
        <f>8305+101000</f>
        <v>109305</v>
      </c>
      <c r="N32" s="34">
        <v>1268</v>
      </c>
      <c r="O32" s="35"/>
      <c r="P32" s="235">
        <f t="shared" si="1"/>
        <v>110573</v>
      </c>
      <c r="Q32" s="236">
        <f t="shared" si="0"/>
        <v>0</v>
      </c>
      <c r="R32" s="238">
        <v>0</v>
      </c>
      <c r="S32" s="37"/>
    </row>
    <row r="33" spans="1:19" ht="18" thickBot="1" x14ac:dyDescent="0.35">
      <c r="A33" s="23"/>
      <c r="B33" s="24">
        <v>44984</v>
      </c>
      <c r="C33" s="25">
        <v>0</v>
      </c>
      <c r="D33" s="80"/>
      <c r="E33" s="27">
        <v>44984</v>
      </c>
      <c r="F33" s="28">
        <v>144123</v>
      </c>
      <c r="G33" s="29"/>
      <c r="H33" s="30">
        <v>44984</v>
      </c>
      <c r="I33" s="31">
        <v>28</v>
      </c>
      <c r="J33" s="74"/>
      <c r="K33" s="78"/>
      <c r="L33" s="81"/>
      <c r="M33" s="33">
        <f>11500+75000+57539</f>
        <v>144039</v>
      </c>
      <c r="N33" s="34">
        <v>56</v>
      </c>
      <c r="O33" s="35"/>
      <c r="P33" s="235">
        <f t="shared" si="1"/>
        <v>144123</v>
      </c>
      <c r="Q33" s="236">
        <f t="shared" si="0"/>
        <v>0</v>
      </c>
      <c r="R33" s="238">
        <v>0</v>
      </c>
      <c r="S33" s="37"/>
    </row>
    <row r="34" spans="1:19" ht="18" thickBot="1" x14ac:dyDescent="0.35">
      <c r="A34" s="23"/>
      <c r="B34" s="24">
        <v>44985</v>
      </c>
      <c r="C34" s="25">
        <v>0</v>
      </c>
      <c r="D34" s="82"/>
      <c r="E34" s="27">
        <v>44985</v>
      </c>
      <c r="F34" s="28">
        <v>76623</v>
      </c>
      <c r="G34" s="29"/>
      <c r="H34" s="30">
        <v>44985</v>
      </c>
      <c r="I34" s="31">
        <v>599</v>
      </c>
      <c r="J34" s="74"/>
      <c r="K34" s="83"/>
      <c r="L34" s="84"/>
      <c r="M34" s="33">
        <f>17771+30000+27000</f>
        <v>74771</v>
      </c>
      <c r="N34" s="34">
        <v>1253</v>
      </c>
      <c r="O34" s="35"/>
      <c r="P34" s="235">
        <f t="shared" si="1"/>
        <v>76623</v>
      </c>
      <c r="Q34" s="236">
        <f t="shared" si="0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235">
        <f t="shared" si="1"/>
        <v>0</v>
      </c>
      <c r="Q35" s="236">
        <f t="shared" si="0"/>
        <v>0</v>
      </c>
      <c r="R35" s="238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>
        <v>0</v>
      </c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>
        <v>0</v>
      </c>
      <c r="G37" s="29"/>
      <c r="H37" s="30"/>
      <c r="I37" s="31"/>
      <c r="J37" s="74">
        <v>44974</v>
      </c>
      <c r="K37" s="88" t="s">
        <v>113</v>
      </c>
      <c r="L37" s="81">
        <v>1392</v>
      </c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>
        <v>44980</v>
      </c>
      <c r="K38" s="78" t="s">
        <v>109</v>
      </c>
      <c r="L38" s="81">
        <v>979.68</v>
      </c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>
        <v>44979</v>
      </c>
      <c r="K39" s="89" t="s">
        <v>111</v>
      </c>
      <c r="L39" s="76">
        <v>549</v>
      </c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9.5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>
        <v>44977</v>
      </c>
      <c r="K40" s="234" t="s">
        <v>110</v>
      </c>
      <c r="L40" s="76">
        <v>27676</v>
      </c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 t="s">
        <v>114</v>
      </c>
      <c r="K41" s="89" t="s">
        <v>112</v>
      </c>
      <c r="L41" s="76">
        <v>5407.19</v>
      </c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235">
        <v>0</v>
      </c>
      <c r="Q42" s="236">
        <f t="shared" si="0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74"/>
      <c r="K43" s="89"/>
      <c r="L43" s="76"/>
      <c r="M43" s="33">
        <v>0</v>
      </c>
      <c r="N43" s="34">
        <v>0</v>
      </c>
      <c r="O43" s="35"/>
      <c r="P43" s="240">
        <f t="shared" si="1"/>
        <v>0</v>
      </c>
      <c r="Q43" s="241">
        <f t="shared" si="0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74"/>
      <c r="K44" s="89"/>
      <c r="L44" s="76"/>
      <c r="M44" s="92">
        <v>0</v>
      </c>
      <c r="N44" s="93"/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74"/>
      <c r="K45" s="97"/>
      <c r="L45" s="76"/>
      <c r="M45" s="371">
        <f>SUM(M5:M39)</f>
        <v>2238523</v>
      </c>
      <c r="N45" s="356">
        <f>SUM(N5:N39)</f>
        <v>97258</v>
      </c>
      <c r="P45" s="98">
        <f t="shared" si="1"/>
        <v>2335781</v>
      </c>
      <c r="Q45" s="99">
        <f>SUM(Q5:Q39)</f>
        <v>70.169999999998254</v>
      </c>
      <c r="R45" s="99">
        <f>SUM(R5:R39)</f>
        <v>37733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74"/>
      <c r="K46" s="102"/>
      <c r="L46" s="76"/>
      <c r="M46" s="372"/>
      <c r="N46" s="357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74"/>
      <c r="K47" s="114"/>
      <c r="L47" s="81"/>
      <c r="M47" s="105"/>
      <c r="N47" s="106"/>
      <c r="P47" s="36"/>
      <c r="Q47" s="9"/>
    </row>
    <row r="48" spans="1:19" ht="15.7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118"/>
      <c r="K48" s="119"/>
      <c r="L48" s="9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114331</v>
      </c>
      <c r="D49" s="123"/>
      <c r="E49" s="124" t="s">
        <v>10</v>
      </c>
      <c r="F49" s="125">
        <f>SUM(F5:F48)</f>
        <v>2467072</v>
      </c>
      <c r="G49" s="123"/>
      <c r="H49" s="126" t="s">
        <v>11</v>
      </c>
      <c r="I49" s="127">
        <f>SUM(I5:I48)</f>
        <v>14932.5</v>
      </c>
      <c r="J49" s="128"/>
      <c r="K49" s="129" t="s">
        <v>12</v>
      </c>
      <c r="L49" s="130">
        <f>SUM(L5:L48)</f>
        <v>75834.540000000008</v>
      </c>
      <c r="M49" s="131"/>
      <c r="N49" s="131"/>
      <c r="P49" s="36"/>
      <c r="Q49" s="9"/>
    </row>
    <row r="50" spans="1:17" ht="16.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58" t="s">
        <v>13</v>
      </c>
      <c r="I51" s="359"/>
      <c r="J51" s="135"/>
      <c r="K51" s="360">
        <f>I49+L49</f>
        <v>90767.040000000008</v>
      </c>
      <c r="L51" s="361"/>
      <c r="M51" s="362">
        <f>N45+M45</f>
        <v>2335781</v>
      </c>
      <c r="N51" s="363"/>
      <c r="P51" s="36"/>
      <c r="Q51" s="9"/>
    </row>
    <row r="52" spans="1:17" ht="15.75" x14ac:dyDescent="0.25">
      <c r="D52" s="355" t="s">
        <v>14</v>
      </c>
      <c r="E52" s="355"/>
      <c r="F52" s="136">
        <f>F49-K51-C49</f>
        <v>2261973.96</v>
      </c>
      <c r="I52" s="137"/>
      <c r="J52" s="138"/>
      <c r="P52" s="36"/>
      <c r="Q52" s="9"/>
    </row>
    <row r="53" spans="1:17" ht="18.75" x14ac:dyDescent="0.3">
      <c r="D53" s="373" t="s">
        <v>15</v>
      </c>
      <c r="E53" s="373"/>
      <c r="F53" s="131">
        <v>-2224189.7400000002</v>
      </c>
      <c r="I53" s="374" t="s">
        <v>16</v>
      </c>
      <c r="J53" s="375"/>
      <c r="K53" s="376">
        <f>F55+F56+F57</f>
        <v>296963.76999999973</v>
      </c>
      <c r="L53" s="377"/>
      <c r="P53" s="3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9</v>
      </c>
      <c r="E55" s="133" t="s">
        <v>17</v>
      </c>
      <c r="F55" s="131">
        <f>SUM(F52:F54)</f>
        <v>37784.219999999739</v>
      </c>
      <c r="H55" s="23"/>
      <c r="I55" s="146" t="s">
        <v>18</v>
      </c>
      <c r="J55" s="147"/>
      <c r="K55" s="378">
        <f>-C4</f>
        <v>-223528.9</v>
      </c>
      <c r="L55" s="379"/>
    </row>
    <row r="56" spans="1:17" ht="16.5" thickBot="1" x14ac:dyDescent="0.3">
      <c r="D56" s="148" t="s">
        <v>19</v>
      </c>
      <c r="E56" s="133" t="s">
        <v>20</v>
      </c>
      <c r="F56" s="149">
        <v>28625</v>
      </c>
    </row>
    <row r="57" spans="1:17" ht="20.25" thickTop="1" thickBot="1" x14ac:dyDescent="0.35">
      <c r="C57" s="150">
        <v>44985</v>
      </c>
      <c r="D57" s="380" t="s">
        <v>21</v>
      </c>
      <c r="E57" s="381"/>
      <c r="F57" s="151">
        <v>230554.55</v>
      </c>
      <c r="I57" s="382" t="s">
        <v>22</v>
      </c>
      <c r="J57" s="383"/>
      <c r="K57" s="384">
        <f>K53+K55</f>
        <v>73434.869999999733</v>
      </c>
      <c r="L57" s="384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3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36"/>
      <c r="M61" s="162"/>
      <c r="N61" s="133"/>
    </row>
    <row r="62" spans="1:17" ht="15.75" x14ac:dyDescent="0.25">
      <c r="B62" s="159"/>
      <c r="C62" s="163"/>
      <c r="E62" s="36"/>
      <c r="F62" s="164"/>
      <c r="L62" s="165"/>
      <c r="M62" s="1"/>
    </row>
    <row r="63" spans="1:17" ht="15.75" x14ac:dyDescent="0.25">
      <c r="B63" s="159"/>
      <c r="C63" s="163"/>
      <c r="E63" s="36"/>
      <c r="M63" s="1"/>
    </row>
    <row r="64" spans="1:17" ht="15.75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5"/>
  <sheetViews>
    <sheetView workbookViewId="0">
      <selection activeCell="B45" sqref="B45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44956</v>
      </c>
      <c r="B3" s="182" t="s">
        <v>55</v>
      </c>
      <c r="C3" s="149">
        <v>78896</v>
      </c>
      <c r="D3" s="221">
        <v>44960</v>
      </c>
      <c r="E3" s="220">
        <v>78896</v>
      </c>
      <c r="F3" s="180">
        <f>C3-E3</f>
        <v>0</v>
      </c>
    </row>
    <row r="4" spans="1:7" ht="22.5" customHeight="1" x14ac:dyDescent="0.25">
      <c r="A4" s="181">
        <v>44958</v>
      </c>
      <c r="B4" s="182" t="s">
        <v>57</v>
      </c>
      <c r="C4" s="149">
        <v>3852.85</v>
      </c>
      <c r="D4" s="221">
        <v>44960</v>
      </c>
      <c r="E4" s="220">
        <v>3852.85</v>
      </c>
      <c r="F4" s="183">
        <f>C4-E4+F3</f>
        <v>0</v>
      </c>
    </row>
    <row r="5" spans="1:7" ht="21" customHeight="1" x14ac:dyDescent="0.25">
      <c r="A5" s="181">
        <v>44958</v>
      </c>
      <c r="B5" s="182" t="s">
        <v>56</v>
      </c>
      <c r="C5" s="149">
        <v>33129.599999999999</v>
      </c>
      <c r="D5" s="221">
        <v>44960</v>
      </c>
      <c r="E5" s="220">
        <v>33129.599999999999</v>
      </c>
      <c r="F5" s="183">
        <f t="shared" ref="F5:F68" si="0">C5-E5+F4</f>
        <v>0</v>
      </c>
    </row>
    <row r="6" spans="1:7" ht="21" customHeight="1" x14ac:dyDescent="0.3">
      <c r="A6" s="185">
        <v>44958</v>
      </c>
      <c r="B6" s="186" t="s">
        <v>58</v>
      </c>
      <c r="C6" s="149">
        <v>77299.399999999994</v>
      </c>
      <c r="D6" s="221">
        <v>44960</v>
      </c>
      <c r="E6" s="220">
        <v>77299.399999999994</v>
      </c>
      <c r="F6" s="183">
        <f t="shared" si="0"/>
        <v>0</v>
      </c>
      <c r="G6" s="184"/>
    </row>
    <row r="7" spans="1:7" ht="21" customHeight="1" x14ac:dyDescent="0.25">
      <c r="A7" s="185">
        <v>44959</v>
      </c>
      <c r="B7" s="186" t="s">
        <v>59</v>
      </c>
      <c r="C7" s="149">
        <v>83397.55</v>
      </c>
      <c r="D7" s="221">
        <v>44960</v>
      </c>
      <c r="E7" s="220">
        <v>83397.55</v>
      </c>
      <c r="F7" s="183">
        <f t="shared" si="0"/>
        <v>0</v>
      </c>
    </row>
    <row r="8" spans="1:7" ht="21" customHeight="1" x14ac:dyDescent="0.25">
      <c r="A8" s="185">
        <v>44959</v>
      </c>
      <c r="B8" s="186" t="s">
        <v>60</v>
      </c>
      <c r="C8" s="149">
        <v>44916</v>
      </c>
      <c r="D8" s="221">
        <v>44960</v>
      </c>
      <c r="E8" s="220">
        <v>44916</v>
      </c>
      <c r="F8" s="183">
        <f t="shared" si="0"/>
        <v>0</v>
      </c>
    </row>
    <row r="9" spans="1:7" ht="21" customHeight="1" x14ac:dyDescent="0.25">
      <c r="A9" s="181">
        <v>44960</v>
      </c>
      <c r="B9" s="182" t="s">
        <v>62</v>
      </c>
      <c r="C9" s="149">
        <v>59628.54</v>
      </c>
      <c r="D9" s="225">
        <v>44968</v>
      </c>
      <c r="E9" s="226">
        <v>59628.54</v>
      </c>
      <c r="F9" s="183">
        <f t="shared" si="0"/>
        <v>0</v>
      </c>
    </row>
    <row r="10" spans="1:7" ht="21" customHeight="1" x14ac:dyDescent="0.25">
      <c r="A10" s="181">
        <v>44960</v>
      </c>
      <c r="B10" s="182" t="s">
        <v>63</v>
      </c>
      <c r="C10" s="149">
        <v>34552</v>
      </c>
      <c r="D10" s="225">
        <v>44968</v>
      </c>
      <c r="E10" s="226">
        <v>34552</v>
      </c>
      <c r="F10" s="183">
        <f t="shared" si="0"/>
        <v>0</v>
      </c>
    </row>
    <row r="11" spans="1:7" ht="21" customHeight="1" x14ac:dyDescent="0.25">
      <c r="A11" s="181">
        <v>44961</v>
      </c>
      <c r="B11" s="182" t="s">
        <v>64</v>
      </c>
      <c r="C11" s="149">
        <v>111300.16</v>
      </c>
      <c r="D11" s="225">
        <v>44968</v>
      </c>
      <c r="E11" s="226">
        <v>111300.16</v>
      </c>
      <c r="F11" s="183">
        <f t="shared" si="0"/>
        <v>0</v>
      </c>
    </row>
    <row r="12" spans="1:7" ht="21" customHeight="1" x14ac:dyDescent="0.3">
      <c r="A12" s="181">
        <v>44963</v>
      </c>
      <c r="B12" s="182" t="s">
        <v>65</v>
      </c>
      <c r="C12" s="149">
        <v>9963</v>
      </c>
      <c r="D12" s="225">
        <v>44968</v>
      </c>
      <c r="E12" s="226">
        <v>9963</v>
      </c>
      <c r="F12" s="183">
        <f t="shared" si="0"/>
        <v>0</v>
      </c>
      <c r="G12" s="184"/>
    </row>
    <row r="13" spans="1:7" ht="21" customHeight="1" x14ac:dyDescent="0.25">
      <c r="A13" s="181">
        <v>44963</v>
      </c>
      <c r="B13" s="182" t="s">
        <v>66</v>
      </c>
      <c r="C13" s="149">
        <v>75529.25</v>
      </c>
      <c r="D13" s="225">
        <v>44968</v>
      </c>
      <c r="E13" s="226">
        <v>75529.25</v>
      </c>
      <c r="F13" s="183">
        <f t="shared" si="0"/>
        <v>0</v>
      </c>
    </row>
    <row r="14" spans="1:7" ht="21" customHeight="1" x14ac:dyDescent="0.25">
      <c r="A14" s="181">
        <v>44964</v>
      </c>
      <c r="B14" s="182" t="s">
        <v>77</v>
      </c>
      <c r="C14" s="149">
        <v>83670.740000000005</v>
      </c>
      <c r="D14" s="225">
        <v>44968</v>
      </c>
      <c r="E14" s="226">
        <v>83670.740000000005</v>
      </c>
      <c r="F14" s="183">
        <f t="shared" si="0"/>
        <v>0</v>
      </c>
    </row>
    <row r="15" spans="1:7" ht="21" customHeight="1" x14ac:dyDescent="0.25">
      <c r="A15" s="181">
        <v>44965</v>
      </c>
      <c r="B15" s="182" t="s">
        <v>78</v>
      </c>
      <c r="C15" s="149">
        <v>12446</v>
      </c>
      <c r="D15" s="225">
        <v>44968</v>
      </c>
      <c r="E15" s="226">
        <v>12446</v>
      </c>
      <c r="F15" s="183">
        <f t="shared" si="0"/>
        <v>0</v>
      </c>
    </row>
    <row r="16" spans="1:7" ht="21" customHeight="1" x14ac:dyDescent="0.25">
      <c r="A16" s="181">
        <v>44965</v>
      </c>
      <c r="B16" s="182" t="s">
        <v>79</v>
      </c>
      <c r="C16" s="149">
        <v>45123.76</v>
      </c>
      <c r="D16" s="225">
        <v>44968</v>
      </c>
      <c r="E16" s="226">
        <v>45123.76</v>
      </c>
      <c r="F16" s="183">
        <f t="shared" si="0"/>
        <v>0</v>
      </c>
    </row>
    <row r="17" spans="1:10" ht="21" customHeight="1" x14ac:dyDescent="0.25">
      <c r="A17" s="181">
        <v>44967</v>
      </c>
      <c r="B17" s="182" t="s">
        <v>80</v>
      </c>
      <c r="C17" s="149">
        <v>166731.16</v>
      </c>
      <c r="D17" s="225">
        <v>44968</v>
      </c>
      <c r="E17" s="226">
        <v>166731.16</v>
      </c>
      <c r="F17" s="183">
        <f t="shared" si="0"/>
        <v>0</v>
      </c>
    </row>
    <row r="18" spans="1:10" ht="21" customHeight="1" x14ac:dyDescent="0.25">
      <c r="A18" s="181">
        <v>44967</v>
      </c>
      <c r="B18" s="182" t="s">
        <v>81</v>
      </c>
      <c r="C18" s="149">
        <v>6377.4</v>
      </c>
      <c r="D18" s="225">
        <v>44968</v>
      </c>
      <c r="E18" s="226">
        <v>6377.4</v>
      </c>
      <c r="F18" s="183">
        <f t="shared" si="0"/>
        <v>0</v>
      </c>
    </row>
    <row r="19" spans="1:10" ht="21" customHeight="1" x14ac:dyDescent="0.25">
      <c r="A19" s="181">
        <v>44968</v>
      </c>
      <c r="B19" s="182" t="s">
        <v>82</v>
      </c>
      <c r="C19" s="149">
        <v>152217.42000000001</v>
      </c>
      <c r="D19" s="227">
        <v>44975</v>
      </c>
      <c r="E19" s="228">
        <v>152217.42000000001</v>
      </c>
      <c r="F19" s="183">
        <f t="shared" si="0"/>
        <v>0</v>
      </c>
    </row>
    <row r="20" spans="1:10" ht="21" customHeight="1" x14ac:dyDescent="0.25">
      <c r="A20" s="181">
        <v>44970</v>
      </c>
      <c r="B20" s="182" t="s">
        <v>83</v>
      </c>
      <c r="C20" s="149">
        <v>45703.76</v>
      </c>
      <c r="D20" s="227">
        <v>44975</v>
      </c>
      <c r="E20" s="228">
        <v>45703.76</v>
      </c>
      <c r="F20" s="183">
        <f t="shared" si="0"/>
        <v>0</v>
      </c>
    </row>
    <row r="21" spans="1:10" ht="24.75" customHeight="1" x14ac:dyDescent="0.25">
      <c r="A21" s="181">
        <v>44971</v>
      </c>
      <c r="B21" s="182" t="s">
        <v>84</v>
      </c>
      <c r="C21" s="149">
        <v>8278.6</v>
      </c>
      <c r="D21" s="227">
        <v>44975</v>
      </c>
      <c r="E21" s="228">
        <v>8278.6</v>
      </c>
      <c r="F21" s="183">
        <f t="shared" si="0"/>
        <v>0</v>
      </c>
    </row>
    <row r="22" spans="1:10" ht="21" customHeight="1" x14ac:dyDescent="0.25">
      <c r="A22" s="181">
        <v>44971</v>
      </c>
      <c r="B22" s="182" t="s">
        <v>85</v>
      </c>
      <c r="C22" s="149">
        <v>110776.46</v>
      </c>
      <c r="D22" s="227">
        <v>44975</v>
      </c>
      <c r="E22" s="228">
        <v>110776.46</v>
      </c>
      <c r="F22" s="183">
        <f t="shared" si="0"/>
        <v>0</v>
      </c>
    </row>
    <row r="23" spans="1:10" ht="21" customHeight="1" x14ac:dyDescent="0.25">
      <c r="A23" s="181">
        <v>44972</v>
      </c>
      <c r="B23" s="182" t="s">
        <v>86</v>
      </c>
      <c r="C23" s="149">
        <v>20044.8</v>
      </c>
      <c r="D23" s="227">
        <v>44975</v>
      </c>
      <c r="E23" s="228">
        <v>20044.8</v>
      </c>
      <c r="F23" s="183">
        <f t="shared" si="0"/>
        <v>0</v>
      </c>
    </row>
    <row r="24" spans="1:10" ht="21" customHeight="1" x14ac:dyDescent="0.3">
      <c r="A24" s="181">
        <v>44972</v>
      </c>
      <c r="B24" s="182" t="s">
        <v>87</v>
      </c>
      <c r="C24" s="149">
        <v>844.44</v>
      </c>
      <c r="D24" s="227">
        <v>44975</v>
      </c>
      <c r="E24" s="228">
        <v>844.44</v>
      </c>
      <c r="F24" s="183">
        <f t="shared" si="0"/>
        <v>0</v>
      </c>
      <c r="G24" s="184"/>
    </row>
    <row r="25" spans="1:10" ht="21" customHeight="1" x14ac:dyDescent="0.25">
      <c r="A25" s="181">
        <v>44973</v>
      </c>
      <c r="B25" s="182" t="s">
        <v>88</v>
      </c>
      <c r="C25" s="149">
        <v>69518.399999999994</v>
      </c>
      <c r="D25" s="227">
        <v>44975</v>
      </c>
      <c r="E25" s="228">
        <v>69518.399999999994</v>
      </c>
      <c r="F25" s="183">
        <f t="shared" si="0"/>
        <v>0</v>
      </c>
    </row>
    <row r="26" spans="1:10" ht="21" customHeight="1" x14ac:dyDescent="0.25">
      <c r="A26" s="181">
        <v>44974</v>
      </c>
      <c r="B26" s="182" t="s">
        <v>89</v>
      </c>
      <c r="C26" s="149">
        <v>105172.87</v>
      </c>
      <c r="D26" s="229">
        <v>44982</v>
      </c>
      <c r="E26" s="230">
        <v>105172.87</v>
      </c>
      <c r="F26" s="183">
        <f t="shared" si="0"/>
        <v>0</v>
      </c>
    </row>
    <row r="27" spans="1:10" ht="21" customHeight="1" x14ac:dyDescent="0.25">
      <c r="A27" s="181">
        <v>44975</v>
      </c>
      <c r="B27" s="182" t="s">
        <v>90</v>
      </c>
      <c r="C27" s="149">
        <v>116872.96000000001</v>
      </c>
      <c r="D27" s="229">
        <v>44982</v>
      </c>
      <c r="E27" s="230">
        <v>116872.96000000001</v>
      </c>
      <c r="F27" s="183">
        <f t="shared" si="0"/>
        <v>0</v>
      </c>
    </row>
    <row r="28" spans="1:10" ht="21" customHeight="1" x14ac:dyDescent="0.25">
      <c r="A28" s="181">
        <v>44975</v>
      </c>
      <c r="B28" s="182" t="s">
        <v>91</v>
      </c>
      <c r="C28" s="149">
        <v>4177.6000000000004</v>
      </c>
      <c r="D28" s="229">
        <v>44982</v>
      </c>
      <c r="E28" s="230">
        <v>4177.6000000000004</v>
      </c>
      <c r="F28" s="183">
        <f t="shared" si="0"/>
        <v>0</v>
      </c>
    </row>
    <row r="29" spans="1:10" ht="21" customHeight="1" x14ac:dyDescent="0.25">
      <c r="A29" s="181">
        <v>44975</v>
      </c>
      <c r="B29" s="182" t="s">
        <v>92</v>
      </c>
      <c r="C29" s="149">
        <v>16299.2</v>
      </c>
      <c r="D29" s="229">
        <v>44982</v>
      </c>
      <c r="E29" s="230">
        <v>16299.2</v>
      </c>
      <c r="F29" s="183">
        <f t="shared" si="0"/>
        <v>0</v>
      </c>
      <c r="J29" s="149">
        <v>0</v>
      </c>
    </row>
    <row r="30" spans="1:10" ht="21" customHeight="1" x14ac:dyDescent="0.25">
      <c r="A30" s="185">
        <v>44975</v>
      </c>
      <c r="B30" s="186" t="s">
        <v>93</v>
      </c>
      <c r="C30" s="149">
        <v>4728</v>
      </c>
      <c r="D30" s="229">
        <v>44982</v>
      </c>
      <c r="E30" s="230">
        <v>4728</v>
      </c>
      <c r="F30" s="183">
        <f t="shared" si="0"/>
        <v>0</v>
      </c>
      <c r="J30" s="149">
        <v>0</v>
      </c>
    </row>
    <row r="31" spans="1:10" ht="21" customHeight="1" x14ac:dyDescent="0.25">
      <c r="A31" s="185">
        <v>44978</v>
      </c>
      <c r="B31" s="186" t="s">
        <v>94</v>
      </c>
      <c r="C31" s="149">
        <v>152507.28</v>
      </c>
      <c r="D31" s="229">
        <v>44982</v>
      </c>
      <c r="E31" s="230">
        <v>152507.28</v>
      </c>
      <c r="F31" s="183">
        <f t="shared" si="0"/>
        <v>0</v>
      </c>
      <c r="J31" s="149">
        <v>0</v>
      </c>
    </row>
    <row r="32" spans="1:10" ht="21" customHeight="1" x14ac:dyDescent="0.3">
      <c r="A32" s="185">
        <v>44980</v>
      </c>
      <c r="B32" s="186" t="s">
        <v>95</v>
      </c>
      <c r="C32" s="149">
        <v>36653.4</v>
      </c>
      <c r="D32" s="229">
        <v>44982</v>
      </c>
      <c r="E32" s="230">
        <v>36653.4</v>
      </c>
      <c r="F32" s="183">
        <f t="shared" si="0"/>
        <v>0</v>
      </c>
      <c r="G32" s="184"/>
      <c r="J32" s="149">
        <v>0</v>
      </c>
    </row>
    <row r="33" spans="1:10" ht="21" customHeight="1" x14ac:dyDescent="0.25">
      <c r="A33" s="185">
        <v>44980</v>
      </c>
      <c r="B33" s="186" t="s">
        <v>99</v>
      </c>
      <c r="C33" s="149">
        <v>139527.16</v>
      </c>
      <c r="D33" s="229">
        <v>44982</v>
      </c>
      <c r="E33" s="230">
        <v>139527.16</v>
      </c>
      <c r="F33" s="183">
        <f t="shared" si="0"/>
        <v>0</v>
      </c>
      <c r="J33" s="149">
        <v>0</v>
      </c>
    </row>
    <row r="34" spans="1:10" ht="21" customHeight="1" x14ac:dyDescent="0.25">
      <c r="A34" s="185">
        <v>44982</v>
      </c>
      <c r="B34" s="186" t="s">
        <v>96</v>
      </c>
      <c r="C34" s="149">
        <v>146926.39000000001</v>
      </c>
      <c r="D34" s="185"/>
      <c r="E34" s="149"/>
      <c r="F34" s="183">
        <f t="shared" si="0"/>
        <v>146926.39000000001</v>
      </c>
      <c r="J34" s="149">
        <v>0</v>
      </c>
    </row>
    <row r="35" spans="1:10" ht="18.75" customHeight="1" x14ac:dyDescent="0.25">
      <c r="A35" s="185">
        <v>44982</v>
      </c>
      <c r="B35" s="186" t="s">
        <v>97</v>
      </c>
      <c r="C35" s="149">
        <v>77936.95</v>
      </c>
      <c r="D35" s="185"/>
      <c r="E35" s="149"/>
      <c r="F35" s="183">
        <f t="shared" si="0"/>
        <v>224863.34000000003</v>
      </c>
      <c r="J35" s="149">
        <v>0</v>
      </c>
    </row>
    <row r="36" spans="1:10" ht="18.75" customHeight="1" x14ac:dyDescent="0.25">
      <c r="A36" s="185">
        <v>44984</v>
      </c>
      <c r="B36" s="186" t="s">
        <v>98</v>
      </c>
      <c r="C36" s="149">
        <v>89190.64</v>
      </c>
      <c r="D36" s="185"/>
      <c r="E36" s="149"/>
      <c r="F36" s="183">
        <f t="shared" si="0"/>
        <v>314053.98000000004</v>
      </c>
      <c r="J36" s="133">
        <v>0</v>
      </c>
    </row>
    <row r="37" spans="1:10" ht="18.75" customHeight="1" x14ac:dyDescent="0.25">
      <c r="A37" s="185"/>
      <c r="B37" s="186"/>
      <c r="C37" s="149"/>
      <c r="D37" s="185"/>
      <c r="E37" s="149"/>
      <c r="F37" s="183">
        <f t="shared" si="0"/>
        <v>314053.98000000004</v>
      </c>
      <c r="J37" s="187">
        <f>SUM(J29:J36)</f>
        <v>0</v>
      </c>
    </row>
    <row r="38" spans="1:10" ht="18.75" customHeight="1" x14ac:dyDescent="0.25">
      <c r="A38" s="185"/>
      <c r="B38" s="186"/>
      <c r="C38" s="149"/>
      <c r="D38" s="185"/>
      <c r="E38" s="149"/>
      <c r="F38" s="183">
        <f t="shared" si="0"/>
        <v>314053.98000000004</v>
      </c>
    </row>
    <row r="39" spans="1:10" ht="18.75" customHeight="1" x14ac:dyDescent="0.25">
      <c r="A39" s="185"/>
      <c r="B39" s="186"/>
      <c r="C39" s="149"/>
      <c r="D39" s="185"/>
      <c r="E39" s="149"/>
      <c r="F39" s="183">
        <f t="shared" si="0"/>
        <v>314053.98000000004</v>
      </c>
    </row>
    <row r="40" spans="1:10" ht="18.75" customHeight="1" x14ac:dyDescent="0.25">
      <c r="A40" s="185"/>
      <c r="B40" s="186"/>
      <c r="C40" s="149"/>
      <c r="D40" s="185"/>
      <c r="E40" s="100"/>
      <c r="F40" s="183">
        <f t="shared" si="0"/>
        <v>314053.98000000004</v>
      </c>
    </row>
    <row r="41" spans="1:10" ht="18.75" customHeight="1" x14ac:dyDescent="0.25">
      <c r="A41" s="185"/>
      <c r="B41" s="186"/>
      <c r="C41" s="149"/>
      <c r="D41" s="185"/>
      <c r="E41" s="100"/>
      <c r="F41" s="183">
        <f t="shared" si="0"/>
        <v>314053.98000000004</v>
      </c>
    </row>
    <row r="42" spans="1:10" ht="18.75" customHeight="1" x14ac:dyDescent="0.25">
      <c r="A42" s="188"/>
      <c r="B42" s="189"/>
      <c r="C42" s="100"/>
      <c r="D42" s="185"/>
      <c r="E42" s="100"/>
      <c r="F42" s="183">
        <f t="shared" si="0"/>
        <v>314053.98000000004</v>
      </c>
    </row>
    <row r="43" spans="1:10" x14ac:dyDescent="0.25">
      <c r="A43" s="190"/>
      <c r="B43" s="191"/>
      <c r="C43" s="100"/>
      <c r="D43" s="192"/>
      <c r="E43" s="100"/>
      <c r="F43" s="183">
        <f t="shared" si="0"/>
        <v>314053.98000000004</v>
      </c>
    </row>
    <row r="44" spans="1:10" ht="15" customHeight="1" x14ac:dyDescent="0.25">
      <c r="A44" s="193"/>
      <c r="B44" s="194"/>
      <c r="C44" s="100"/>
      <c r="D44" s="192"/>
      <c r="E44" s="100"/>
      <c r="F44" s="183">
        <f t="shared" si="0"/>
        <v>314053.98000000004</v>
      </c>
    </row>
    <row r="45" spans="1:10" x14ac:dyDescent="0.25">
      <c r="A45" s="193"/>
      <c r="B45" s="194"/>
      <c r="C45" s="100"/>
      <c r="D45" s="192"/>
      <c r="E45" s="100"/>
      <c r="F45" s="183">
        <f t="shared" si="0"/>
        <v>314053.98000000004</v>
      </c>
    </row>
    <row r="46" spans="1:10" x14ac:dyDescent="0.25">
      <c r="A46" s="193"/>
      <c r="B46" s="194"/>
      <c r="C46" s="100"/>
      <c r="D46" s="192"/>
      <c r="E46" s="100"/>
      <c r="F46" s="183">
        <f t="shared" si="0"/>
        <v>314053.98000000004</v>
      </c>
    </row>
    <row r="47" spans="1:10" x14ac:dyDescent="0.25">
      <c r="A47" s="193"/>
      <c r="B47" s="194"/>
      <c r="C47" s="100"/>
      <c r="D47" s="192"/>
      <c r="E47" s="100"/>
      <c r="F47" s="183">
        <f t="shared" si="0"/>
        <v>314053.98000000004</v>
      </c>
    </row>
    <row r="48" spans="1:10" x14ac:dyDescent="0.25">
      <c r="A48" s="193"/>
      <c r="B48" s="194"/>
      <c r="C48" s="100"/>
      <c r="D48" s="192"/>
      <c r="E48" s="100"/>
      <c r="F48" s="183">
        <f t="shared" si="0"/>
        <v>314053.98000000004</v>
      </c>
    </row>
    <row r="49" spans="1:6" x14ac:dyDescent="0.25">
      <c r="A49" s="193"/>
      <c r="B49" s="194"/>
      <c r="C49" s="100"/>
      <c r="D49" s="192"/>
      <c r="E49" s="100"/>
      <c r="F49" s="183">
        <f t="shared" si="0"/>
        <v>314053.98000000004</v>
      </c>
    </row>
    <row r="50" spans="1:6" x14ac:dyDescent="0.25">
      <c r="A50" s="193"/>
      <c r="B50" s="194"/>
      <c r="C50" s="100"/>
      <c r="D50" s="192"/>
      <c r="E50" s="100"/>
      <c r="F50" s="183">
        <f t="shared" si="0"/>
        <v>314053.98000000004</v>
      </c>
    </row>
    <row r="51" spans="1:6" x14ac:dyDescent="0.25">
      <c r="A51" s="193"/>
      <c r="B51" s="194"/>
      <c r="C51" s="100"/>
      <c r="D51" s="192"/>
      <c r="E51" s="100"/>
      <c r="F51" s="183">
        <f t="shared" si="0"/>
        <v>314053.98000000004</v>
      </c>
    </row>
    <row r="52" spans="1:6" x14ac:dyDescent="0.25">
      <c r="A52" s="193"/>
      <c r="B52" s="194"/>
      <c r="C52" s="100"/>
      <c r="D52" s="192"/>
      <c r="E52" s="100"/>
      <c r="F52" s="183">
        <f t="shared" si="0"/>
        <v>314053.98000000004</v>
      </c>
    </row>
    <row r="53" spans="1:6" x14ac:dyDescent="0.25">
      <c r="A53" s="193"/>
      <c r="B53" s="194"/>
      <c r="C53" s="100"/>
      <c r="D53" s="192"/>
      <c r="E53" s="100"/>
      <c r="F53" s="183">
        <f t="shared" si="0"/>
        <v>314053.98000000004</v>
      </c>
    </row>
    <row r="54" spans="1:6" x14ac:dyDescent="0.25">
      <c r="A54" s="193"/>
      <c r="B54" s="194"/>
      <c r="C54" s="100"/>
      <c r="D54" s="192"/>
      <c r="E54" s="100"/>
      <c r="F54" s="183">
        <f t="shared" si="0"/>
        <v>314053.98000000004</v>
      </c>
    </row>
    <row r="55" spans="1:6" x14ac:dyDescent="0.25">
      <c r="A55" s="193"/>
      <c r="B55" s="194"/>
      <c r="C55" s="100"/>
      <c r="D55" s="192"/>
      <c r="E55" s="100"/>
      <c r="F55" s="183">
        <f t="shared" si="0"/>
        <v>314053.98000000004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314053.98000000004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314053.98000000004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314053.98000000004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314053.98000000004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314053.98000000004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314053.98000000004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314053.98000000004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314053.98000000004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314053.98000000004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314053.98000000004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314053.98000000004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314053.98000000004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314053.98000000004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314053.98000000004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314053.98000000004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314053.98000000004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314053.98000000004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314053.98000000004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314053.98000000004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314053.98000000004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314053.98000000004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314053.98000000004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314053.98000000004</v>
      </c>
    </row>
    <row r="79" spans="1:6" ht="19.5" thickBot="1" x14ac:dyDescent="0.35">
      <c r="A79" s="201"/>
      <c r="B79" s="202"/>
      <c r="C79" s="203">
        <f>SUM(C3:C78)</f>
        <v>2224189.7400000002</v>
      </c>
      <c r="D79" s="175"/>
      <c r="E79" s="204">
        <f>SUM(E3:E78)</f>
        <v>1910135.76</v>
      </c>
      <c r="F79" s="205">
        <f>F78</f>
        <v>314053.98000000004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workbookViewId="0">
      <pane xSplit="1" ySplit="4" topLeftCell="B38" activePane="bottomRight" state="frozen"/>
      <selection pane="topRight" activeCell="B1" sqref="B1"/>
      <selection pane="bottomLeft" activeCell="A5" sqref="A5"/>
      <selection pane="bottomRight" activeCell="H61" sqref="H61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64"/>
      <c r="C1" s="366" t="s">
        <v>115</v>
      </c>
      <c r="D1" s="367"/>
      <c r="E1" s="367"/>
      <c r="F1" s="367"/>
      <c r="G1" s="367"/>
      <c r="H1" s="367"/>
      <c r="I1" s="367"/>
      <c r="J1" s="367"/>
      <c r="K1" s="367"/>
      <c r="L1" s="367"/>
      <c r="M1" s="367"/>
    </row>
    <row r="2" spans="1:21" ht="16.5" thickBot="1" x14ac:dyDescent="0.3">
      <c r="B2" s="365"/>
      <c r="C2" s="4"/>
      <c r="H2" s="6"/>
      <c r="I2" s="7"/>
      <c r="J2" s="251"/>
      <c r="L2" s="253"/>
      <c r="M2" s="7"/>
      <c r="N2" s="9"/>
    </row>
    <row r="3" spans="1:21" ht="21.75" thickBot="1" x14ac:dyDescent="0.35">
      <c r="B3" s="368" t="s">
        <v>0</v>
      </c>
      <c r="C3" s="369"/>
      <c r="D3" s="10"/>
      <c r="E3" s="11"/>
      <c r="F3" s="11"/>
      <c r="H3" s="370" t="s">
        <v>1</v>
      </c>
      <c r="I3" s="370"/>
      <c r="K3" s="13"/>
      <c r="L3" s="13"/>
      <c r="M3" s="6"/>
      <c r="R3" s="347" t="s">
        <v>2</v>
      </c>
    </row>
    <row r="4" spans="1:21" ht="20.25" thickTop="1" thickBot="1" x14ac:dyDescent="0.35">
      <c r="A4" s="14" t="s">
        <v>3</v>
      </c>
      <c r="B4" s="15"/>
      <c r="C4" s="16">
        <v>230554.55</v>
      </c>
      <c r="D4" s="17">
        <v>44985</v>
      </c>
      <c r="E4" s="349" t="s">
        <v>4</v>
      </c>
      <c r="F4" s="350"/>
      <c r="H4" s="351" t="s">
        <v>5</v>
      </c>
      <c r="I4" s="352"/>
      <c r="J4" s="255"/>
      <c r="K4" s="256"/>
      <c r="L4" s="16"/>
      <c r="M4" s="21" t="s">
        <v>6</v>
      </c>
      <c r="N4" s="22" t="s">
        <v>7</v>
      </c>
      <c r="P4" s="386" t="s">
        <v>8</v>
      </c>
      <c r="Q4" s="387"/>
      <c r="R4" s="385"/>
    </row>
    <row r="5" spans="1:21" ht="18" thickBot="1" x14ac:dyDescent="0.35">
      <c r="A5" s="23" t="s">
        <v>9</v>
      </c>
      <c r="B5" s="24">
        <v>44986</v>
      </c>
      <c r="C5" s="25">
        <v>4174</v>
      </c>
      <c r="D5" s="26" t="s">
        <v>67</v>
      </c>
      <c r="E5" s="27">
        <v>44986</v>
      </c>
      <c r="F5" s="28">
        <v>40846</v>
      </c>
      <c r="G5" s="29"/>
      <c r="H5" s="30">
        <v>44986</v>
      </c>
      <c r="I5" s="31">
        <v>673</v>
      </c>
      <c r="J5" s="251"/>
      <c r="K5" s="257"/>
      <c r="L5" s="13"/>
      <c r="M5" s="33">
        <f>39061+3828</f>
        <v>42889</v>
      </c>
      <c r="N5" s="34">
        <v>113</v>
      </c>
      <c r="O5" s="35"/>
      <c r="P5" s="235">
        <f>N5+M5+L5+I5+C5</f>
        <v>47849</v>
      </c>
      <c r="Q5" s="236">
        <v>0</v>
      </c>
      <c r="R5" s="237">
        <v>7003</v>
      </c>
      <c r="S5" s="37"/>
    </row>
    <row r="6" spans="1:21" ht="18" thickBot="1" x14ac:dyDescent="0.35">
      <c r="A6" s="23"/>
      <c r="B6" s="24">
        <v>44987</v>
      </c>
      <c r="C6" s="25">
        <v>0</v>
      </c>
      <c r="D6" s="38"/>
      <c r="E6" s="27">
        <v>44987</v>
      </c>
      <c r="F6" s="28">
        <v>61565</v>
      </c>
      <c r="G6" s="29"/>
      <c r="H6" s="30">
        <v>44987</v>
      </c>
      <c r="I6" s="31">
        <v>57</v>
      </c>
      <c r="J6" s="258"/>
      <c r="K6" s="71" t="s">
        <v>9</v>
      </c>
      <c r="L6" s="259"/>
      <c r="M6" s="33">
        <f>19000+39619</f>
        <v>58619</v>
      </c>
      <c r="N6" s="34">
        <v>4789</v>
      </c>
      <c r="O6" s="35"/>
      <c r="P6" s="235">
        <f>N6+M6+L6+I6+C6</f>
        <v>63465</v>
      </c>
      <c r="Q6" s="236">
        <v>0</v>
      </c>
      <c r="R6" s="237">
        <v>1900</v>
      </c>
      <c r="S6" s="37"/>
      <c r="T6" s="9"/>
    </row>
    <row r="7" spans="1:21" ht="18" thickBot="1" x14ac:dyDescent="0.35">
      <c r="A7" s="23"/>
      <c r="B7" s="24">
        <v>44988</v>
      </c>
      <c r="C7" s="25">
        <v>8209</v>
      </c>
      <c r="D7" s="42" t="s">
        <v>69</v>
      </c>
      <c r="E7" s="27">
        <v>44988</v>
      </c>
      <c r="F7" s="28">
        <v>110006</v>
      </c>
      <c r="G7" s="29"/>
      <c r="H7" s="30">
        <v>44988</v>
      </c>
      <c r="I7" s="31">
        <v>581</v>
      </c>
      <c r="J7" s="258"/>
      <c r="K7" s="102"/>
      <c r="L7" s="259"/>
      <c r="M7" s="33">
        <f>50000+49987</f>
        <v>99987</v>
      </c>
      <c r="N7" s="34">
        <v>2607</v>
      </c>
      <c r="O7" s="35"/>
      <c r="P7" s="235">
        <f>N7+M7+L7+I7+C7</f>
        <v>111384</v>
      </c>
      <c r="Q7" s="243">
        <f>P7-F7-378</f>
        <v>1000</v>
      </c>
      <c r="R7" s="237">
        <v>378</v>
      </c>
      <c r="S7" s="37"/>
    </row>
    <row r="8" spans="1:21" ht="18" thickBot="1" x14ac:dyDescent="0.35">
      <c r="A8" s="23"/>
      <c r="B8" s="24">
        <v>44989</v>
      </c>
      <c r="C8" s="25">
        <v>0</v>
      </c>
      <c r="D8" s="42"/>
      <c r="E8" s="27">
        <v>44989</v>
      </c>
      <c r="F8" s="28">
        <v>47183</v>
      </c>
      <c r="G8" s="29"/>
      <c r="H8" s="30">
        <v>44989</v>
      </c>
      <c r="I8" s="31">
        <v>974</v>
      </c>
      <c r="J8" s="258"/>
      <c r="K8" s="260"/>
      <c r="L8" s="259"/>
      <c r="M8" s="33">
        <f>7000+36335</f>
        <v>43335</v>
      </c>
      <c r="N8" s="34">
        <v>4278</v>
      </c>
      <c r="O8" s="35"/>
      <c r="P8" s="235">
        <f t="shared" ref="P8:P45" si="0">N8+M8+L8+I8+C8</f>
        <v>48587</v>
      </c>
      <c r="Q8" s="236">
        <v>0</v>
      </c>
      <c r="R8" s="237">
        <v>1404</v>
      </c>
      <c r="S8" s="37"/>
    </row>
    <row r="9" spans="1:21" ht="18" thickBot="1" x14ac:dyDescent="0.35">
      <c r="A9" s="23"/>
      <c r="B9" s="24">
        <v>44990</v>
      </c>
      <c r="C9" s="25">
        <v>0</v>
      </c>
      <c r="D9" s="46"/>
      <c r="E9" s="27">
        <v>44990</v>
      </c>
      <c r="F9" s="28">
        <v>94515</v>
      </c>
      <c r="G9" s="29"/>
      <c r="H9" s="30">
        <v>44990</v>
      </c>
      <c r="I9" s="31">
        <v>590</v>
      </c>
      <c r="J9" s="258"/>
      <c r="K9" s="261"/>
      <c r="L9" s="259"/>
      <c r="M9" s="33">
        <f>97000+14044</f>
        <v>111044</v>
      </c>
      <c r="N9" s="34">
        <v>621</v>
      </c>
      <c r="O9" s="35"/>
      <c r="P9" s="235">
        <f t="shared" si="0"/>
        <v>112255</v>
      </c>
      <c r="Q9" s="236">
        <v>0</v>
      </c>
      <c r="R9" s="237">
        <v>17740</v>
      </c>
      <c r="S9" s="37"/>
    </row>
    <row r="10" spans="1:21" ht="18" thickBot="1" x14ac:dyDescent="0.35">
      <c r="A10" s="23"/>
      <c r="B10" s="24">
        <v>44991</v>
      </c>
      <c r="C10" s="25">
        <v>2940</v>
      </c>
      <c r="D10" s="38" t="s">
        <v>67</v>
      </c>
      <c r="E10" s="27">
        <v>44991</v>
      </c>
      <c r="F10" s="28">
        <v>138469</v>
      </c>
      <c r="G10" s="29"/>
      <c r="H10" s="30">
        <v>44991</v>
      </c>
      <c r="I10" s="31">
        <v>616</v>
      </c>
      <c r="J10" s="258"/>
      <c r="K10" s="262"/>
      <c r="L10" s="263"/>
      <c r="M10" s="33">
        <f>16000+70000+48913</f>
        <v>134913</v>
      </c>
      <c r="N10" s="34">
        <v>0</v>
      </c>
      <c r="O10" s="35"/>
      <c r="P10" s="235">
        <f>N10+M10+L10+I10+C10</f>
        <v>138469</v>
      </c>
      <c r="Q10" s="236">
        <f t="shared" ref="Q10:Q44" si="1">P10-F10</f>
        <v>0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44992</v>
      </c>
      <c r="C11" s="25">
        <v>0</v>
      </c>
      <c r="D11" s="38"/>
      <c r="E11" s="27">
        <v>44992</v>
      </c>
      <c r="F11" s="28">
        <v>106309</v>
      </c>
      <c r="G11" s="29"/>
      <c r="H11" s="30">
        <v>44992</v>
      </c>
      <c r="I11" s="31">
        <v>567</v>
      </c>
      <c r="J11" s="258">
        <v>44992</v>
      </c>
      <c r="K11" s="261" t="s">
        <v>160</v>
      </c>
      <c r="L11" s="259">
        <v>7816.67</v>
      </c>
      <c r="M11" s="33">
        <f>27500+68703</f>
        <v>96203</v>
      </c>
      <c r="N11" s="34">
        <v>1723</v>
      </c>
      <c r="O11" s="35"/>
      <c r="P11" s="235">
        <f>N11+M11+L11+I11+C11</f>
        <v>106309.67</v>
      </c>
      <c r="Q11" s="236">
        <f t="shared" si="1"/>
        <v>0.66999999999825377</v>
      </c>
      <c r="R11" s="238">
        <v>0</v>
      </c>
      <c r="S11" s="37"/>
    </row>
    <row r="12" spans="1:21" ht="18" thickBot="1" x14ac:dyDescent="0.35">
      <c r="A12" s="23"/>
      <c r="B12" s="24">
        <v>44993</v>
      </c>
      <c r="C12" s="25">
        <v>485</v>
      </c>
      <c r="D12" s="38" t="s">
        <v>100</v>
      </c>
      <c r="E12" s="27">
        <v>44993</v>
      </c>
      <c r="F12" s="28">
        <v>22101</v>
      </c>
      <c r="G12" s="29"/>
      <c r="H12" s="30">
        <v>44993</v>
      </c>
      <c r="I12" s="31">
        <v>629</v>
      </c>
      <c r="J12" s="258"/>
      <c r="K12" s="264"/>
      <c r="L12" s="259"/>
      <c r="M12" s="33">
        <f>6000+14949</f>
        <v>20949</v>
      </c>
      <c r="N12" s="34">
        <v>38</v>
      </c>
      <c r="O12" s="35"/>
      <c r="P12" s="235">
        <f t="shared" si="0"/>
        <v>22101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44994</v>
      </c>
      <c r="C13" s="25">
        <v>0</v>
      </c>
      <c r="D13" s="42"/>
      <c r="E13" s="27">
        <v>44994</v>
      </c>
      <c r="F13" s="28">
        <v>77215</v>
      </c>
      <c r="G13" s="29"/>
      <c r="H13" s="30">
        <v>44994</v>
      </c>
      <c r="I13" s="31">
        <v>312</v>
      </c>
      <c r="J13" s="258"/>
      <c r="K13" s="71"/>
      <c r="L13" s="259"/>
      <c r="M13" s="33">
        <f>37000+39703</f>
        <v>76703</v>
      </c>
      <c r="N13" s="34">
        <v>200</v>
      </c>
      <c r="O13" s="35"/>
      <c r="P13" s="235">
        <f t="shared" si="0"/>
        <v>77215</v>
      </c>
      <c r="Q13" s="236">
        <f t="shared" si="1"/>
        <v>0</v>
      </c>
      <c r="R13" s="238">
        <v>0</v>
      </c>
      <c r="S13" s="37"/>
    </row>
    <row r="14" spans="1:21" ht="18" thickBot="1" x14ac:dyDescent="0.35">
      <c r="A14" s="23"/>
      <c r="B14" s="24">
        <v>44995</v>
      </c>
      <c r="C14" s="25">
        <v>12818</v>
      </c>
      <c r="D14" s="46" t="s">
        <v>69</v>
      </c>
      <c r="E14" s="27">
        <v>44995</v>
      </c>
      <c r="F14" s="28">
        <v>144672</v>
      </c>
      <c r="G14" s="29"/>
      <c r="H14" s="30">
        <v>44995</v>
      </c>
      <c r="I14" s="31">
        <v>560</v>
      </c>
      <c r="J14" s="258"/>
      <c r="K14" s="260"/>
      <c r="L14" s="259"/>
      <c r="M14" s="33">
        <f>25000+106295</f>
        <v>131295</v>
      </c>
      <c r="N14" s="34">
        <v>0</v>
      </c>
      <c r="O14" s="35"/>
      <c r="P14" s="235">
        <f t="shared" si="0"/>
        <v>144673</v>
      </c>
      <c r="Q14" s="236">
        <f t="shared" si="1"/>
        <v>1</v>
      </c>
      <c r="R14" s="238">
        <v>0</v>
      </c>
      <c r="S14" s="37"/>
    </row>
    <row r="15" spans="1:21" ht="18" thickBot="1" x14ac:dyDescent="0.35">
      <c r="A15" s="23"/>
      <c r="B15" s="24">
        <v>44996</v>
      </c>
      <c r="C15" s="25">
        <v>1701</v>
      </c>
      <c r="D15" s="46" t="s">
        <v>161</v>
      </c>
      <c r="E15" s="27">
        <v>44996</v>
      </c>
      <c r="F15" s="28">
        <v>83147</v>
      </c>
      <c r="G15" s="29"/>
      <c r="H15" s="30">
        <v>44996</v>
      </c>
      <c r="I15" s="31">
        <v>647</v>
      </c>
      <c r="J15" s="258">
        <v>44996</v>
      </c>
      <c r="K15" s="260" t="s">
        <v>162</v>
      </c>
      <c r="L15" s="259">
        <v>7900</v>
      </c>
      <c r="M15" s="33">
        <f>25000+42244</f>
        <v>67244</v>
      </c>
      <c r="N15" s="34">
        <v>5655</v>
      </c>
      <c r="O15" s="35"/>
      <c r="P15" s="235">
        <f t="shared" si="0"/>
        <v>83147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44997</v>
      </c>
      <c r="C16" s="25">
        <v>0</v>
      </c>
      <c r="D16" s="52"/>
      <c r="E16" s="27">
        <v>44997</v>
      </c>
      <c r="F16" s="28">
        <v>132329</v>
      </c>
      <c r="G16" s="29"/>
      <c r="H16" s="30">
        <v>44997</v>
      </c>
      <c r="I16" s="31">
        <v>535</v>
      </c>
      <c r="J16" s="258"/>
      <c r="K16" s="260"/>
      <c r="L16" s="13"/>
      <c r="M16" s="33">
        <f>53000+51000+25100</f>
        <v>129100</v>
      </c>
      <c r="N16" s="34">
        <v>2696</v>
      </c>
      <c r="O16" s="35"/>
      <c r="P16" s="235">
        <f t="shared" si="0"/>
        <v>132331</v>
      </c>
      <c r="Q16" s="236">
        <f t="shared" si="1"/>
        <v>2</v>
      </c>
      <c r="R16" s="238">
        <v>0</v>
      </c>
      <c r="S16" s="37"/>
    </row>
    <row r="17" spans="1:20" ht="18" thickBot="1" x14ac:dyDescent="0.35">
      <c r="A17" s="23"/>
      <c r="B17" s="24">
        <v>44998</v>
      </c>
      <c r="C17" s="25">
        <v>0</v>
      </c>
      <c r="D17" s="46"/>
      <c r="E17" s="27">
        <v>44998</v>
      </c>
      <c r="F17" s="28">
        <v>161282</v>
      </c>
      <c r="G17" s="29"/>
      <c r="H17" s="30">
        <v>44998</v>
      </c>
      <c r="I17" s="31">
        <v>643</v>
      </c>
      <c r="J17" s="258"/>
      <c r="K17" s="260"/>
      <c r="L17" s="263"/>
      <c r="M17" s="33">
        <f>36000+124639</f>
        <v>160639</v>
      </c>
      <c r="N17" s="34">
        <v>0</v>
      </c>
      <c r="O17" s="35"/>
      <c r="P17" s="235">
        <f t="shared" si="0"/>
        <v>161282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44999</v>
      </c>
      <c r="C18" s="25">
        <v>3210</v>
      </c>
      <c r="D18" s="38" t="s">
        <v>67</v>
      </c>
      <c r="E18" s="27">
        <v>44999</v>
      </c>
      <c r="F18" s="28">
        <v>124114</v>
      </c>
      <c r="G18" s="29"/>
      <c r="H18" s="30">
        <v>44999</v>
      </c>
      <c r="I18" s="31">
        <v>222</v>
      </c>
      <c r="J18" s="258"/>
      <c r="K18" s="265"/>
      <c r="L18" s="259"/>
      <c r="M18" s="33">
        <f>18500+102182</f>
        <v>120682</v>
      </c>
      <c r="N18" s="34">
        <v>0</v>
      </c>
      <c r="O18" s="35"/>
      <c r="P18" s="235">
        <f t="shared" si="0"/>
        <v>124114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45000</v>
      </c>
      <c r="C19" s="25">
        <v>0</v>
      </c>
      <c r="D19" s="38"/>
      <c r="E19" s="27">
        <v>45000</v>
      </c>
      <c r="F19" s="28">
        <v>44605</v>
      </c>
      <c r="G19" s="29"/>
      <c r="H19" s="30">
        <v>45000</v>
      </c>
      <c r="I19" s="31">
        <v>593</v>
      </c>
      <c r="J19" s="258"/>
      <c r="K19" s="266"/>
      <c r="L19" s="267"/>
      <c r="M19" s="33">
        <f>15000+27417</f>
        <v>42417</v>
      </c>
      <c r="N19" s="34">
        <v>1595</v>
      </c>
      <c r="O19" s="35"/>
      <c r="P19" s="235">
        <f t="shared" si="0"/>
        <v>44605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45001</v>
      </c>
      <c r="C20" s="25">
        <v>0</v>
      </c>
      <c r="D20" s="38"/>
      <c r="E20" s="27">
        <v>45001</v>
      </c>
      <c r="F20" s="28">
        <v>112609</v>
      </c>
      <c r="G20" s="29"/>
      <c r="H20" s="30">
        <v>45001</v>
      </c>
      <c r="I20" s="31">
        <v>523</v>
      </c>
      <c r="J20" s="258"/>
      <c r="K20" s="262"/>
      <c r="L20" s="263"/>
      <c r="M20" s="33">
        <f>69485+41600</f>
        <v>111085</v>
      </c>
      <c r="N20" s="34">
        <v>1001</v>
      </c>
      <c r="O20" s="35"/>
      <c r="P20" s="235">
        <f t="shared" si="0"/>
        <v>112609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45002</v>
      </c>
      <c r="C21" s="25">
        <v>12939</v>
      </c>
      <c r="D21" s="38" t="s">
        <v>69</v>
      </c>
      <c r="E21" s="27">
        <v>45002</v>
      </c>
      <c r="F21" s="28">
        <v>124638</v>
      </c>
      <c r="G21" s="29"/>
      <c r="H21" s="30">
        <v>45002</v>
      </c>
      <c r="I21" s="31">
        <v>127</v>
      </c>
      <c r="J21" s="258"/>
      <c r="K21" s="268"/>
      <c r="L21" s="263"/>
      <c r="M21" s="33">
        <f>95992+12000</f>
        <v>107992</v>
      </c>
      <c r="N21" s="34">
        <v>3580</v>
      </c>
      <c r="O21" s="35"/>
      <c r="P21" s="235">
        <f t="shared" si="0"/>
        <v>124638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45003</v>
      </c>
      <c r="C22" s="25">
        <v>0</v>
      </c>
      <c r="D22" s="38"/>
      <c r="E22" s="27">
        <v>45003</v>
      </c>
      <c r="F22" s="28">
        <v>76608</v>
      </c>
      <c r="G22" s="29"/>
      <c r="H22" s="30">
        <v>45003</v>
      </c>
      <c r="I22" s="31">
        <v>1063</v>
      </c>
      <c r="J22" s="258">
        <v>45003</v>
      </c>
      <c r="K22" s="260" t="s">
        <v>163</v>
      </c>
      <c r="L22" s="269">
        <v>8386</v>
      </c>
      <c r="M22" s="33">
        <f>31103+28000</f>
        <v>59103</v>
      </c>
      <c r="N22" s="34">
        <f>4936+3120</f>
        <v>8056</v>
      </c>
      <c r="O22" s="35"/>
      <c r="P22" s="235">
        <f t="shared" si="0"/>
        <v>76608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45004</v>
      </c>
      <c r="C23" s="25">
        <v>0</v>
      </c>
      <c r="D23" s="46"/>
      <c r="E23" s="27">
        <v>45004</v>
      </c>
      <c r="F23" s="28">
        <v>116707</v>
      </c>
      <c r="G23" s="29"/>
      <c r="H23" s="30">
        <v>45004</v>
      </c>
      <c r="I23" s="31">
        <v>500</v>
      </c>
      <c r="J23" s="270"/>
      <c r="K23" s="271"/>
      <c r="L23" s="263"/>
      <c r="M23" s="33">
        <f>56432+56000</f>
        <v>112432</v>
      </c>
      <c r="N23" s="34">
        <v>3775</v>
      </c>
      <c r="O23" s="35"/>
      <c r="P23" s="235">
        <f t="shared" si="0"/>
        <v>116707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45005</v>
      </c>
      <c r="C24" s="25">
        <v>0</v>
      </c>
      <c r="D24" s="42"/>
      <c r="E24" s="27">
        <v>45005</v>
      </c>
      <c r="F24" s="28">
        <v>167012</v>
      </c>
      <c r="G24" s="29"/>
      <c r="H24" s="30">
        <v>45005</v>
      </c>
      <c r="I24" s="31">
        <v>1148</v>
      </c>
      <c r="J24" s="272"/>
      <c r="K24" s="271"/>
      <c r="L24" s="273"/>
      <c r="M24" s="33">
        <f>123478+41200</f>
        <v>164678</v>
      </c>
      <c r="N24" s="34">
        <v>1186</v>
      </c>
      <c r="O24" s="35"/>
      <c r="P24" s="235">
        <f t="shared" si="0"/>
        <v>167012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45006</v>
      </c>
      <c r="C25" s="25">
        <v>0</v>
      </c>
      <c r="D25" s="38"/>
      <c r="E25" s="27">
        <v>45006</v>
      </c>
      <c r="F25" s="28">
        <v>98911</v>
      </c>
      <c r="G25" s="29"/>
      <c r="H25" s="30">
        <v>45006</v>
      </c>
      <c r="I25" s="31">
        <v>18</v>
      </c>
      <c r="J25" s="274"/>
      <c r="K25" s="275"/>
      <c r="L25" s="276"/>
      <c r="M25" s="33">
        <f>5300+92318</f>
        <v>97618</v>
      </c>
      <c r="N25" s="34">
        <f>190+1085</f>
        <v>1275</v>
      </c>
      <c r="O25" s="35"/>
      <c r="P25" s="235">
        <f t="shared" si="0"/>
        <v>98911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45007</v>
      </c>
      <c r="C26" s="25">
        <v>3480</v>
      </c>
      <c r="D26" s="38" t="s">
        <v>67</v>
      </c>
      <c r="E26" s="27">
        <v>45007</v>
      </c>
      <c r="F26" s="28">
        <v>62059</v>
      </c>
      <c r="G26" s="29"/>
      <c r="H26" s="30">
        <v>45007</v>
      </c>
      <c r="I26" s="31">
        <v>64</v>
      </c>
      <c r="J26" s="258"/>
      <c r="K26" s="271"/>
      <c r="L26" s="263"/>
      <c r="M26" s="33">
        <v>57072</v>
      </c>
      <c r="N26" s="34">
        <v>1443</v>
      </c>
      <c r="O26" s="35"/>
      <c r="P26" s="235">
        <f t="shared" si="0"/>
        <v>62059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45008</v>
      </c>
      <c r="C27" s="25">
        <v>2655</v>
      </c>
      <c r="D27" s="42" t="s">
        <v>164</v>
      </c>
      <c r="E27" s="27">
        <v>45008</v>
      </c>
      <c r="F27" s="28">
        <v>118074</v>
      </c>
      <c r="G27" s="29"/>
      <c r="H27" s="30">
        <v>45008</v>
      </c>
      <c r="I27" s="31">
        <v>18</v>
      </c>
      <c r="J27" s="277"/>
      <c r="K27" s="275"/>
      <c r="L27" s="276"/>
      <c r="M27" s="33">
        <f>22700+92701</f>
        <v>115401</v>
      </c>
      <c r="N27" s="34">
        <v>0</v>
      </c>
      <c r="O27" s="35"/>
      <c r="P27" s="235">
        <f t="shared" si="0"/>
        <v>118074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45009</v>
      </c>
      <c r="C28" s="25">
        <v>18707</v>
      </c>
      <c r="D28" s="42" t="s">
        <v>69</v>
      </c>
      <c r="E28" s="27">
        <v>45009</v>
      </c>
      <c r="F28" s="28">
        <v>109480</v>
      </c>
      <c r="G28" s="29"/>
      <c r="H28" s="30">
        <v>45009</v>
      </c>
      <c r="I28" s="31">
        <v>116</v>
      </c>
      <c r="J28" s="278"/>
      <c r="K28" s="71"/>
      <c r="L28" s="276"/>
      <c r="M28" s="33">
        <f>16000+70989</f>
        <v>86989</v>
      </c>
      <c r="N28" s="34">
        <v>3668</v>
      </c>
      <c r="O28" s="35"/>
      <c r="P28" s="235">
        <f t="shared" si="0"/>
        <v>109480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45010</v>
      </c>
      <c r="C29" s="25">
        <v>0</v>
      </c>
      <c r="D29" s="72"/>
      <c r="E29" s="27">
        <v>45010</v>
      </c>
      <c r="F29" s="28">
        <v>74820</v>
      </c>
      <c r="G29" s="29"/>
      <c r="H29" s="30">
        <v>45010</v>
      </c>
      <c r="I29" s="31">
        <v>142</v>
      </c>
      <c r="J29" s="277">
        <v>45010</v>
      </c>
      <c r="K29" s="279" t="s">
        <v>165</v>
      </c>
      <c r="L29" s="276">
        <v>12045</v>
      </c>
      <c r="M29" s="249">
        <f>30700</f>
        <v>30700</v>
      </c>
      <c r="N29" s="34">
        <v>8222</v>
      </c>
      <c r="O29" s="35"/>
      <c r="P29" s="235">
        <f t="shared" si="0"/>
        <v>51109</v>
      </c>
      <c r="Q29" s="250">
        <f t="shared" si="1"/>
        <v>-23711</v>
      </c>
      <c r="R29" s="238">
        <v>0</v>
      </c>
      <c r="S29" s="37"/>
      <c r="T29" s="9"/>
    </row>
    <row r="30" spans="1:20" ht="18" thickBot="1" x14ac:dyDescent="0.35">
      <c r="A30" s="23"/>
      <c r="B30" s="24">
        <v>45011</v>
      </c>
      <c r="C30" s="25">
        <v>9514</v>
      </c>
      <c r="D30" s="72" t="s">
        <v>166</v>
      </c>
      <c r="E30" s="27">
        <v>45011</v>
      </c>
      <c r="F30" s="28">
        <v>131563</v>
      </c>
      <c r="G30" s="29"/>
      <c r="H30" s="30">
        <v>45011</v>
      </c>
      <c r="I30" s="31">
        <v>0</v>
      </c>
      <c r="J30" s="86"/>
      <c r="K30" s="280"/>
      <c r="L30" s="281"/>
      <c r="M30" s="249">
        <f>33777</f>
        <v>33777</v>
      </c>
      <c r="N30" s="34">
        <v>4272</v>
      </c>
      <c r="O30" s="35"/>
      <c r="P30" s="235">
        <f t="shared" si="0"/>
        <v>47563</v>
      </c>
      <c r="Q30" s="250">
        <f t="shared" si="1"/>
        <v>-84000</v>
      </c>
      <c r="R30" s="238">
        <v>0</v>
      </c>
      <c r="S30" s="37"/>
    </row>
    <row r="31" spans="1:20" ht="18" thickBot="1" x14ac:dyDescent="0.35">
      <c r="A31" s="23"/>
      <c r="B31" s="24">
        <v>45012</v>
      </c>
      <c r="C31" s="25">
        <v>0</v>
      </c>
      <c r="D31" s="77"/>
      <c r="E31" s="27">
        <v>45012</v>
      </c>
      <c r="F31" s="28">
        <v>189808</v>
      </c>
      <c r="G31" s="29"/>
      <c r="H31" s="30">
        <v>45012</v>
      </c>
      <c r="I31" s="31">
        <v>152</v>
      </c>
      <c r="J31" s="86"/>
      <c r="K31" s="282"/>
      <c r="L31" s="283"/>
      <c r="M31" s="33">
        <f>21500+168156</f>
        <v>189656</v>
      </c>
      <c r="N31" s="34">
        <v>0</v>
      </c>
      <c r="O31" s="35"/>
      <c r="P31" s="235">
        <f t="shared" si="0"/>
        <v>189808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45013</v>
      </c>
      <c r="C32" s="25">
        <v>0</v>
      </c>
      <c r="D32" s="82"/>
      <c r="E32" s="27">
        <v>45013</v>
      </c>
      <c r="F32" s="28">
        <v>102688</v>
      </c>
      <c r="G32" s="29"/>
      <c r="H32" s="30">
        <v>45013</v>
      </c>
      <c r="I32" s="31">
        <v>55</v>
      </c>
      <c r="J32" s="86"/>
      <c r="K32" s="280"/>
      <c r="L32" s="281"/>
      <c r="M32" s="33">
        <f>19000+83066</f>
        <v>102066</v>
      </c>
      <c r="N32" s="34">
        <v>567</v>
      </c>
      <c r="O32" s="35"/>
      <c r="P32" s="235">
        <f t="shared" si="0"/>
        <v>102688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45014</v>
      </c>
      <c r="C33" s="25">
        <v>0</v>
      </c>
      <c r="D33" s="80"/>
      <c r="E33" s="27">
        <v>45014</v>
      </c>
      <c r="F33" s="28">
        <v>24205</v>
      </c>
      <c r="G33" s="29"/>
      <c r="H33" s="30">
        <v>45014</v>
      </c>
      <c r="I33" s="31">
        <v>59</v>
      </c>
      <c r="J33" s="86"/>
      <c r="K33" s="282"/>
      <c r="L33" s="216"/>
      <c r="M33" s="33">
        <v>24084</v>
      </c>
      <c r="N33" s="34">
        <v>62</v>
      </c>
      <c r="O33" s="35"/>
      <c r="P33" s="235">
        <f t="shared" si="0"/>
        <v>24205</v>
      </c>
      <c r="Q33" s="236">
        <f t="shared" si="1"/>
        <v>0</v>
      </c>
      <c r="R33" s="238">
        <v>0</v>
      </c>
      <c r="S33" s="37"/>
    </row>
    <row r="34" spans="1:19" ht="33" thickBot="1" x14ac:dyDescent="0.35">
      <c r="A34" s="23"/>
      <c r="B34" s="24">
        <v>45015</v>
      </c>
      <c r="C34" s="25">
        <v>0</v>
      </c>
      <c r="D34" s="82"/>
      <c r="E34" s="27">
        <v>45015</v>
      </c>
      <c r="F34" s="28">
        <v>72817</v>
      </c>
      <c r="G34" s="29"/>
      <c r="H34" s="30">
        <v>45015</v>
      </c>
      <c r="I34" s="31">
        <v>37</v>
      </c>
      <c r="J34" s="86">
        <v>45015</v>
      </c>
      <c r="K34" s="83" t="s">
        <v>167</v>
      </c>
      <c r="L34" s="284">
        <v>11500</v>
      </c>
      <c r="M34" s="33">
        <v>61280</v>
      </c>
      <c r="N34" s="34">
        <v>0</v>
      </c>
      <c r="O34" s="35"/>
      <c r="P34" s="235">
        <f t="shared" si="0"/>
        <v>72817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/>
      <c r="C35" s="25">
        <v>0</v>
      </c>
      <c r="D35" s="77"/>
      <c r="E35" s="27"/>
      <c r="F35" s="28"/>
      <c r="G35" s="29"/>
      <c r="H35" s="30"/>
      <c r="I35" s="31"/>
      <c r="J35" s="86"/>
      <c r="K35" s="282"/>
      <c r="L35" s="216"/>
      <c r="M35" s="33">
        <v>0</v>
      </c>
      <c r="N35" s="34">
        <v>0</v>
      </c>
      <c r="O35" s="35"/>
      <c r="P35" s="235">
        <f t="shared" si="0"/>
        <v>0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/>
      <c r="C36" s="25">
        <v>0</v>
      </c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0"/>
        <v>0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/>
      <c r="C37" s="25">
        <v>0</v>
      </c>
      <c r="D37" s="82"/>
      <c r="E37" s="27"/>
      <c r="F37" s="28"/>
      <c r="G37" s="29"/>
      <c r="H37" s="30"/>
      <c r="I37" s="31"/>
      <c r="J37" s="86">
        <v>45002</v>
      </c>
      <c r="K37" s="286" t="s">
        <v>108</v>
      </c>
      <c r="L37" s="216">
        <v>1392</v>
      </c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45012</v>
      </c>
      <c r="K38" s="282" t="s">
        <v>169</v>
      </c>
      <c r="L38" s="216">
        <v>364140</v>
      </c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/>
      <c r="K39" s="231"/>
      <c r="L39" s="281"/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/>
      <c r="K41" s="231"/>
      <c r="L41" s="281"/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/>
      <c r="K42" s="231"/>
      <c r="L42" s="281"/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/>
      <c r="K43" s="231"/>
      <c r="L43" s="281"/>
      <c r="M43" s="33">
        <v>0</v>
      </c>
      <c r="N43" s="34">
        <v>0</v>
      </c>
      <c r="O43" s="35"/>
      <c r="P43" s="240">
        <f t="shared" si="0"/>
        <v>0</v>
      </c>
      <c r="Q43" s="241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0"/>
        <v>0</v>
      </c>
      <c r="Q44" s="13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231"/>
      <c r="L45" s="281"/>
      <c r="M45" s="371">
        <f>SUM(M5:M39)</f>
        <v>2689952</v>
      </c>
      <c r="N45" s="356">
        <f>SUM(N5:N39)</f>
        <v>61422</v>
      </c>
      <c r="P45" s="98">
        <f t="shared" si="0"/>
        <v>2751374</v>
      </c>
      <c r="Q45" s="299">
        <f>SUM(Q5:Q39)</f>
        <v>-106707.33</v>
      </c>
      <c r="R45" s="99">
        <f>SUM(R5:R39)</f>
        <v>28425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72"/>
      <c r="N46" s="357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80832</v>
      </c>
      <c r="D49" s="123"/>
      <c r="E49" s="124" t="s">
        <v>10</v>
      </c>
      <c r="F49" s="125">
        <f>SUM(F5:F48)</f>
        <v>2970357</v>
      </c>
      <c r="G49" s="123"/>
      <c r="H49" s="126" t="s">
        <v>11</v>
      </c>
      <c r="I49" s="127">
        <f>SUM(I5:I48)</f>
        <v>12221</v>
      </c>
      <c r="J49" s="290"/>
      <c r="K49" s="291" t="s">
        <v>12</v>
      </c>
      <c r="L49" s="292">
        <f>SUM(L5:L48)</f>
        <v>413179.67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58" t="s">
        <v>13</v>
      </c>
      <c r="I51" s="359"/>
      <c r="J51" s="135"/>
      <c r="K51" s="360">
        <f>I49+L49</f>
        <v>425400.67</v>
      </c>
      <c r="L51" s="361"/>
      <c r="M51" s="362">
        <f>N45+M45</f>
        <v>2751374</v>
      </c>
      <c r="N51" s="363"/>
      <c r="P51" s="36"/>
      <c r="Q51" s="9"/>
    </row>
    <row r="52" spans="1:17" x14ac:dyDescent="0.25">
      <c r="D52" s="355" t="s">
        <v>14</v>
      </c>
      <c r="E52" s="355"/>
      <c r="F52" s="136">
        <f>F49-K51-C49</f>
        <v>2464124.33</v>
      </c>
      <c r="I52" s="137"/>
      <c r="J52" s="138"/>
      <c r="P52" s="36"/>
      <c r="Q52" s="9"/>
    </row>
    <row r="53" spans="1:17" x14ac:dyDescent="0.25">
      <c r="D53" s="373" t="s">
        <v>15</v>
      </c>
      <c r="E53" s="373"/>
      <c r="F53" s="131">
        <v>-2869426.04</v>
      </c>
      <c r="I53" s="374" t="s">
        <v>16</v>
      </c>
      <c r="J53" s="375"/>
      <c r="K53" s="388">
        <f>F55+F56+F57</f>
        <v>-32021.369999999937</v>
      </c>
      <c r="L53" s="389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-405301.70999999996</v>
      </c>
      <c r="H55" s="23"/>
      <c r="I55" s="146" t="s">
        <v>18</v>
      </c>
      <c r="J55" s="147"/>
      <c r="K55" s="390">
        <f>-C4</f>
        <v>-230554.55</v>
      </c>
      <c r="L55" s="391"/>
    </row>
    <row r="56" spans="1:17" ht="16.5" thickBot="1" x14ac:dyDescent="0.3">
      <c r="D56" s="148" t="s">
        <v>19</v>
      </c>
      <c r="E56" s="133" t="s">
        <v>20</v>
      </c>
      <c r="F56" s="149">
        <v>32088</v>
      </c>
    </row>
    <row r="57" spans="1:17" ht="20.25" thickTop="1" thickBot="1" x14ac:dyDescent="0.35">
      <c r="C57" s="150">
        <v>45015</v>
      </c>
      <c r="D57" s="380" t="s">
        <v>21</v>
      </c>
      <c r="E57" s="381"/>
      <c r="F57" s="151">
        <v>341192.34</v>
      </c>
      <c r="I57" s="392" t="s">
        <v>170</v>
      </c>
      <c r="J57" s="393"/>
      <c r="K57" s="394">
        <f>K53+K55</f>
        <v>-262575.91999999993</v>
      </c>
      <c r="L57" s="394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workbookViewId="0">
      <pane ySplit="2" topLeftCell="A39" activePane="bottomLeft" state="frozen"/>
      <selection pane="bottomLeft" activeCell="C15" sqref="C15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44986</v>
      </c>
      <c r="B3" s="182" t="s">
        <v>116</v>
      </c>
      <c r="C3" s="149">
        <v>56416.3</v>
      </c>
      <c r="D3" s="244"/>
      <c r="E3" s="220"/>
      <c r="F3" s="180">
        <f>C3-E3</f>
        <v>56416.3</v>
      </c>
    </row>
    <row r="4" spans="1:7" ht="22.5" customHeight="1" x14ac:dyDescent="0.25">
      <c r="A4" s="181">
        <v>44986</v>
      </c>
      <c r="B4" s="182" t="s">
        <v>117</v>
      </c>
      <c r="C4" s="149">
        <v>32587.200000000001</v>
      </c>
      <c r="D4" s="244"/>
      <c r="E4" s="220"/>
      <c r="F4" s="183">
        <f>C4-E4+F3</f>
        <v>89003.5</v>
      </c>
    </row>
    <row r="5" spans="1:7" ht="21" customHeight="1" x14ac:dyDescent="0.25">
      <c r="A5" s="181">
        <v>44987</v>
      </c>
      <c r="B5" s="182" t="s">
        <v>118</v>
      </c>
      <c r="C5" s="149">
        <v>167188.4</v>
      </c>
      <c r="D5" s="244"/>
      <c r="E5" s="220"/>
      <c r="F5" s="183">
        <f t="shared" ref="F5:F68" si="0">C5-E5+F4</f>
        <v>256191.9</v>
      </c>
    </row>
    <row r="6" spans="1:7" ht="21" customHeight="1" x14ac:dyDescent="0.3">
      <c r="A6" s="181">
        <v>44988</v>
      </c>
      <c r="B6" s="182" t="s">
        <v>119</v>
      </c>
      <c r="C6" s="149">
        <v>80004.850000000006</v>
      </c>
      <c r="D6" s="244"/>
      <c r="E6" s="220"/>
      <c r="F6" s="183">
        <f t="shared" si="0"/>
        <v>336196.75</v>
      </c>
      <c r="G6" s="184"/>
    </row>
    <row r="7" spans="1:7" ht="21" customHeight="1" x14ac:dyDescent="0.25">
      <c r="A7" s="181">
        <v>44989</v>
      </c>
      <c r="B7" s="182" t="s">
        <v>120</v>
      </c>
      <c r="C7" s="149">
        <v>111204.71</v>
      </c>
      <c r="D7" s="244"/>
      <c r="E7" s="220"/>
      <c r="F7" s="183">
        <f t="shared" si="0"/>
        <v>447401.46</v>
      </c>
    </row>
    <row r="8" spans="1:7" ht="21" customHeight="1" x14ac:dyDescent="0.25">
      <c r="A8" s="181">
        <v>44989</v>
      </c>
      <c r="B8" s="182" t="s">
        <v>121</v>
      </c>
      <c r="C8" s="149">
        <v>31158.5</v>
      </c>
      <c r="D8" s="244"/>
      <c r="E8" s="220"/>
      <c r="F8" s="183">
        <f t="shared" si="0"/>
        <v>478559.96</v>
      </c>
    </row>
    <row r="9" spans="1:7" ht="21" customHeight="1" x14ac:dyDescent="0.25">
      <c r="A9" s="181">
        <v>44989</v>
      </c>
      <c r="B9" s="182" t="s">
        <v>122</v>
      </c>
      <c r="C9" s="149">
        <v>23886.2</v>
      </c>
      <c r="D9" s="181"/>
      <c r="E9" s="149"/>
      <c r="F9" s="183">
        <f t="shared" si="0"/>
        <v>502446.16000000003</v>
      </c>
    </row>
    <row r="10" spans="1:7" ht="21" customHeight="1" x14ac:dyDescent="0.25">
      <c r="A10" s="181">
        <v>44989</v>
      </c>
      <c r="B10" s="182" t="s">
        <v>123</v>
      </c>
      <c r="C10" s="149">
        <v>10249.6</v>
      </c>
      <c r="D10" s="181"/>
      <c r="E10" s="149"/>
      <c r="F10" s="183">
        <f t="shared" si="0"/>
        <v>512695.76</v>
      </c>
    </row>
    <row r="11" spans="1:7" ht="21" customHeight="1" x14ac:dyDescent="0.25">
      <c r="A11" s="181">
        <v>44991</v>
      </c>
      <c r="B11" s="182" t="s">
        <v>124</v>
      </c>
      <c r="C11" s="149">
        <v>97973.8</v>
      </c>
      <c r="D11" s="181"/>
      <c r="E11" s="149"/>
      <c r="F11" s="183">
        <f t="shared" si="0"/>
        <v>610669.56000000006</v>
      </c>
    </row>
    <row r="12" spans="1:7" ht="21" customHeight="1" x14ac:dyDescent="0.3">
      <c r="A12" s="181">
        <v>44992</v>
      </c>
      <c r="B12" s="182" t="s">
        <v>125</v>
      </c>
      <c r="C12" s="149">
        <v>10493.52</v>
      </c>
      <c r="D12" s="181"/>
      <c r="E12" s="149"/>
      <c r="F12" s="183">
        <f t="shared" si="0"/>
        <v>621163.08000000007</v>
      </c>
      <c r="G12" s="184"/>
    </row>
    <row r="13" spans="1:7" ht="21" customHeight="1" x14ac:dyDescent="0.25">
      <c r="A13" s="181">
        <v>44992</v>
      </c>
      <c r="B13" s="182" t="s">
        <v>126</v>
      </c>
      <c r="C13" s="149">
        <v>46782.2</v>
      </c>
      <c r="D13" s="181"/>
      <c r="E13" s="149"/>
      <c r="F13" s="183">
        <f t="shared" si="0"/>
        <v>667945.28</v>
      </c>
    </row>
    <row r="14" spans="1:7" ht="21" customHeight="1" x14ac:dyDescent="0.25">
      <c r="A14" s="181">
        <v>44993</v>
      </c>
      <c r="B14" s="182" t="s">
        <v>127</v>
      </c>
      <c r="C14" s="149">
        <v>81267.320000000007</v>
      </c>
      <c r="D14" s="181"/>
      <c r="E14" s="149"/>
      <c r="F14" s="183">
        <f t="shared" si="0"/>
        <v>749212.60000000009</v>
      </c>
    </row>
    <row r="15" spans="1:7" ht="21" customHeight="1" x14ac:dyDescent="0.25">
      <c r="A15" s="181">
        <v>44995</v>
      </c>
      <c r="B15" s="182" t="s">
        <v>128</v>
      </c>
      <c r="C15" s="149">
        <v>69661.899999999994</v>
      </c>
      <c r="D15" s="181"/>
      <c r="E15" s="149"/>
      <c r="F15" s="183">
        <f t="shared" si="0"/>
        <v>818874.50000000012</v>
      </c>
    </row>
    <row r="16" spans="1:7" ht="21" customHeight="1" x14ac:dyDescent="0.25">
      <c r="A16" s="181">
        <v>44995</v>
      </c>
      <c r="B16" s="182" t="s">
        <v>129</v>
      </c>
      <c r="C16" s="149">
        <v>80384.2</v>
      </c>
      <c r="D16" s="181"/>
      <c r="E16" s="149"/>
      <c r="F16" s="183">
        <f t="shared" si="0"/>
        <v>899258.70000000007</v>
      </c>
    </row>
    <row r="17" spans="1:10" ht="21" customHeight="1" x14ac:dyDescent="0.25">
      <c r="A17" s="181">
        <v>44995</v>
      </c>
      <c r="B17" s="182" t="s">
        <v>130</v>
      </c>
      <c r="C17" s="149">
        <v>26566.799999999999</v>
      </c>
      <c r="D17" s="181"/>
      <c r="E17" s="149"/>
      <c r="F17" s="183">
        <f t="shared" si="0"/>
        <v>925825.50000000012</v>
      </c>
    </row>
    <row r="18" spans="1:10" ht="21" customHeight="1" x14ac:dyDescent="0.25">
      <c r="A18" s="181">
        <v>44995</v>
      </c>
      <c r="B18" s="182" t="s">
        <v>131</v>
      </c>
      <c r="C18" s="149">
        <v>72043.199999999997</v>
      </c>
      <c r="D18" s="181"/>
      <c r="E18" s="149"/>
      <c r="F18" s="183">
        <f t="shared" si="0"/>
        <v>997868.70000000007</v>
      </c>
    </row>
    <row r="19" spans="1:10" ht="21" customHeight="1" x14ac:dyDescent="0.25">
      <c r="A19" s="181">
        <v>44996</v>
      </c>
      <c r="B19" s="182" t="s">
        <v>132</v>
      </c>
      <c r="C19" s="149">
        <v>66052.399999999994</v>
      </c>
      <c r="D19" s="181"/>
      <c r="E19" s="149"/>
      <c r="F19" s="183">
        <f t="shared" si="0"/>
        <v>1063921.1000000001</v>
      </c>
    </row>
    <row r="20" spans="1:10" ht="21" customHeight="1" x14ac:dyDescent="0.25">
      <c r="A20" s="181">
        <v>44996</v>
      </c>
      <c r="B20" s="182" t="s">
        <v>133</v>
      </c>
      <c r="C20" s="149">
        <v>80441.600000000006</v>
      </c>
      <c r="D20" s="181"/>
      <c r="E20" s="149"/>
      <c r="F20" s="183">
        <f t="shared" si="0"/>
        <v>1144362.7000000002</v>
      </c>
    </row>
    <row r="21" spans="1:10" ht="24.75" customHeight="1" x14ac:dyDescent="0.25">
      <c r="A21" s="181">
        <v>44998</v>
      </c>
      <c r="B21" s="182" t="s">
        <v>134</v>
      </c>
      <c r="C21" s="149">
        <v>17596.8</v>
      </c>
      <c r="D21" s="308"/>
      <c r="E21" s="149"/>
      <c r="F21" s="183">
        <f t="shared" si="0"/>
        <v>1161959.5000000002</v>
      </c>
    </row>
    <row r="22" spans="1:10" ht="21" customHeight="1" x14ac:dyDescent="0.25">
      <c r="A22" s="181">
        <v>44998</v>
      </c>
      <c r="B22" s="182" t="s">
        <v>135</v>
      </c>
      <c r="C22" s="149">
        <v>75126.05</v>
      </c>
      <c r="D22" s="181"/>
      <c r="E22" s="149"/>
      <c r="F22" s="183">
        <f t="shared" si="0"/>
        <v>1237085.5500000003</v>
      </c>
    </row>
    <row r="23" spans="1:10" ht="21" customHeight="1" x14ac:dyDescent="0.25">
      <c r="A23" s="181">
        <v>44998</v>
      </c>
      <c r="B23" s="182" t="s">
        <v>136</v>
      </c>
      <c r="C23" s="149">
        <v>50218</v>
      </c>
      <c r="D23" s="181"/>
      <c r="E23" s="149"/>
      <c r="F23" s="183">
        <f t="shared" si="0"/>
        <v>1287303.5500000003</v>
      </c>
    </row>
    <row r="24" spans="1:10" ht="21" customHeight="1" x14ac:dyDescent="0.3">
      <c r="A24" s="181">
        <v>44999</v>
      </c>
      <c r="B24" s="182" t="s">
        <v>137</v>
      </c>
      <c r="C24" s="149">
        <v>50950.400000000001</v>
      </c>
      <c r="D24" s="181"/>
      <c r="E24" s="149"/>
      <c r="F24" s="183">
        <f t="shared" si="0"/>
        <v>1338253.9500000002</v>
      </c>
      <c r="G24" s="184"/>
    </row>
    <row r="25" spans="1:10" ht="21" customHeight="1" x14ac:dyDescent="0.25">
      <c r="A25" s="181">
        <v>45000</v>
      </c>
      <c r="B25" s="182" t="s">
        <v>138</v>
      </c>
      <c r="C25" s="149">
        <v>91595.02</v>
      </c>
      <c r="D25" s="181"/>
      <c r="E25" s="149"/>
      <c r="F25" s="183">
        <f t="shared" si="0"/>
        <v>1429848.9700000002</v>
      </c>
    </row>
    <row r="26" spans="1:10" ht="21" customHeight="1" x14ac:dyDescent="0.25">
      <c r="A26" s="181">
        <v>45001</v>
      </c>
      <c r="B26" s="182" t="s">
        <v>139</v>
      </c>
      <c r="C26" s="149">
        <v>157336.79999999999</v>
      </c>
      <c r="D26" s="181"/>
      <c r="E26" s="149"/>
      <c r="F26" s="183">
        <f t="shared" si="0"/>
        <v>1587185.7700000003</v>
      </c>
    </row>
    <row r="27" spans="1:10" ht="21" customHeight="1" x14ac:dyDescent="0.25">
      <c r="A27" s="181">
        <v>45001</v>
      </c>
      <c r="B27" s="182" t="s">
        <v>140</v>
      </c>
      <c r="C27" s="149">
        <v>2166</v>
      </c>
      <c r="D27" s="181"/>
      <c r="E27" s="149"/>
      <c r="F27" s="183">
        <f t="shared" si="0"/>
        <v>1589351.7700000003</v>
      </c>
    </row>
    <row r="28" spans="1:10" ht="21" customHeight="1" x14ac:dyDescent="0.25">
      <c r="A28" s="181">
        <v>45001</v>
      </c>
      <c r="B28" s="182" t="s">
        <v>141</v>
      </c>
      <c r="C28" s="149">
        <v>7987.2</v>
      </c>
      <c r="D28" s="181"/>
      <c r="E28" s="149"/>
      <c r="F28" s="183">
        <f t="shared" si="0"/>
        <v>1597338.9700000002</v>
      </c>
    </row>
    <row r="29" spans="1:10" ht="21" customHeight="1" x14ac:dyDescent="0.25">
      <c r="A29" s="181">
        <v>45002</v>
      </c>
      <c r="B29" s="182" t="s">
        <v>142</v>
      </c>
      <c r="C29" s="149">
        <v>57515.48</v>
      </c>
      <c r="D29" s="181"/>
      <c r="E29" s="149"/>
      <c r="F29" s="183">
        <f t="shared" si="0"/>
        <v>1654854.4500000002</v>
      </c>
      <c r="J29" s="149">
        <v>0</v>
      </c>
    </row>
    <row r="30" spans="1:10" ht="21" customHeight="1" x14ac:dyDescent="0.25">
      <c r="A30" s="181">
        <v>45002</v>
      </c>
      <c r="B30" s="182" t="s">
        <v>143</v>
      </c>
      <c r="C30" s="149">
        <v>155086.71</v>
      </c>
      <c r="D30" s="181"/>
      <c r="E30" s="149"/>
      <c r="F30" s="183">
        <f t="shared" si="0"/>
        <v>1809941.1600000001</v>
      </c>
      <c r="J30" s="149">
        <v>0</v>
      </c>
    </row>
    <row r="31" spans="1:10" ht="21" customHeight="1" x14ac:dyDescent="0.25">
      <c r="A31" s="181">
        <v>45003</v>
      </c>
      <c r="B31" s="182" t="s">
        <v>144</v>
      </c>
      <c r="C31" s="149">
        <v>65083.4</v>
      </c>
      <c r="D31" s="181"/>
      <c r="E31" s="149"/>
      <c r="F31" s="183">
        <f t="shared" si="0"/>
        <v>1875024.56</v>
      </c>
      <c r="J31" s="149">
        <v>0</v>
      </c>
    </row>
    <row r="32" spans="1:10" ht="21" customHeight="1" x14ac:dyDescent="0.3">
      <c r="A32" s="181">
        <v>45003</v>
      </c>
      <c r="B32" s="182" t="s">
        <v>145</v>
      </c>
      <c r="C32" s="149">
        <v>7147.8</v>
      </c>
      <c r="D32" s="181"/>
      <c r="E32" s="149"/>
      <c r="F32" s="183">
        <f t="shared" si="0"/>
        <v>1882172.36</v>
      </c>
      <c r="G32" s="184"/>
      <c r="J32" s="149">
        <v>0</v>
      </c>
    </row>
    <row r="33" spans="1:10" ht="21" customHeight="1" x14ac:dyDescent="0.25">
      <c r="A33" s="181">
        <v>45005</v>
      </c>
      <c r="B33" s="182" t="s">
        <v>146</v>
      </c>
      <c r="C33" s="149">
        <v>78851.350000000006</v>
      </c>
      <c r="D33" s="181"/>
      <c r="E33" s="149"/>
      <c r="F33" s="183">
        <f t="shared" si="0"/>
        <v>1961023.7100000002</v>
      </c>
      <c r="J33" s="149">
        <v>0</v>
      </c>
    </row>
    <row r="34" spans="1:10" ht="21" customHeight="1" x14ac:dyDescent="0.25">
      <c r="A34" s="181">
        <v>45005</v>
      </c>
      <c r="B34" s="182" t="s">
        <v>147</v>
      </c>
      <c r="C34" s="149">
        <v>43916.800000000003</v>
      </c>
      <c r="D34" s="181"/>
      <c r="E34" s="149"/>
      <c r="F34" s="183">
        <f t="shared" si="0"/>
        <v>2004940.5100000002</v>
      </c>
      <c r="J34" s="149">
        <v>0</v>
      </c>
    </row>
    <row r="35" spans="1:10" ht="18.75" customHeight="1" x14ac:dyDescent="0.25">
      <c r="A35" s="181">
        <v>45006</v>
      </c>
      <c r="B35" s="182" t="s">
        <v>148</v>
      </c>
      <c r="C35" s="149">
        <v>58371.82</v>
      </c>
      <c r="D35" s="181"/>
      <c r="E35" s="149"/>
      <c r="F35" s="183">
        <f t="shared" si="0"/>
        <v>2063312.3300000003</v>
      </c>
      <c r="J35" s="149">
        <v>0</v>
      </c>
    </row>
    <row r="36" spans="1:10" ht="18.75" customHeight="1" x14ac:dyDescent="0.25">
      <c r="A36" s="181">
        <v>45007</v>
      </c>
      <c r="B36" s="182" t="s">
        <v>149</v>
      </c>
      <c r="C36" s="149">
        <v>49800</v>
      </c>
      <c r="D36" s="181"/>
      <c r="E36" s="149"/>
      <c r="F36" s="183">
        <f t="shared" si="0"/>
        <v>2113112.33</v>
      </c>
      <c r="J36" s="133">
        <v>0</v>
      </c>
    </row>
    <row r="37" spans="1:10" ht="18.75" customHeight="1" x14ac:dyDescent="0.25">
      <c r="A37" s="181">
        <v>45008</v>
      </c>
      <c r="B37" s="182" t="s">
        <v>150</v>
      </c>
      <c r="C37" s="149">
        <v>19380</v>
      </c>
      <c r="D37" s="181"/>
      <c r="E37" s="149"/>
      <c r="F37" s="183">
        <f t="shared" si="0"/>
        <v>2132492.33</v>
      </c>
      <c r="J37" s="187">
        <f>SUM(J29:J36)</f>
        <v>0</v>
      </c>
    </row>
    <row r="38" spans="1:10" ht="18.75" customHeight="1" x14ac:dyDescent="0.25">
      <c r="A38" s="181">
        <v>45008</v>
      </c>
      <c r="B38" s="182" t="s">
        <v>151</v>
      </c>
      <c r="C38" s="149">
        <v>103725.73</v>
      </c>
      <c r="D38" s="181"/>
      <c r="E38" s="149"/>
      <c r="F38" s="183">
        <f t="shared" si="0"/>
        <v>2236218.06</v>
      </c>
    </row>
    <row r="39" spans="1:10" ht="18.75" customHeight="1" x14ac:dyDescent="0.25">
      <c r="A39" s="181">
        <v>45009</v>
      </c>
      <c r="B39" s="182" t="s">
        <v>152</v>
      </c>
      <c r="C39" s="149">
        <v>90703.66</v>
      </c>
      <c r="D39" s="181"/>
      <c r="E39" s="149"/>
      <c r="F39" s="183">
        <f t="shared" si="0"/>
        <v>2326921.7200000002</v>
      </c>
    </row>
    <row r="40" spans="1:10" ht="18.75" customHeight="1" x14ac:dyDescent="0.25">
      <c r="A40" s="181">
        <v>45009</v>
      </c>
      <c r="B40" s="182" t="s">
        <v>153</v>
      </c>
      <c r="C40" s="149">
        <v>15108</v>
      </c>
      <c r="D40" s="181"/>
      <c r="E40" s="100"/>
      <c r="F40" s="183">
        <f t="shared" si="0"/>
        <v>2342029.7200000002</v>
      </c>
    </row>
    <row r="41" spans="1:10" ht="18.75" customHeight="1" x14ac:dyDescent="0.25">
      <c r="A41" s="181">
        <v>45010</v>
      </c>
      <c r="B41" s="182" t="s">
        <v>154</v>
      </c>
      <c r="C41" s="149">
        <v>110246.96</v>
      </c>
      <c r="D41" s="181"/>
      <c r="E41" s="100"/>
      <c r="F41" s="183">
        <f t="shared" si="0"/>
        <v>2452276.6800000002</v>
      </c>
    </row>
    <row r="42" spans="1:10" ht="24" customHeight="1" x14ac:dyDescent="0.25">
      <c r="A42" s="185">
        <v>45010</v>
      </c>
      <c r="B42" s="186" t="s">
        <v>155</v>
      </c>
      <c r="C42" s="149">
        <v>73872.600000000006</v>
      </c>
      <c r="D42" s="185"/>
      <c r="E42" s="100"/>
      <c r="F42" s="183">
        <f t="shared" si="0"/>
        <v>2526149.2800000003</v>
      </c>
    </row>
    <row r="43" spans="1:10" ht="23.25" customHeight="1" x14ac:dyDescent="0.25">
      <c r="A43" s="245">
        <v>45012</v>
      </c>
      <c r="B43" s="247" t="s">
        <v>156</v>
      </c>
      <c r="C43" s="149">
        <v>18201.599999999999</v>
      </c>
      <c r="D43" s="192"/>
      <c r="E43" s="100"/>
      <c r="F43" s="183">
        <f t="shared" si="0"/>
        <v>2544350.8800000004</v>
      </c>
    </row>
    <row r="44" spans="1:10" ht="23.25" customHeight="1" x14ac:dyDescent="0.25">
      <c r="A44" s="246">
        <v>45012</v>
      </c>
      <c r="B44" s="248" t="s">
        <v>157</v>
      </c>
      <c r="C44" s="149">
        <v>80248.600000000006</v>
      </c>
      <c r="D44" s="192"/>
      <c r="E44" s="100"/>
      <c r="F44" s="183">
        <f t="shared" si="0"/>
        <v>2624599.4800000004</v>
      </c>
    </row>
    <row r="45" spans="1:10" ht="23.25" customHeight="1" x14ac:dyDescent="0.25">
      <c r="A45" s="246">
        <v>45013</v>
      </c>
      <c r="B45" s="248" t="s">
        <v>158</v>
      </c>
      <c r="C45" s="149">
        <v>103968.36</v>
      </c>
      <c r="D45" s="192"/>
      <c r="E45" s="100"/>
      <c r="F45" s="183">
        <f t="shared" si="0"/>
        <v>2728567.8400000003</v>
      </c>
    </row>
    <row r="46" spans="1:10" ht="23.25" customHeight="1" x14ac:dyDescent="0.25">
      <c r="A46" s="246">
        <v>45014</v>
      </c>
      <c r="B46" s="248" t="s">
        <v>159</v>
      </c>
      <c r="C46" s="149">
        <v>60574.6</v>
      </c>
      <c r="D46" s="192"/>
      <c r="E46" s="100"/>
      <c r="F46" s="183">
        <f t="shared" si="0"/>
        <v>2789142.4400000004</v>
      </c>
    </row>
    <row r="47" spans="1:10" ht="23.25" customHeight="1" x14ac:dyDescent="0.25">
      <c r="A47" s="246">
        <v>45015</v>
      </c>
      <c r="B47" s="248" t="s">
        <v>168</v>
      </c>
      <c r="C47" s="149">
        <v>80283.600000000006</v>
      </c>
      <c r="D47" s="192"/>
      <c r="E47" s="100"/>
      <c r="F47" s="183">
        <f t="shared" si="0"/>
        <v>2869426.0400000005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2869426.0400000005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2869426.0400000005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2869426.0400000005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2869426.0400000005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2869426.0400000005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2869426.0400000005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2869426.0400000005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2869426.0400000005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2869426.0400000005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2869426.0400000005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2869426.0400000005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2869426.0400000005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2869426.0400000005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2869426.0400000005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2869426.0400000005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2869426.0400000005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2869426.0400000005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2869426.0400000005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2869426.0400000005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2869426.0400000005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2869426.0400000005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2869426.0400000005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2869426.0400000005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2869426.0400000005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2869426.0400000005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2869426.0400000005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2869426.0400000005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2869426.0400000005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2869426.0400000005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2869426.0400000005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2869426.0400000005</v>
      </c>
    </row>
    <row r="79" spans="1:6" ht="19.5" thickBot="1" x14ac:dyDescent="0.35">
      <c r="A79" s="201"/>
      <c r="B79" s="202"/>
      <c r="C79" s="203">
        <f>SUM(C3:C78)</f>
        <v>2869426.0400000005</v>
      </c>
      <c r="D79" s="175"/>
      <c r="E79" s="204">
        <f>SUM(E3:E78)</f>
        <v>0</v>
      </c>
      <c r="F79" s="205">
        <f>F78</f>
        <v>2869426.0400000005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U79"/>
  <sheetViews>
    <sheetView workbookViewId="0">
      <pane xSplit="5" ySplit="4" topLeftCell="F35" activePane="bottomRight" state="frozen"/>
      <selection pane="topRight" activeCell="F1" sqref="F1"/>
      <selection pane="bottomLeft" activeCell="A5" sqref="A5"/>
      <selection pane="bottomRight" activeCell="F43" sqref="F43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64"/>
      <c r="C1" s="366" t="s">
        <v>171</v>
      </c>
      <c r="D1" s="367"/>
      <c r="E1" s="367"/>
      <c r="F1" s="367"/>
      <c r="G1" s="367"/>
      <c r="H1" s="367"/>
      <c r="I1" s="367"/>
      <c r="J1" s="367"/>
      <c r="K1" s="367"/>
      <c r="L1" s="367"/>
      <c r="M1" s="367"/>
    </row>
    <row r="2" spans="1:21" ht="16.5" thickBot="1" x14ac:dyDescent="0.3">
      <c r="B2" s="365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68" t="s">
        <v>0</v>
      </c>
      <c r="C3" s="369"/>
      <c r="D3" s="10"/>
      <c r="E3" s="11"/>
      <c r="F3" s="11"/>
      <c r="H3" s="370" t="s">
        <v>1</v>
      </c>
      <c r="I3" s="370"/>
      <c r="K3" s="13"/>
      <c r="L3" s="13"/>
      <c r="M3" s="6"/>
      <c r="R3" s="395" t="s">
        <v>2</v>
      </c>
    </row>
    <row r="4" spans="1:21" ht="20.25" thickTop="1" thickBot="1" x14ac:dyDescent="0.35">
      <c r="A4" s="14" t="s">
        <v>3</v>
      </c>
      <c r="B4" s="15"/>
      <c r="C4" s="16">
        <v>341192.34</v>
      </c>
      <c r="D4" s="17">
        <v>45015</v>
      </c>
      <c r="E4" s="349" t="s">
        <v>4</v>
      </c>
      <c r="F4" s="350"/>
      <c r="H4" s="351" t="s">
        <v>5</v>
      </c>
      <c r="I4" s="352"/>
      <c r="J4" s="255"/>
      <c r="K4" s="256"/>
      <c r="L4" s="16"/>
      <c r="M4" s="21" t="s">
        <v>6</v>
      </c>
      <c r="N4" s="22" t="s">
        <v>7</v>
      </c>
      <c r="P4" s="386" t="s">
        <v>8</v>
      </c>
      <c r="Q4" s="387"/>
      <c r="R4" s="396"/>
    </row>
    <row r="5" spans="1:21" ht="18" thickBot="1" x14ac:dyDescent="0.35">
      <c r="A5" s="23" t="s">
        <v>9</v>
      </c>
      <c r="B5" s="24">
        <v>45016</v>
      </c>
      <c r="C5" s="25">
        <v>10813</v>
      </c>
      <c r="D5" s="26" t="s">
        <v>69</v>
      </c>
      <c r="E5" s="27">
        <v>45016</v>
      </c>
      <c r="F5" s="28">
        <v>106296</v>
      </c>
      <c r="G5" s="29"/>
      <c r="H5" s="30">
        <v>45016</v>
      </c>
      <c r="I5" s="31">
        <v>48</v>
      </c>
      <c r="J5" s="251"/>
      <c r="K5" s="257"/>
      <c r="L5" s="13"/>
      <c r="M5" s="33">
        <f>23000+77372</f>
        <v>100372</v>
      </c>
      <c r="N5" s="34">
        <v>0</v>
      </c>
      <c r="O5" s="35"/>
      <c r="P5" s="235">
        <f>N5+M5+L5+I5+C5</f>
        <v>111233</v>
      </c>
      <c r="Q5" s="236">
        <v>0</v>
      </c>
      <c r="R5" s="237">
        <v>4937</v>
      </c>
      <c r="S5" s="37"/>
    </row>
    <row r="6" spans="1:21" ht="18" thickBot="1" x14ac:dyDescent="0.35">
      <c r="A6" s="23"/>
      <c r="B6" s="24">
        <v>45017</v>
      </c>
      <c r="C6" s="25">
        <v>0</v>
      </c>
      <c r="D6" s="38"/>
      <c r="E6" s="27">
        <v>45017</v>
      </c>
      <c r="F6" s="28">
        <v>54760</v>
      </c>
      <c r="G6" s="29"/>
      <c r="H6" s="30">
        <v>45017</v>
      </c>
      <c r="I6" s="31">
        <v>167</v>
      </c>
      <c r="J6" s="258">
        <v>45017</v>
      </c>
      <c r="K6" s="71" t="s">
        <v>204</v>
      </c>
      <c r="L6" s="259">
        <v>10739</v>
      </c>
      <c r="M6" s="33">
        <f>16155+21400</f>
        <v>37555</v>
      </c>
      <c r="N6" s="34">
        <v>7523</v>
      </c>
      <c r="O6" s="35"/>
      <c r="P6" s="235">
        <f>N6+M6+L6+I6+C6</f>
        <v>55984</v>
      </c>
      <c r="Q6" s="236">
        <v>0</v>
      </c>
      <c r="R6" s="237">
        <v>1224</v>
      </c>
      <c r="S6" s="37"/>
      <c r="T6" s="9"/>
    </row>
    <row r="7" spans="1:21" ht="18" thickBot="1" x14ac:dyDescent="0.35">
      <c r="A7" s="23"/>
      <c r="B7" s="24">
        <v>45018</v>
      </c>
      <c r="C7" s="25">
        <v>0</v>
      </c>
      <c r="D7" s="42"/>
      <c r="E7" s="27">
        <v>45018</v>
      </c>
      <c r="F7" s="28">
        <v>58215</v>
      </c>
      <c r="G7" s="29"/>
      <c r="H7" s="30">
        <v>45018</v>
      </c>
      <c r="I7" s="31">
        <v>0</v>
      </c>
      <c r="J7" s="258">
        <v>45018</v>
      </c>
      <c r="K7" s="102" t="s">
        <v>205</v>
      </c>
      <c r="L7" s="259">
        <v>15000</v>
      </c>
      <c r="M7" s="33">
        <f>51500+8756</f>
        <v>60256</v>
      </c>
      <c r="N7" s="34">
        <v>3066</v>
      </c>
      <c r="O7" s="35"/>
      <c r="P7" s="235">
        <f>N7+M7+L7+I7+C7</f>
        <v>78322</v>
      </c>
      <c r="Q7" s="236">
        <v>0</v>
      </c>
      <c r="R7" s="237">
        <v>20107</v>
      </c>
      <c r="S7" s="37"/>
    </row>
    <row r="8" spans="1:21" ht="18" thickBot="1" x14ac:dyDescent="0.35">
      <c r="A8" s="23"/>
      <c r="B8" s="24">
        <v>45019</v>
      </c>
      <c r="C8" s="25">
        <v>1705</v>
      </c>
      <c r="D8" s="42" t="s">
        <v>206</v>
      </c>
      <c r="E8" s="27">
        <v>45019</v>
      </c>
      <c r="F8" s="28">
        <v>69516</v>
      </c>
      <c r="G8" s="29"/>
      <c r="H8" s="30">
        <v>45019</v>
      </c>
      <c r="I8" s="31">
        <v>134</v>
      </c>
      <c r="J8" s="258"/>
      <c r="K8" s="260"/>
      <c r="L8" s="259"/>
      <c r="M8" s="33">
        <f>59877+7800</f>
        <v>67677</v>
      </c>
      <c r="N8" s="34">
        <v>0</v>
      </c>
      <c r="O8" s="35"/>
      <c r="P8" s="235">
        <f t="shared" ref="P8:P45" si="0">N8+M8+L8+I8+C8</f>
        <v>69516</v>
      </c>
      <c r="Q8" s="236">
        <f t="shared" ref="Q8:Q41" si="1">P8-F8</f>
        <v>0</v>
      </c>
      <c r="R8" s="238">
        <v>0</v>
      </c>
      <c r="S8" s="37"/>
    </row>
    <row r="9" spans="1:21" ht="18" thickBot="1" x14ac:dyDescent="0.35">
      <c r="A9" s="23"/>
      <c r="B9" s="24">
        <v>45020</v>
      </c>
      <c r="C9" s="25">
        <v>3000</v>
      </c>
      <c r="D9" s="46" t="s">
        <v>67</v>
      </c>
      <c r="E9" s="27">
        <v>45020</v>
      </c>
      <c r="F9" s="28">
        <v>79247</v>
      </c>
      <c r="G9" s="29"/>
      <c r="H9" s="30">
        <v>45020</v>
      </c>
      <c r="I9" s="31">
        <v>140</v>
      </c>
      <c r="J9" s="258"/>
      <c r="K9" s="261"/>
      <c r="L9" s="259"/>
      <c r="M9" s="33">
        <f>68177+6500</f>
        <v>74677</v>
      </c>
      <c r="N9" s="300">
        <f>554+118+758</f>
        <v>1430</v>
      </c>
      <c r="O9" s="35"/>
      <c r="P9" s="235">
        <f t="shared" si="0"/>
        <v>79247</v>
      </c>
      <c r="Q9" s="236">
        <f t="shared" si="1"/>
        <v>0</v>
      </c>
      <c r="R9" s="238">
        <v>0</v>
      </c>
      <c r="S9" s="37"/>
    </row>
    <row r="10" spans="1:21" ht="18" thickBot="1" x14ac:dyDescent="0.35">
      <c r="A10" s="23"/>
      <c r="B10" s="24">
        <v>45021</v>
      </c>
      <c r="C10" s="25">
        <v>0</v>
      </c>
      <c r="D10" s="38"/>
      <c r="E10" s="27">
        <v>45021</v>
      </c>
      <c r="F10" s="28">
        <v>58852</v>
      </c>
      <c r="G10" s="29"/>
      <c r="H10" s="30">
        <v>45021</v>
      </c>
      <c r="I10" s="31">
        <v>638.5</v>
      </c>
      <c r="J10" s="258"/>
      <c r="K10" s="262"/>
      <c r="L10" s="263"/>
      <c r="M10" s="33">
        <v>58098</v>
      </c>
      <c r="N10" s="34">
        <v>116</v>
      </c>
      <c r="O10" s="35"/>
      <c r="P10" s="235">
        <f>N10+M10+L10+I10+C10</f>
        <v>58852.5</v>
      </c>
      <c r="Q10" s="236">
        <f t="shared" si="1"/>
        <v>0.5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45022</v>
      </c>
      <c r="C11" s="25">
        <v>0</v>
      </c>
      <c r="D11" s="38"/>
      <c r="E11" s="27">
        <v>45022</v>
      </c>
      <c r="F11" s="28">
        <v>76525</v>
      </c>
      <c r="G11" s="29"/>
      <c r="H11" s="30">
        <v>45022</v>
      </c>
      <c r="I11" s="31">
        <v>38</v>
      </c>
      <c r="J11" s="258"/>
      <c r="K11" s="261"/>
      <c r="L11" s="259"/>
      <c r="M11" s="33">
        <f>55350+18800</f>
        <v>74150</v>
      </c>
      <c r="N11" s="34">
        <v>2337</v>
      </c>
      <c r="O11" s="35"/>
      <c r="P11" s="235">
        <f>N11+M11+L11+I11+C11</f>
        <v>76525</v>
      </c>
      <c r="Q11" s="236">
        <f t="shared" si="1"/>
        <v>0</v>
      </c>
      <c r="R11" s="238">
        <v>0</v>
      </c>
      <c r="S11" s="37"/>
    </row>
    <row r="12" spans="1:21" ht="18" thickBot="1" x14ac:dyDescent="0.35">
      <c r="A12" s="23"/>
      <c r="B12" s="24">
        <v>45023</v>
      </c>
      <c r="C12" s="25">
        <v>0</v>
      </c>
      <c r="D12" s="38"/>
      <c r="E12" s="27">
        <v>45023</v>
      </c>
      <c r="F12" s="28">
        <v>26495</v>
      </c>
      <c r="G12" s="29"/>
      <c r="H12" s="30">
        <v>45023</v>
      </c>
      <c r="I12" s="31">
        <v>119</v>
      </c>
      <c r="J12" s="258"/>
      <c r="K12" s="264"/>
      <c r="L12" s="259"/>
      <c r="M12" s="33">
        <v>23608</v>
      </c>
      <c r="N12" s="34">
        <v>2768</v>
      </c>
      <c r="O12" s="35"/>
      <c r="P12" s="235">
        <f t="shared" si="0"/>
        <v>26495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45024</v>
      </c>
      <c r="C13" s="25">
        <v>15544</v>
      </c>
      <c r="D13" s="42" t="s">
        <v>166</v>
      </c>
      <c r="E13" s="27">
        <v>45024</v>
      </c>
      <c r="F13" s="28">
        <v>82208</v>
      </c>
      <c r="G13" s="29"/>
      <c r="H13" s="30">
        <v>45024</v>
      </c>
      <c r="I13" s="31">
        <v>189</v>
      </c>
      <c r="J13" s="258">
        <v>45024</v>
      </c>
      <c r="K13" s="71" t="s">
        <v>207</v>
      </c>
      <c r="L13" s="259">
        <v>7239</v>
      </c>
      <c r="M13" s="33">
        <f>23050+32080</f>
        <v>55130</v>
      </c>
      <c r="N13" s="34">
        <v>9926</v>
      </c>
      <c r="O13" s="35"/>
      <c r="P13" s="235">
        <f t="shared" si="0"/>
        <v>88028</v>
      </c>
      <c r="Q13" s="236">
        <v>0</v>
      </c>
      <c r="R13" s="237">
        <v>5820</v>
      </c>
      <c r="S13" s="37"/>
    </row>
    <row r="14" spans="1:21" ht="18" thickBot="1" x14ac:dyDescent="0.35">
      <c r="A14" s="23"/>
      <c r="B14" s="24">
        <v>45025</v>
      </c>
      <c r="C14" s="25">
        <v>0</v>
      </c>
      <c r="D14" s="46"/>
      <c r="E14" s="27">
        <v>45025</v>
      </c>
      <c r="F14" s="28">
        <v>86179</v>
      </c>
      <c r="G14" s="29"/>
      <c r="H14" s="30">
        <v>45025</v>
      </c>
      <c r="I14" s="31">
        <v>179</v>
      </c>
      <c r="J14" s="258"/>
      <c r="K14" s="260"/>
      <c r="L14" s="259"/>
      <c r="M14" s="33">
        <f>82700+3300</f>
        <v>86000</v>
      </c>
      <c r="N14" s="34">
        <v>0</v>
      </c>
      <c r="O14" s="35"/>
      <c r="P14" s="235">
        <f t="shared" si="0"/>
        <v>86179</v>
      </c>
      <c r="Q14" s="236">
        <f t="shared" si="1"/>
        <v>0</v>
      </c>
      <c r="R14" s="238">
        <v>0</v>
      </c>
      <c r="S14" s="37"/>
    </row>
    <row r="15" spans="1:21" ht="18" thickBot="1" x14ac:dyDescent="0.35">
      <c r="A15" s="23"/>
      <c r="B15" s="24">
        <v>45026</v>
      </c>
      <c r="C15" s="25">
        <v>0</v>
      </c>
      <c r="D15" s="46"/>
      <c r="E15" s="27">
        <v>45026</v>
      </c>
      <c r="F15" s="28">
        <v>87173</v>
      </c>
      <c r="G15" s="29"/>
      <c r="H15" s="30">
        <v>45026</v>
      </c>
      <c r="I15" s="31">
        <v>158</v>
      </c>
      <c r="J15" s="258"/>
      <c r="K15" s="260"/>
      <c r="L15" s="259"/>
      <c r="M15" s="33">
        <f>56000+30322</f>
        <v>86322</v>
      </c>
      <c r="N15" s="34">
        <v>693</v>
      </c>
      <c r="O15" s="35"/>
      <c r="P15" s="235">
        <f t="shared" si="0"/>
        <v>87173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45027</v>
      </c>
      <c r="C16" s="25">
        <v>2730</v>
      </c>
      <c r="D16" s="52" t="s">
        <v>67</v>
      </c>
      <c r="E16" s="27">
        <v>45027</v>
      </c>
      <c r="F16" s="28">
        <v>97690</v>
      </c>
      <c r="G16" s="29"/>
      <c r="H16" s="30">
        <v>45027</v>
      </c>
      <c r="I16" s="31">
        <v>10</v>
      </c>
      <c r="J16" s="258"/>
      <c r="K16" s="260"/>
      <c r="L16" s="13"/>
      <c r="M16" s="33">
        <f>62159+32000</f>
        <v>94159</v>
      </c>
      <c r="N16" s="34">
        <v>1594</v>
      </c>
      <c r="O16" s="35"/>
      <c r="P16" s="235">
        <f t="shared" si="0"/>
        <v>98493</v>
      </c>
      <c r="Q16" s="301">
        <f t="shared" si="1"/>
        <v>803</v>
      </c>
      <c r="R16" s="238">
        <v>0</v>
      </c>
      <c r="S16" s="37"/>
    </row>
    <row r="17" spans="1:20" ht="18" thickBot="1" x14ac:dyDescent="0.35">
      <c r="A17" s="23"/>
      <c r="B17" s="24">
        <v>45028</v>
      </c>
      <c r="C17" s="25">
        <v>0</v>
      </c>
      <c r="D17" s="46"/>
      <c r="E17" s="27">
        <v>45028</v>
      </c>
      <c r="F17" s="28">
        <v>27439</v>
      </c>
      <c r="G17" s="29"/>
      <c r="H17" s="30">
        <v>45028</v>
      </c>
      <c r="I17" s="31">
        <v>184</v>
      </c>
      <c r="J17" s="258"/>
      <c r="K17" s="260"/>
      <c r="L17" s="263"/>
      <c r="M17" s="33">
        <v>27255</v>
      </c>
      <c r="N17" s="34">
        <v>0</v>
      </c>
      <c r="O17" s="35"/>
      <c r="P17" s="235">
        <f t="shared" si="0"/>
        <v>27439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45029</v>
      </c>
      <c r="C18" s="25">
        <v>0</v>
      </c>
      <c r="D18" s="38"/>
      <c r="E18" s="27">
        <v>45029</v>
      </c>
      <c r="F18" s="28">
        <v>54142</v>
      </c>
      <c r="G18" s="29"/>
      <c r="H18" s="30">
        <v>45029</v>
      </c>
      <c r="I18" s="31">
        <v>35</v>
      </c>
      <c r="J18" s="258"/>
      <c r="K18" s="265"/>
      <c r="L18" s="259"/>
      <c r="M18" s="33">
        <f>11100+42300</f>
        <v>53400</v>
      </c>
      <c r="N18" s="34">
        <v>707</v>
      </c>
      <c r="O18" s="35"/>
      <c r="P18" s="235">
        <f t="shared" si="0"/>
        <v>54142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45030</v>
      </c>
      <c r="C19" s="25">
        <v>18033</v>
      </c>
      <c r="D19" s="38" t="s">
        <v>166</v>
      </c>
      <c r="E19" s="27">
        <v>45030</v>
      </c>
      <c r="F19" s="28">
        <v>84430</v>
      </c>
      <c r="G19" s="29"/>
      <c r="H19" s="30">
        <v>45030</v>
      </c>
      <c r="I19" s="31">
        <v>145</v>
      </c>
      <c r="J19" s="258"/>
      <c r="K19" s="266"/>
      <c r="L19" s="267"/>
      <c r="M19" s="33">
        <f>29100+34172</f>
        <v>63272</v>
      </c>
      <c r="N19" s="34">
        <v>2980</v>
      </c>
      <c r="O19" s="35"/>
      <c r="P19" s="235">
        <f t="shared" si="0"/>
        <v>84430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45031</v>
      </c>
      <c r="C20" s="25">
        <v>480</v>
      </c>
      <c r="D20" s="38" t="s">
        <v>67</v>
      </c>
      <c r="E20" s="27">
        <v>45031</v>
      </c>
      <c r="F20" s="28">
        <v>105928</v>
      </c>
      <c r="G20" s="29"/>
      <c r="H20" s="30">
        <v>45031</v>
      </c>
      <c r="I20" s="31">
        <v>142</v>
      </c>
      <c r="J20" s="258">
        <v>45031</v>
      </c>
      <c r="K20" s="262" t="s">
        <v>208</v>
      </c>
      <c r="L20" s="263">
        <v>4700</v>
      </c>
      <c r="M20" s="33">
        <f>36600+60133</f>
        <v>96733</v>
      </c>
      <c r="N20" s="34">
        <v>3873</v>
      </c>
      <c r="O20" s="35"/>
      <c r="P20" s="235">
        <f t="shared" si="0"/>
        <v>105928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45032</v>
      </c>
      <c r="C21" s="25">
        <v>0</v>
      </c>
      <c r="D21" s="38"/>
      <c r="E21" s="27">
        <v>45032</v>
      </c>
      <c r="F21" s="28">
        <v>75916</v>
      </c>
      <c r="G21" s="29"/>
      <c r="H21" s="30">
        <v>45032</v>
      </c>
      <c r="I21" s="31">
        <v>0</v>
      </c>
      <c r="J21" s="258"/>
      <c r="K21" s="268"/>
      <c r="L21" s="263"/>
      <c r="M21" s="33">
        <f>55600+16340</f>
        <v>71940</v>
      </c>
      <c r="N21" s="34">
        <v>3976</v>
      </c>
      <c r="O21" s="35"/>
      <c r="P21" s="235">
        <f t="shared" si="0"/>
        <v>75916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45033</v>
      </c>
      <c r="C22" s="25">
        <v>0</v>
      </c>
      <c r="D22" s="38"/>
      <c r="E22" s="27">
        <v>45033</v>
      </c>
      <c r="F22" s="28">
        <v>45261</v>
      </c>
      <c r="G22" s="29"/>
      <c r="H22" s="30">
        <v>45033</v>
      </c>
      <c r="I22" s="31">
        <v>109</v>
      </c>
      <c r="J22" s="258">
        <v>45033</v>
      </c>
      <c r="K22" s="302" t="s">
        <v>209</v>
      </c>
      <c r="L22" s="269">
        <v>10000</v>
      </c>
      <c r="M22" s="33">
        <f>11000+23187</f>
        <v>34187</v>
      </c>
      <c r="N22" s="34">
        <v>965</v>
      </c>
      <c r="O22" s="35"/>
      <c r="P22" s="235">
        <f t="shared" si="0"/>
        <v>45261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45034</v>
      </c>
      <c r="C23" s="25">
        <v>0</v>
      </c>
      <c r="D23" s="46"/>
      <c r="E23" s="27">
        <v>45034</v>
      </c>
      <c r="F23" s="28">
        <v>49176</v>
      </c>
      <c r="G23" s="29"/>
      <c r="H23" s="30">
        <v>45034</v>
      </c>
      <c r="I23" s="31">
        <v>42</v>
      </c>
      <c r="J23" s="270"/>
      <c r="K23" s="271"/>
      <c r="L23" s="263"/>
      <c r="M23" s="33">
        <f>8100+40533</f>
        <v>48633</v>
      </c>
      <c r="N23" s="34">
        <v>501</v>
      </c>
      <c r="O23" s="35"/>
      <c r="P23" s="235">
        <f t="shared" si="0"/>
        <v>49176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45035</v>
      </c>
      <c r="C24" s="25">
        <v>0</v>
      </c>
      <c r="D24" s="42"/>
      <c r="E24" s="27">
        <v>45035</v>
      </c>
      <c r="F24" s="28">
        <v>83504</v>
      </c>
      <c r="G24" s="29"/>
      <c r="H24" s="30">
        <v>45035</v>
      </c>
      <c r="I24" s="31">
        <v>111</v>
      </c>
      <c r="J24" s="272"/>
      <c r="K24" s="271"/>
      <c r="L24" s="273"/>
      <c r="M24" s="33">
        <f>8500+71869</f>
        <v>80369</v>
      </c>
      <c r="N24" s="34">
        <v>3024</v>
      </c>
      <c r="O24" s="35"/>
      <c r="P24" s="235">
        <f t="shared" si="0"/>
        <v>83504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45036</v>
      </c>
      <c r="C25" s="25">
        <v>2400</v>
      </c>
      <c r="D25" s="38" t="s">
        <v>67</v>
      </c>
      <c r="E25" s="27">
        <v>45036</v>
      </c>
      <c r="F25" s="28">
        <v>78726</v>
      </c>
      <c r="G25" s="29"/>
      <c r="H25" s="30">
        <v>45036</v>
      </c>
      <c r="I25" s="31">
        <v>70</v>
      </c>
      <c r="J25" s="274"/>
      <c r="K25" s="275"/>
      <c r="L25" s="276"/>
      <c r="M25" s="33">
        <f>16600+59656</f>
        <v>76256</v>
      </c>
      <c r="N25" s="34">
        <v>0</v>
      </c>
      <c r="O25" s="35"/>
      <c r="P25" s="235">
        <f t="shared" si="0"/>
        <v>78726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45037</v>
      </c>
      <c r="C26" s="25">
        <v>14471</v>
      </c>
      <c r="D26" s="38" t="s">
        <v>69</v>
      </c>
      <c r="E26" s="27">
        <v>45037</v>
      </c>
      <c r="F26" s="28">
        <v>86916</v>
      </c>
      <c r="G26" s="29"/>
      <c r="H26" s="30">
        <v>45037</v>
      </c>
      <c r="I26" s="31">
        <v>219</v>
      </c>
      <c r="J26" s="258"/>
      <c r="K26" s="271"/>
      <c r="L26" s="263"/>
      <c r="M26" s="33">
        <f>67849</f>
        <v>67849</v>
      </c>
      <c r="N26" s="34">
        <v>4377</v>
      </c>
      <c r="O26" s="35"/>
      <c r="P26" s="235">
        <f t="shared" si="0"/>
        <v>86916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45038</v>
      </c>
      <c r="C27" s="25">
        <v>0</v>
      </c>
      <c r="D27" s="42"/>
      <c r="E27" s="27">
        <v>45038</v>
      </c>
      <c r="F27" s="28">
        <v>89280</v>
      </c>
      <c r="G27" s="29"/>
      <c r="H27" s="30">
        <v>45038</v>
      </c>
      <c r="I27" s="31">
        <v>71</v>
      </c>
      <c r="J27" s="277">
        <v>45038</v>
      </c>
      <c r="K27" s="275" t="s">
        <v>210</v>
      </c>
      <c r="L27" s="276">
        <v>9000</v>
      </c>
      <c r="M27" s="33">
        <f>30700+41154</f>
        <v>71854</v>
      </c>
      <c r="N27" s="34">
        <v>8355</v>
      </c>
      <c r="O27" s="35"/>
      <c r="P27" s="235">
        <f t="shared" si="0"/>
        <v>89280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45039</v>
      </c>
      <c r="C28" s="25">
        <v>480</v>
      </c>
      <c r="D28" s="42" t="s">
        <v>100</v>
      </c>
      <c r="E28" s="27">
        <v>45039</v>
      </c>
      <c r="F28" s="28">
        <v>113440</v>
      </c>
      <c r="G28" s="29"/>
      <c r="H28" s="30">
        <v>45039</v>
      </c>
      <c r="I28" s="31">
        <v>15</v>
      </c>
      <c r="J28" s="278"/>
      <c r="K28" s="71"/>
      <c r="L28" s="276"/>
      <c r="M28" s="33">
        <f>100600+8707</f>
        <v>109307</v>
      </c>
      <c r="N28" s="34">
        <v>3638</v>
      </c>
      <c r="O28" s="35"/>
      <c r="P28" s="235">
        <f t="shared" si="0"/>
        <v>113440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45040</v>
      </c>
      <c r="C29" s="25">
        <v>2730</v>
      </c>
      <c r="D29" s="72" t="s">
        <v>67</v>
      </c>
      <c r="E29" s="27">
        <v>45040</v>
      </c>
      <c r="F29" s="28">
        <v>121430</v>
      </c>
      <c r="G29" s="29"/>
      <c r="H29" s="30">
        <v>45040</v>
      </c>
      <c r="I29" s="31">
        <v>148</v>
      </c>
      <c r="J29" s="277"/>
      <c r="K29" s="279"/>
      <c r="L29" s="276"/>
      <c r="M29" s="33">
        <f>10000+106763</f>
        <v>116763</v>
      </c>
      <c r="N29" s="34">
        <v>1789</v>
      </c>
      <c r="O29" s="35"/>
      <c r="P29" s="235">
        <f t="shared" si="0"/>
        <v>121430</v>
      </c>
      <c r="Q29" s="236">
        <f t="shared" si="1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45041</v>
      </c>
      <c r="C30" s="25">
        <v>0</v>
      </c>
      <c r="D30" s="72"/>
      <c r="E30" s="27">
        <v>45041</v>
      </c>
      <c r="F30" s="28">
        <v>74729</v>
      </c>
      <c r="G30" s="29"/>
      <c r="H30" s="30">
        <v>45041</v>
      </c>
      <c r="I30" s="31">
        <v>18</v>
      </c>
      <c r="J30" s="86"/>
      <c r="K30" s="280"/>
      <c r="L30" s="281"/>
      <c r="M30" s="33">
        <f>7500+66346</f>
        <v>73846</v>
      </c>
      <c r="N30" s="34">
        <v>865</v>
      </c>
      <c r="O30" s="35"/>
      <c r="P30" s="235">
        <f t="shared" si="0"/>
        <v>74729</v>
      </c>
      <c r="Q30" s="236">
        <f t="shared" si="1"/>
        <v>0</v>
      </c>
      <c r="R30" s="238">
        <v>0</v>
      </c>
      <c r="S30" s="37"/>
    </row>
    <row r="31" spans="1:20" ht="18" thickBot="1" x14ac:dyDescent="0.35">
      <c r="A31" s="23"/>
      <c r="B31" s="24">
        <v>45042</v>
      </c>
      <c r="C31" s="25">
        <v>1894</v>
      </c>
      <c r="D31" s="77" t="s">
        <v>211</v>
      </c>
      <c r="E31" s="27">
        <v>45042</v>
      </c>
      <c r="F31" s="28">
        <v>56424</v>
      </c>
      <c r="G31" s="29"/>
      <c r="H31" s="30">
        <v>45042</v>
      </c>
      <c r="I31" s="31">
        <v>101</v>
      </c>
      <c r="J31" s="86"/>
      <c r="K31" s="282"/>
      <c r="L31" s="283"/>
      <c r="M31" s="33">
        <v>54429</v>
      </c>
      <c r="N31" s="34">
        <v>0</v>
      </c>
      <c r="O31" s="35"/>
      <c r="P31" s="235">
        <f t="shared" si="0"/>
        <v>56424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45043</v>
      </c>
      <c r="C32" s="25">
        <v>0</v>
      </c>
      <c r="D32" s="82"/>
      <c r="E32" s="27">
        <v>45043</v>
      </c>
      <c r="F32" s="28">
        <v>85938</v>
      </c>
      <c r="G32" s="29"/>
      <c r="H32" s="30">
        <v>45043</v>
      </c>
      <c r="I32" s="31">
        <v>112</v>
      </c>
      <c r="J32" s="86"/>
      <c r="K32" s="280"/>
      <c r="L32" s="281"/>
      <c r="M32" s="33">
        <f>68685+13000</f>
        <v>81685</v>
      </c>
      <c r="N32" s="34">
        <v>4141</v>
      </c>
      <c r="O32" s="35"/>
      <c r="P32" s="235">
        <f t="shared" si="0"/>
        <v>85938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45044</v>
      </c>
      <c r="C33" s="25">
        <v>9194</v>
      </c>
      <c r="D33" s="80" t="s">
        <v>69</v>
      </c>
      <c r="E33" s="27">
        <v>45044</v>
      </c>
      <c r="F33" s="28">
        <v>136049</v>
      </c>
      <c r="G33" s="29"/>
      <c r="H33" s="30">
        <v>45044</v>
      </c>
      <c r="I33" s="31">
        <v>81</v>
      </c>
      <c r="J33" s="86"/>
      <c r="K33" s="282"/>
      <c r="L33" s="216"/>
      <c r="M33" s="33">
        <f>33600+91736</f>
        <v>125336</v>
      </c>
      <c r="N33" s="34">
        <v>1438</v>
      </c>
      <c r="O33" s="35"/>
      <c r="P33" s="235">
        <f t="shared" si="0"/>
        <v>136049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>
        <v>45045</v>
      </c>
      <c r="C34" s="25">
        <v>3549</v>
      </c>
      <c r="D34" s="82" t="s">
        <v>69</v>
      </c>
      <c r="E34" s="27">
        <v>45045</v>
      </c>
      <c r="F34" s="28">
        <v>79034</v>
      </c>
      <c r="G34" s="29"/>
      <c r="H34" s="30">
        <v>45045</v>
      </c>
      <c r="I34" s="31">
        <v>167</v>
      </c>
      <c r="J34" s="86">
        <v>45045</v>
      </c>
      <c r="K34" s="83" t="s">
        <v>212</v>
      </c>
      <c r="L34" s="284">
        <v>9352</v>
      </c>
      <c r="M34" s="33">
        <f>12700+48441</f>
        <v>61141</v>
      </c>
      <c r="N34" s="34">
        <v>4825</v>
      </c>
      <c r="O34" s="35"/>
      <c r="P34" s="235">
        <f t="shared" si="0"/>
        <v>79034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>
        <v>45046</v>
      </c>
      <c r="C35" s="25">
        <v>0</v>
      </c>
      <c r="D35" s="77"/>
      <c r="E35" s="27">
        <v>45046</v>
      </c>
      <c r="F35" s="28">
        <v>65712</v>
      </c>
      <c r="G35" s="29"/>
      <c r="H35" s="30">
        <v>45046</v>
      </c>
      <c r="I35" s="31">
        <v>22</v>
      </c>
      <c r="J35" s="86"/>
      <c r="K35" s="282"/>
      <c r="L35" s="216"/>
      <c r="M35" s="33">
        <f>55500+9676</f>
        <v>65176</v>
      </c>
      <c r="N35" s="34">
        <v>514</v>
      </c>
      <c r="O35" s="35"/>
      <c r="P35" s="235">
        <f t="shared" si="0"/>
        <v>65712</v>
      </c>
      <c r="Q35" s="236">
        <f t="shared" si="1"/>
        <v>0</v>
      </c>
      <c r="R35" s="238">
        <v>0</v>
      </c>
      <c r="S35" s="37"/>
    </row>
    <row r="36" spans="1:19" ht="18" thickBot="1" x14ac:dyDescent="0.35">
      <c r="A36" s="23"/>
      <c r="B36" s="24">
        <v>45047</v>
      </c>
      <c r="C36" s="25">
        <v>0</v>
      </c>
      <c r="D36" s="85"/>
      <c r="E36" s="27">
        <v>45047</v>
      </c>
      <c r="F36" s="28">
        <v>131263</v>
      </c>
      <c r="G36" s="29"/>
      <c r="H36" s="30">
        <v>45047</v>
      </c>
      <c r="I36" s="31">
        <v>75</v>
      </c>
      <c r="J36" s="86"/>
      <c r="K36" s="285"/>
      <c r="L36" s="216"/>
      <c r="M36" s="33">
        <f>20900+108362</f>
        <v>129262</v>
      </c>
      <c r="N36" s="34">
        <v>1926</v>
      </c>
      <c r="O36" s="35"/>
      <c r="P36" s="235">
        <f t="shared" si="0"/>
        <v>131263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>
        <v>45048</v>
      </c>
      <c r="C37" s="25">
        <v>3900</v>
      </c>
      <c r="D37" s="82" t="s">
        <v>213</v>
      </c>
      <c r="E37" s="27">
        <v>45048</v>
      </c>
      <c r="F37" s="28">
        <v>70706</v>
      </c>
      <c r="G37" s="29"/>
      <c r="H37" s="30">
        <v>45048</v>
      </c>
      <c r="I37" s="31">
        <v>24</v>
      </c>
      <c r="J37" s="86"/>
      <c r="K37" s="286"/>
      <c r="L37" s="216"/>
      <c r="M37" s="33">
        <f>35600+30790</f>
        <v>66390</v>
      </c>
      <c r="N37" s="34">
        <v>392</v>
      </c>
      <c r="O37" s="35"/>
      <c r="P37" s="235">
        <f t="shared" si="0"/>
        <v>70706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>
        <v>45049</v>
      </c>
      <c r="C38" s="25">
        <v>0</v>
      </c>
      <c r="D38" s="80"/>
      <c r="E38" s="27">
        <v>45049</v>
      </c>
      <c r="F38" s="28">
        <v>44693</v>
      </c>
      <c r="G38" s="29"/>
      <c r="H38" s="30">
        <v>45049</v>
      </c>
      <c r="I38" s="31">
        <v>210</v>
      </c>
      <c r="J38" s="86"/>
      <c r="K38" s="282"/>
      <c r="L38" s="216"/>
      <c r="M38" s="33">
        <v>44383</v>
      </c>
      <c r="N38" s="34">
        <v>100</v>
      </c>
      <c r="O38" s="35"/>
      <c r="P38" s="235">
        <f t="shared" si="0"/>
        <v>44693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>
        <v>45050</v>
      </c>
      <c r="C39" s="25">
        <v>0</v>
      </c>
      <c r="D39" s="80"/>
      <c r="E39" s="27">
        <v>45050</v>
      </c>
      <c r="F39" s="28">
        <v>52115</v>
      </c>
      <c r="G39" s="29"/>
      <c r="H39" s="30">
        <v>45050</v>
      </c>
      <c r="I39" s="31">
        <v>5</v>
      </c>
      <c r="J39" s="86"/>
      <c r="K39" s="231"/>
      <c r="L39" s="281"/>
      <c r="M39" s="33">
        <f>14000+37239</f>
        <v>51239</v>
      </c>
      <c r="N39" s="34">
        <v>871</v>
      </c>
      <c r="O39" s="35"/>
      <c r="P39" s="235">
        <f t="shared" si="0"/>
        <v>52115</v>
      </c>
      <c r="Q39" s="236">
        <f t="shared" si="1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/>
      <c r="K40" s="231"/>
      <c r="L40" s="281"/>
      <c r="M40" s="33">
        <v>0</v>
      </c>
      <c r="N40" s="34">
        <v>0</v>
      </c>
      <c r="O40" s="35"/>
      <c r="P40" s="235">
        <f t="shared" si="0"/>
        <v>0</v>
      </c>
      <c r="Q40" s="236">
        <f t="shared" si="1"/>
        <v>0</v>
      </c>
      <c r="R40" s="238">
        <v>0</v>
      </c>
      <c r="S40" s="37"/>
    </row>
    <row r="41" spans="1:19" ht="31.5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45026</v>
      </c>
      <c r="K41" s="305" t="s">
        <v>227</v>
      </c>
      <c r="L41" s="281">
        <v>1225.1199999999999</v>
      </c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45033</v>
      </c>
      <c r="K42" s="231" t="s">
        <v>108</v>
      </c>
      <c r="L42" s="281">
        <v>1392</v>
      </c>
      <c r="M42" s="33">
        <v>0</v>
      </c>
      <c r="N42" s="34">
        <v>0</v>
      </c>
      <c r="O42" s="35"/>
      <c r="P42" s="235">
        <v>0</v>
      </c>
      <c r="Q42" s="236">
        <f t="shared" ref="Q42:Q44" si="2">P42-F42</f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45033</v>
      </c>
      <c r="K43" s="313" t="s">
        <v>230</v>
      </c>
      <c r="L43" s="281">
        <v>14500</v>
      </c>
      <c r="M43" s="33">
        <v>0</v>
      </c>
      <c r="N43" s="34">
        <v>0</v>
      </c>
      <c r="O43" s="35"/>
      <c r="P43" s="240">
        <f t="shared" si="0"/>
        <v>14500</v>
      </c>
      <c r="Q43" s="241">
        <f t="shared" si="2"/>
        <v>14500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>
        <v>45042</v>
      </c>
      <c r="K44" s="231" t="s">
        <v>109</v>
      </c>
      <c r="L44" s="281">
        <v>1031.47</v>
      </c>
      <c r="M44" s="92">
        <v>0</v>
      </c>
      <c r="N44" s="93"/>
      <c r="O44" s="35"/>
      <c r="P44" s="36">
        <f t="shared" si="0"/>
        <v>1031.47</v>
      </c>
      <c r="Q44" s="13">
        <f t="shared" si="2"/>
        <v>1031.47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311">
        <v>45050</v>
      </c>
      <c r="K45" s="310" t="s">
        <v>228</v>
      </c>
      <c r="L45" s="312">
        <v>2123.98</v>
      </c>
      <c r="M45" s="371">
        <f>SUM(M5:M39)</f>
        <v>2488709</v>
      </c>
      <c r="N45" s="356">
        <f>SUM(N5:N39)</f>
        <v>78710</v>
      </c>
      <c r="P45" s="98">
        <f t="shared" si="0"/>
        <v>2569542.98</v>
      </c>
      <c r="Q45" s="99">
        <f>SUM(Q5:Q39)</f>
        <v>803.5</v>
      </c>
      <c r="R45" s="99">
        <f>SUM(R5:R39)</f>
        <v>32088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>
        <v>45037</v>
      </c>
      <c r="K46" s="306" t="s">
        <v>229</v>
      </c>
      <c r="L46" s="281">
        <v>34015</v>
      </c>
      <c r="M46" s="372"/>
      <c r="N46" s="357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90923</v>
      </c>
      <c r="D49" s="123"/>
      <c r="E49" s="124" t="s">
        <v>10</v>
      </c>
      <c r="F49" s="125">
        <f>SUM(F5:F48)</f>
        <v>2695407</v>
      </c>
      <c r="G49" s="123"/>
      <c r="H49" s="126" t="s">
        <v>11</v>
      </c>
      <c r="I49" s="127">
        <f>SUM(I5:I48)</f>
        <v>3926.5</v>
      </c>
      <c r="J49" s="290"/>
      <c r="K49" s="291" t="s">
        <v>12</v>
      </c>
      <c r="L49" s="292">
        <f>SUM(L5:L48)</f>
        <v>120317.56999999999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58" t="s">
        <v>13</v>
      </c>
      <c r="I51" s="359"/>
      <c r="J51" s="135"/>
      <c r="K51" s="360">
        <f>I49+L49</f>
        <v>124244.06999999999</v>
      </c>
      <c r="L51" s="361"/>
      <c r="M51" s="362">
        <f>N45+M45</f>
        <v>2567419</v>
      </c>
      <c r="N51" s="363"/>
      <c r="P51" s="36"/>
      <c r="Q51" s="9"/>
    </row>
    <row r="52" spans="1:17" x14ac:dyDescent="0.25">
      <c r="D52" s="355" t="s">
        <v>14</v>
      </c>
      <c r="E52" s="355"/>
      <c r="F52" s="136">
        <f>F49-K51-C49</f>
        <v>2480239.9300000002</v>
      </c>
      <c r="I52" s="137"/>
      <c r="J52" s="138"/>
      <c r="P52" s="36"/>
      <c r="Q52" s="9"/>
    </row>
    <row r="53" spans="1:17" x14ac:dyDescent="0.25">
      <c r="D53" s="373" t="s">
        <v>15</v>
      </c>
      <c r="E53" s="373"/>
      <c r="F53" s="131">
        <v>-2463938.5299999998</v>
      </c>
      <c r="I53" s="374" t="s">
        <v>16</v>
      </c>
      <c r="J53" s="375"/>
      <c r="K53" s="388">
        <f>F55+F56+F57</f>
        <v>439109.10000000038</v>
      </c>
      <c r="L53" s="389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16301.400000000373</v>
      </c>
      <c r="H55" s="23"/>
      <c r="I55" s="146" t="s">
        <v>18</v>
      </c>
      <c r="J55" s="147"/>
      <c r="K55" s="390">
        <f>-C4</f>
        <v>-341192.34</v>
      </c>
      <c r="L55" s="391"/>
    </row>
    <row r="56" spans="1:17" ht="16.5" thickBot="1" x14ac:dyDescent="0.3">
      <c r="D56" s="148" t="s">
        <v>19</v>
      </c>
      <c r="E56" s="133" t="s">
        <v>20</v>
      </c>
      <c r="F56" s="149">
        <v>28259</v>
      </c>
    </row>
    <row r="57" spans="1:17" ht="20.25" thickTop="1" thickBot="1" x14ac:dyDescent="0.35">
      <c r="C57" s="150">
        <v>45050</v>
      </c>
      <c r="D57" s="380" t="s">
        <v>21</v>
      </c>
      <c r="E57" s="381"/>
      <c r="F57" s="151">
        <v>394548.7</v>
      </c>
      <c r="I57" s="397" t="s">
        <v>22</v>
      </c>
      <c r="J57" s="398"/>
      <c r="K57" s="399">
        <f>K53+K55</f>
        <v>97916.760000000359</v>
      </c>
      <c r="L57" s="399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23622047244094491" right="0.23622047244094491" top="0.27559055118110237" bottom="0.31496062992125984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115"/>
  <sheetViews>
    <sheetView topLeftCell="A36" workbookViewId="0">
      <selection activeCell="C48" sqref="C48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45016</v>
      </c>
      <c r="B3" s="182" t="s">
        <v>172</v>
      </c>
      <c r="C3" s="149">
        <v>107193.8</v>
      </c>
      <c r="D3" s="244"/>
      <c r="E3" s="220"/>
      <c r="F3" s="180">
        <f>C3-E3</f>
        <v>107193.8</v>
      </c>
    </row>
    <row r="4" spans="1:7" ht="22.5" customHeight="1" x14ac:dyDescent="0.25">
      <c r="A4" s="181">
        <v>45017</v>
      </c>
      <c r="B4" s="182" t="s">
        <v>173</v>
      </c>
      <c r="C4" s="149">
        <v>39698.300000000003</v>
      </c>
      <c r="D4" s="244"/>
      <c r="E4" s="220"/>
      <c r="F4" s="183">
        <f>C4-E4+F3</f>
        <v>146892.1</v>
      </c>
    </row>
    <row r="5" spans="1:7" ht="21" customHeight="1" x14ac:dyDescent="0.25">
      <c r="A5" s="181">
        <v>45017</v>
      </c>
      <c r="B5" s="182" t="s">
        <v>174</v>
      </c>
      <c r="C5" s="149">
        <v>68414</v>
      </c>
      <c r="D5" s="244"/>
      <c r="E5" s="220"/>
      <c r="F5" s="183">
        <f t="shared" ref="F5:F68" si="0">C5-E5+F4</f>
        <v>215306.1</v>
      </c>
    </row>
    <row r="6" spans="1:7" ht="21" customHeight="1" x14ac:dyDescent="0.3">
      <c r="A6" s="181">
        <v>45020</v>
      </c>
      <c r="B6" s="182" t="s">
        <v>175</v>
      </c>
      <c r="C6" s="149">
        <v>13062.54</v>
      </c>
      <c r="D6" s="244"/>
      <c r="E6" s="220"/>
      <c r="F6" s="183">
        <f t="shared" si="0"/>
        <v>228368.64000000001</v>
      </c>
      <c r="G6" s="184"/>
    </row>
    <row r="7" spans="1:7" ht="21" customHeight="1" x14ac:dyDescent="0.25">
      <c r="A7" s="181">
        <v>45020</v>
      </c>
      <c r="B7" s="182" t="s">
        <v>176</v>
      </c>
      <c r="C7" s="149">
        <v>15649.2</v>
      </c>
      <c r="D7" s="244"/>
      <c r="E7" s="220"/>
      <c r="F7" s="183">
        <f t="shared" si="0"/>
        <v>244017.84000000003</v>
      </c>
    </row>
    <row r="8" spans="1:7" ht="21" customHeight="1" x14ac:dyDescent="0.25">
      <c r="A8" s="181">
        <v>45021</v>
      </c>
      <c r="B8" s="182" t="s">
        <v>177</v>
      </c>
      <c r="C8" s="149">
        <v>71900.800000000003</v>
      </c>
      <c r="D8" s="244"/>
      <c r="E8" s="220"/>
      <c r="F8" s="183">
        <f t="shared" si="0"/>
        <v>315918.64</v>
      </c>
    </row>
    <row r="9" spans="1:7" ht="21" customHeight="1" x14ac:dyDescent="0.25">
      <c r="A9" s="181">
        <v>45021</v>
      </c>
      <c r="B9" s="182" t="s">
        <v>178</v>
      </c>
      <c r="C9" s="149">
        <v>37854</v>
      </c>
      <c r="D9" s="181"/>
      <c r="E9" s="149"/>
      <c r="F9" s="183">
        <f t="shared" si="0"/>
        <v>353772.64</v>
      </c>
    </row>
    <row r="10" spans="1:7" ht="21" customHeight="1" x14ac:dyDescent="0.25">
      <c r="A10" s="181">
        <v>45022</v>
      </c>
      <c r="B10" s="182" t="s">
        <v>179</v>
      </c>
      <c r="C10" s="149">
        <v>44246.14</v>
      </c>
      <c r="D10" s="181"/>
      <c r="E10" s="149"/>
      <c r="F10" s="183">
        <f t="shared" si="0"/>
        <v>398018.78</v>
      </c>
    </row>
    <row r="11" spans="1:7" ht="21" customHeight="1" x14ac:dyDescent="0.25">
      <c r="A11" s="181">
        <v>45023</v>
      </c>
      <c r="B11" s="182" t="s">
        <v>180</v>
      </c>
      <c r="C11" s="149">
        <v>47065.64</v>
      </c>
      <c r="D11" s="181"/>
      <c r="E11" s="149"/>
      <c r="F11" s="183">
        <f t="shared" si="0"/>
        <v>445084.42000000004</v>
      </c>
    </row>
    <row r="12" spans="1:7" ht="21" customHeight="1" x14ac:dyDescent="0.3">
      <c r="A12" s="181">
        <v>45023</v>
      </c>
      <c r="B12" s="182" t="s">
        <v>181</v>
      </c>
      <c r="C12" s="149">
        <v>2623.48</v>
      </c>
      <c r="D12" s="181"/>
      <c r="E12" s="149"/>
      <c r="F12" s="183">
        <f t="shared" si="0"/>
        <v>447707.9</v>
      </c>
      <c r="G12" s="184"/>
    </row>
    <row r="13" spans="1:7" ht="21" customHeight="1" x14ac:dyDescent="0.25">
      <c r="A13" s="181">
        <v>45023</v>
      </c>
      <c r="B13" s="182" t="s">
        <v>182</v>
      </c>
      <c r="C13" s="149">
        <v>112506.88</v>
      </c>
      <c r="D13" s="181"/>
      <c r="E13" s="149"/>
      <c r="F13" s="183">
        <f t="shared" si="0"/>
        <v>560214.78</v>
      </c>
    </row>
    <row r="14" spans="1:7" ht="21" customHeight="1" x14ac:dyDescent="0.25">
      <c r="A14" s="181">
        <v>45024</v>
      </c>
      <c r="B14" s="182" t="s">
        <v>183</v>
      </c>
      <c r="C14" s="149">
        <v>1643</v>
      </c>
      <c r="D14" s="181"/>
      <c r="E14" s="149"/>
      <c r="F14" s="183">
        <f t="shared" si="0"/>
        <v>561857.78</v>
      </c>
    </row>
    <row r="15" spans="1:7" ht="21" customHeight="1" x14ac:dyDescent="0.25">
      <c r="A15" s="181">
        <v>45024</v>
      </c>
      <c r="B15" s="182" t="s">
        <v>184</v>
      </c>
      <c r="C15" s="149">
        <v>1704</v>
      </c>
      <c r="D15" s="181"/>
      <c r="E15" s="149"/>
      <c r="F15" s="183">
        <f t="shared" si="0"/>
        <v>563561.78</v>
      </c>
    </row>
    <row r="16" spans="1:7" ht="21" customHeight="1" x14ac:dyDescent="0.25">
      <c r="A16" s="181">
        <v>45026</v>
      </c>
      <c r="B16" s="182" t="s">
        <v>185</v>
      </c>
      <c r="C16" s="149">
        <v>50594.9</v>
      </c>
      <c r="D16" s="181"/>
      <c r="E16" s="149"/>
      <c r="F16" s="183">
        <f t="shared" si="0"/>
        <v>614156.68000000005</v>
      </c>
    </row>
    <row r="17" spans="1:10" ht="21" customHeight="1" x14ac:dyDescent="0.25">
      <c r="A17" s="181">
        <v>45028</v>
      </c>
      <c r="B17" s="182" t="s">
        <v>186</v>
      </c>
      <c r="C17" s="149">
        <v>107073.9</v>
      </c>
      <c r="D17" s="181"/>
      <c r="E17" s="149"/>
      <c r="F17" s="183">
        <f t="shared" si="0"/>
        <v>721230.58000000007</v>
      </c>
    </row>
    <row r="18" spans="1:10" ht="21" customHeight="1" x14ac:dyDescent="0.25">
      <c r="A18" s="181">
        <v>45030</v>
      </c>
      <c r="B18" s="182" t="s">
        <v>187</v>
      </c>
      <c r="C18" s="149">
        <v>38479.599999999999</v>
      </c>
      <c r="D18" s="181"/>
      <c r="E18" s="149"/>
      <c r="F18" s="183">
        <f t="shared" si="0"/>
        <v>759710.18</v>
      </c>
    </row>
    <row r="19" spans="1:10" ht="21" customHeight="1" x14ac:dyDescent="0.25">
      <c r="A19" s="181">
        <v>45030</v>
      </c>
      <c r="B19" s="182" t="s">
        <v>188</v>
      </c>
      <c r="C19" s="149">
        <v>6657.6</v>
      </c>
      <c r="D19" s="181"/>
      <c r="E19" s="149"/>
      <c r="F19" s="183">
        <f t="shared" si="0"/>
        <v>766367.78</v>
      </c>
    </row>
    <row r="20" spans="1:10" ht="21" customHeight="1" x14ac:dyDescent="0.25">
      <c r="A20" s="181">
        <v>45030</v>
      </c>
      <c r="B20" s="182" t="s">
        <v>189</v>
      </c>
      <c r="C20" s="149">
        <v>66744</v>
      </c>
      <c r="D20" s="181"/>
      <c r="E20" s="149"/>
      <c r="F20" s="183">
        <f t="shared" si="0"/>
        <v>833111.78</v>
      </c>
    </row>
    <row r="21" spans="1:10" ht="24.75" customHeight="1" x14ac:dyDescent="0.25">
      <c r="A21" s="181">
        <v>45030</v>
      </c>
      <c r="B21" s="182" t="s">
        <v>190</v>
      </c>
      <c r="C21" s="149">
        <v>9662.7999999999993</v>
      </c>
      <c r="D21" s="181"/>
      <c r="E21" s="149"/>
      <c r="F21" s="183">
        <f t="shared" si="0"/>
        <v>842774.58000000007</v>
      </c>
    </row>
    <row r="22" spans="1:10" ht="21" customHeight="1" x14ac:dyDescent="0.25">
      <c r="A22" s="181">
        <v>45031</v>
      </c>
      <c r="B22" s="182" t="s">
        <v>191</v>
      </c>
      <c r="C22" s="149">
        <v>133072.38</v>
      </c>
      <c r="D22" s="181"/>
      <c r="E22" s="149"/>
      <c r="F22" s="183">
        <f t="shared" si="0"/>
        <v>975846.96000000008</v>
      </c>
    </row>
    <row r="23" spans="1:10" ht="21" customHeight="1" x14ac:dyDescent="0.25">
      <c r="A23" s="181">
        <v>45031</v>
      </c>
      <c r="B23" s="182" t="s">
        <v>192</v>
      </c>
      <c r="C23" s="149">
        <v>2777.6</v>
      </c>
      <c r="D23" s="181"/>
      <c r="E23" s="149"/>
      <c r="F23" s="183">
        <f t="shared" si="0"/>
        <v>978624.56</v>
      </c>
    </row>
    <row r="24" spans="1:10" ht="21" customHeight="1" x14ac:dyDescent="0.3">
      <c r="A24" s="181">
        <v>45033</v>
      </c>
      <c r="B24" s="182" t="s">
        <v>193</v>
      </c>
      <c r="C24" s="149">
        <v>24800.62</v>
      </c>
      <c r="D24" s="181"/>
      <c r="E24" s="149"/>
      <c r="F24" s="183">
        <f t="shared" si="0"/>
        <v>1003425.18</v>
      </c>
      <c r="G24" s="184"/>
    </row>
    <row r="25" spans="1:10" ht="21" customHeight="1" x14ac:dyDescent="0.25">
      <c r="A25" s="181">
        <v>45034</v>
      </c>
      <c r="B25" s="182" t="s">
        <v>194</v>
      </c>
      <c r="C25" s="149">
        <v>98055.61</v>
      </c>
      <c r="D25" s="181"/>
      <c r="E25" s="149"/>
      <c r="F25" s="183">
        <f t="shared" si="0"/>
        <v>1101480.79</v>
      </c>
    </row>
    <row r="26" spans="1:10" ht="21" customHeight="1" x14ac:dyDescent="0.25">
      <c r="A26" s="181">
        <v>45034</v>
      </c>
      <c r="B26" s="182" t="s">
        <v>195</v>
      </c>
      <c r="C26" s="149">
        <v>36370</v>
      </c>
      <c r="D26" s="181"/>
      <c r="E26" s="149"/>
      <c r="F26" s="183">
        <f t="shared" si="0"/>
        <v>1137850.79</v>
      </c>
    </row>
    <row r="27" spans="1:10" ht="21" customHeight="1" x14ac:dyDescent="0.25">
      <c r="A27" s="181">
        <v>45036</v>
      </c>
      <c r="B27" s="182" t="s">
        <v>196</v>
      </c>
      <c r="C27" s="149">
        <v>113167.03999999999</v>
      </c>
      <c r="D27" s="181"/>
      <c r="E27" s="149"/>
      <c r="F27" s="183">
        <f t="shared" si="0"/>
        <v>1251017.83</v>
      </c>
    </row>
    <row r="28" spans="1:10" ht="21" customHeight="1" x14ac:dyDescent="0.25">
      <c r="A28" s="181">
        <v>45037</v>
      </c>
      <c r="B28" s="182" t="s">
        <v>197</v>
      </c>
      <c r="C28" s="149">
        <v>11191</v>
      </c>
      <c r="D28" s="181"/>
      <c r="E28" s="149"/>
      <c r="F28" s="183">
        <f t="shared" si="0"/>
        <v>1262208.83</v>
      </c>
    </row>
    <row r="29" spans="1:10" ht="21" customHeight="1" x14ac:dyDescent="0.25">
      <c r="A29" s="181">
        <v>45037</v>
      </c>
      <c r="B29" s="182" t="s">
        <v>198</v>
      </c>
      <c r="C29" s="149">
        <v>185805.2</v>
      </c>
      <c r="D29" s="181"/>
      <c r="E29" s="149"/>
      <c r="F29" s="183">
        <f t="shared" si="0"/>
        <v>1448014.03</v>
      </c>
      <c r="J29" s="149">
        <v>0</v>
      </c>
    </row>
    <row r="30" spans="1:10" ht="21" customHeight="1" x14ac:dyDescent="0.25">
      <c r="A30" s="181">
        <v>45038</v>
      </c>
      <c r="B30" s="182" t="s">
        <v>199</v>
      </c>
      <c r="C30" s="149">
        <v>67717.600000000006</v>
      </c>
      <c r="D30" s="181"/>
      <c r="E30" s="149"/>
      <c r="F30" s="183">
        <f t="shared" si="0"/>
        <v>1515731.6300000001</v>
      </c>
      <c r="J30" s="149">
        <v>0</v>
      </c>
    </row>
    <row r="31" spans="1:10" ht="21" customHeight="1" x14ac:dyDescent="0.25">
      <c r="A31" s="181">
        <v>45040</v>
      </c>
      <c r="B31" s="182" t="s">
        <v>200</v>
      </c>
      <c r="C31" s="149">
        <v>108308.48</v>
      </c>
      <c r="D31" s="181"/>
      <c r="E31" s="149"/>
      <c r="F31" s="183">
        <f t="shared" si="0"/>
        <v>1624040.11</v>
      </c>
      <c r="J31" s="149">
        <v>0</v>
      </c>
    </row>
    <row r="32" spans="1:10" ht="21" customHeight="1" x14ac:dyDescent="0.3">
      <c r="A32" s="181">
        <v>45040</v>
      </c>
      <c r="B32" s="182" t="s">
        <v>201</v>
      </c>
      <c r="C32" s="149">
        <v>11858.9</v>
      </c>
      <c r="D32" s="181"/>
      <c r="E32" s="149"/>
      <c r="F32" s="183">
        <f t="shared" si="0"/>
        <v>1635899.01</v>
      </c>
      <c r="G32" s="184"/>
      <c r="J32" s="149">
        <v>0</v>
      </c>
    </row>
    <row r="33" spans="1:10" ht="21" customHeight="1" x14ac:dyDescent="0.25">
      <c r="A33" s="181">
        <v>45042</v>
      </c>
      <c r="B33" s="182" t="s">
        <v>202</v>
      </c>
      <c r="C33" s="149">
        <v>97899.56</v>
      </c>
      <c r="D33" s="181"/>
      <c r="E33" s="149"/>
      <c r="F33" s="183">
        <f t="shared" si="0"/>
        <v>1733798.57</v>
      </c>
      <c r="J33" s="149">
        <v>0</v>
      </c>
    </row>
    <row r="34" spans="1:10" ht="21" customHeight="1" x14ac:dyDescent="0.25">
      <c r="A34" s="181">
        <v>45043</v>
      </c>
      <c r="B34" s="182" t="s">
        <v>203</v>
      </c>
      <c r="C34" s="149">
        <v>105373.56</v>
      </c>
      <c r="D34" s="181"/>
      <c r="E34" s="149"/>
      <c r="F34" s="183">
        <f t="shared" si="0"/>
        <v>1839172.1300000001</v>
      </c>
      <c r="J34" s="149">
        <v>0</v>
      </c>
    </row>
    <row r="35" spans="1:10" ht="23.25" customHeight="1" x14ac:dyDescent="0.25">
      <c r="A35" s="181">
        <v>45044</v>
      </c>
      <c r="B35" s="182" t="s">
        <v>215</v>
      </c>
      <c r="C35" s="149">
        <v>4532.6000000000004</v>
      </c>
      <c r="D35" s="181"/>
      <c r="E35" s="149"/>
      <c r="F35" s="183">
        <f t="shared" si="0"/>
        <v>1843704.7300000002</v>
      </c>
      <c r="J35" s="149">
        <v>0</v>
      </c>
    </row>
    <row r="36" spans="1:10" ht="23.25" customHeight="1" x14ac:dyDescent="0.25">
      <c r="A36" s="181">
        <v>45044</v>
      </c>
      <c r="B36" s="182" t="s">
        <v>216</v>
      </c>
      <c r="C36" s="149">
        <v>73444.52</v>
      </c>
      <c r="D36" s="181"/>
      <c r="E36" s="149"/>
      <c r="F36" s="183">
        <f t="shared" si="0"/>
        <v>1917149.2500000002</v>
      </c>
      <c r="J36" s="133">
        <v>0</v>
      </c>
    </row>
    <row r="37" spans="1:10" ht="23.25" customHeight="1" x14ac:dyDescent="0.25">
      <c r="A37" s="181">
        <v>45044</v>
      </c>
      <c r="B37" s="182" t="s">
        <v>217</v>
      </c>
      <c r="C37" s="149">
        <v>71980.740000000005</v>
      </c>
      <c r="D37" s="181"/>
      <c r="E37" s="149"/>
      <c r="F37" s="183">
        <f t="shared" si="0"/>
        <v>1989129.9900000002</v>
      </c>
      <c r="J37" s="187">
        <f>SUM(J29:J36)</f>
        <v>0</v>
      </c>
    </row>
    <row r="38" spans="1:10" ht="23.25" customHeight="1" x14ac:dyDescent="0.25">
      <c r="A38" s="181">
        <v>45045</v>
      </c>
      <c r="B38" s="182" t="s">
        <v>218</v>
      </c>
      <c r="C38" s="149">
        <v>44290.2</v>
      </c>
      <c r="D38" s="181"/>
      <c r="E38" s="149"/>
      <c r="F38" s="183">
        <f t="shared" si="0"/>
        <v>2033420.1900000002</v>
      </c>
    </row>
    <row r="39" spans="1:10" ht="23.25" customHeight="1" x14ac:dyDescent="0.25">
      <c r="A39" s="181">
        <v>45045</v>
      </c>
      <c r="B39" s="182" t="s">
        <v>219</v>
      </c>
      <c r="C39" s="149">
        <v>126876.82</v>
      </c>
      <c r="D39" s="181"/>
      <c r="E39" s="149"/>
      <c r="F39" s="183">
        <f t="shared" si="0"/>
        <v>2160297.0100000002</v>
      </c>
    </row>
    <row r="40" spans="1:10" ht="23.25" customHeight="1" x14ac:dyDescent="0.25">
      <c r="A40" s="181">
        <v>45045</v>
      </c>
      <c r="B40" s="182" t="s">
        <v>220</v>
      </c>
      <c r="C40" s="149">
        <v>3454.2</v>
      </c>
      <c r="D40" s="181"/>
      <c r="E40" s="100"/>
      <c r="F40" s="183">
        <f t="shared" si="0"/>
        <v>2163751.2100000004</v>
      </c>
    </row>
    <row r="41" spans="1:10" ht="23.25" customHeight="1" x14ac:dyDescent="0.25">
      <c r="A41" s="181">
        <v>45047</v>
      </c>
      <c r="B41" s="182" t="s">
        <v>221</v>
      </c>
      <c r="C41" s="149">
        <v>21412.3</v>
      </c>
      <c r="D41" s="181"/>
      <c r="E41" s="100"/>
      <c r="F41" s="183">
        <f t="shared" si="0"/>
        <v>2185163.5100000002</v>
      </c>
    </row>
    <row r="42" spans="1:10" ht="23.25" customHeight="1" x14ac:dyDescent="0.25">
      <c r="A42" s="185">
        <v>45048</v>
      </c>
      <c r="B42" s="186" t="s">
        <v>222</v>
      </c>
      <c r="C42" s="149">
        <v>6509.5</v>
      </c>
      <c r="D42" s="185"/>
      <c r="E42" s="100"/>
      <c r="F42" s="183">
        <f t="shared" si="0"/>
        <v>2191673.0100000002</v>
      </c>
    </row>
    <row r="43" spans="1:10" ht="23.25" customHeight="1" x14ac:dyDescent="0.25">
      <c r="A43" s="245">
        <v>45048</v>
      </c>
      <c r="B43" s="247" t="s">
        <v>223</v>
      </c>
      <c r="C43" s="149">
        <v>9543.92</v>
      </c>
      <c r="D43" s="192"/>
      <c r="E43" s="100"/>
      <c r="F43" s="183">
        <f t="shared" si="0"/>
        <v>2201216.9300000002</v>
      </c>
    </row>
    <row r="44" spans="1:10" ht="23.25" customHeight="1" x14ac:dyDescent="0.25">
      <c r="A44" s="246">
        <v>45049</v>
      </c>
      <c r="B44" s="248" t="s">
        <v>224</v>
      </c>
      <c r="C44" s="149">
        <v>91322.1</v>
      </c>
      <c r="D44" s="192"/>
      <c r="E44" s="100"/>
      <c r="F44" s="183">
        <f t="shared" si="0"/>
        <v>2292539.0300000003</v>
      </c>
    </row>
    <row r="45" spans="1:10" ht="23.25" customHeight="1" x14ac:dyDescent="0.25">
      <c r="A45" s="246">
        <v>45049</v>
      </c>
      <c r="B45" s="248" t="s">
        <v>225</v>
      </c>
      <c r="C45" s="149">
        <v>35946.300000000003</v>
      </c>
      <c r="D45" s="192"/>
      <c r="E45" s="100"/>
      <c r="F45" s="183">
        <f t="shared" si="0"/>
        <v>2328485.33</v>
      </c>
    </row>
    <row r="46" spans="1:10" ht="23.25" customHeight="1" x14ac:dyDescent="0.25">
      <c r="A46" s="246">
        <v>45050</v>
      </c>
      <c r="B46" s="248" t="s">
        <v>226</v>
      </c>
      <c r="C46" s="149">
        <v>135453.20000000001</v>
      </c>
      <c r="D46" s="192"/>
      <c r="E46" s="100"/>
      <c r="F46" s="183">
        <f t="shared" si="0"/>
        <v>2463938.5300000003</v>
      </c>
    </row>
    <row r="47" spans="1:10" ht="23.25" customHeight="1" x14ac:dyDescent="0.25">
      <c r="A47" s="246"/>
      <c r="B47" s="248"/>
      <c r="C47" s="149"/>
      <c r="D47" s="192"/>
      <c r="E47" s="100"/>
      <c r="F47" s="183">
        <f t="shared" si="0"/>
        <v>2463938.5300000003</v>
      </c>
    </row>
    <row r="48" spans="1:10" ht="23.25" customHeight="1" x14ac:dyDescent="0.25">
      <c r="A48" s="246"/>
      <c r="B48" s="248"/>
      <c r="C48" s="149"/>
      <c r="D48" s="192"/>
      <c r="E48" s="100"/>
      <c r="F48" s="183">
        <f t="shared" si="0"/>
        <v>2463938.5300000003</v>
      </c>
    </row>
    <row r="49" spans="1:6" ht="23.25" customHeight="1" x14ac:dyDescent="0.25">
      <c r="A49" s="246"/>
      <c r="B49" s="248"/>
      <c r="C49" s="149"/>
      <c r="D49" s="192"/>
      <c r="E49" s="100"/>
      <c r="F49" s="183">
        <f t="shared" si="0"/>
        <v>2463938.5300000003</v>
      </c>
    </row>
    <row r="50" spans="1:6" ht="23.25" customHeight="1" x14ac:dyDescent="0.25">
      <c r="A50" s="246"/>
      <c r="B50" s="248"/>
      <c r="C50" s="149"/>
      <c r="D50" s="192"/>
      <c r="E50" s="100"/>
      <c r="F50" s="183">
        <f t="shared" si="0"/>
        <v>2463938.5300000003</v>
      </c>
    </row>
    <row r="51" spans="1:6" ht="23.25" customHeight="1" x14ac:dyDescent="0.25">
      <c r="A51" s="246"/>
      <c r="B51" s="248"/>
      <c r="C51" s="149"/>
      <c r="D51" s="192"/>
      <c r="E51" s="100"/>
      <c r="F51" s="183">
        <f t="shared" si="0"/>
        <v>2463938.5300000003</v>
      </c>
    </row>
    <row r="52" spans="1:6" ht="23.25" customHeight="1" x14ac:dyDescent="0.25">
      <c r="A52" s="246"/>
      <c r="B52" s="248"/>
      <c r="C52" s="149"/>
      <c r="D52" s="192"/>
      <c r="E52" s="100"/>
      <c r="F52" s="183">
        <f t="shared" si="0"/>
        <v>2463938.5300000003</v>
      </c>
    </row>
    <row r="53" spans="1:6" ht="23.25" customHeight="1" x14ac:dyDescent="0.25">
      <c r="A53" s="246"/>
      <c r="B53" s="248"/>
      <c r="C53" s="149"/>
      <c r="D53" s="192"/>
      <c r="E53" s="100"/>
      <c r="F53" s="183">
        <f t="shared" si="0"/>
        <v>2463938.5300000003</v>
      </c>
    </row>
    <row r="54" spans="1:6" ht="23.25" customHeight="1" x14ac:dyDescent="0.25">
      <c r="A54" s="246"/>
      <c r="B54" s="248"/>
      <c r="C54" s="149"/>
      <c r="D54" s="192"/>
      <c r="E54" s="100"/>
      <c r="F54" s="183">
        <f t="shared" si="0"/>
        <v>2463938.5300000003</v>
      </c>
    </row>
    <row r="55" spans="1:6" ht="23.25" customHeight="1" x14ac:dyDescent="0.25">
      <c r="A55" s="246"/>
      <c r="B55" s="248"/>
      <c r="C55" s="149"/>
      <c r="D55" s="192"/>
      <c r="E55" s="100"/>
      <c r="F55" s="183">
        <f t="shared" si="0"/>
        <v>2463938.5300000003</v>
      </c>
    </row>
    <row r="56" spans="1:6" ht="23.25" customHeight="1" x14ac:dyDescent="0.25">
      <c r="A56" s="246"/>
      <c r="B56" s="248"/>
      <c r="C56" s="149"/>
      <c r="D56" s="192"/>
      <c r="E56" s="100"/>
      <c r="F56" s="183">
        <f t="shared" si="0"/>
        <v>2463938.5300000003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2463938.5300000003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2463938.5300000003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2463938.5300000003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2463938.5300000003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2463938.5300000003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2463938.5300000003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2463938.5300000003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2463938.5300000003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2463938.5300000003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2463938.5300000003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2463938.5300000003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2463938.5300000003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2463938.5300000003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2463938.5300000003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2463938.5300000003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2463938.5300000003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2463938.5300000003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2463938.5300000003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2463938.5300000003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2463938.5300000003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2463938.5300000003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2463938.5300000003</v>
      </c>
    </row>
    <row r="79" spans="1:6" ht="19.5" thickBot="1" x14ac:dyDescent="0.35">
      <c r="A79" s="201"/>
      <c r="B79" s="202"/>
      <c r="C79" s="203">
        <f>SUM(C3:C78)</f>
        <v>2463938.5300000003</v>
      </c>
      <c r="D79" s="175"/>
      <c r="E79" s="204">
        <f>SUM(E3:E78)</f>
        <v>0</v>
      </c>
      <c r="F79" s="205">
        <f>F78</f>
        <v>2463938.5300000003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00"/>
  </sheetPr>
  <dimension ref="A1:U79"/>
  <sheetViews>
    <sheetView topLeftCell="D28" workbookViewId="0">
      <selection activeCell="H46" sqref="H46"/>
    </sheetView>
  </sheetViews>
  <sheetFormatPr baseColWidth="10" defaultRowHeight="15.7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254" customWidth="1"/>
    <col min="11" max="11" width="14.42578125" style="252" customWidth="1"/>
    <col min="12" max="12" width="14.5703125" style="293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364"/>
      <c r="C1" s="366" t="s">
        <v>231</v>
      </c>
      <c r="D1" s="367"/>
      <c r="E1" s="367"/>
      <c r="F1" s="367"/>
      <c r="G1" s="367"/>
      <c r="H1" s="367"/>
      <c r="I1" s="367"/>
      <c r="J1" s="367"/>
      <c r="K1" s="367"/>
      <c r="L1" s="367"/>
      <c r="M1" s="367"/>
    </row>
    <row r="2" spans="1:21" ht="16.5" thickBot="1" x14ac:dyDescent="0.3">
      <c r="B2" s="365"/>
      <c r="C2" s="4"/>
      <c r="H2" s="6"/>
      <c r="I2" s="7"/>
      <c r="J2" s="303" t="s">
        <v>214</v>
      </c>
      <c r="K2" s="304"/>
      <c r="L2" s="253"/>
      <c r="M2" s="7"/>
      <c r="N2" s="9"/>
    </row>
    <row r="3" spans="1:21" ht="21.75" thickBot="1" x14ac:dyDescent="0.35">
      <c r="B3" s="368" t="s">
        <v>0</v>
      </c>
      <c r="C3" s="369"/>
      <c r="D3" s="10"/>
      <c r="E3" s="11"/>
      <c r="F3" s="11"/>
      <c r="H3" s="370" t="s">
        <v>1</v>
      </c>
      <c r="I3" s="370"/>
      <c r="K3" s="13"/>
      <c r="L3" s="13"/>
      <c r="M3" s="6"/>
      <c r="R3" s="400" t="s">
        <v>2</v>
      </c>
    </row>
    <row r="4" spans="1:21" ht="20.25" thickTop="1" thickBot="1" x14ac:dyDescent="0.35">
      <c r="A4" s="14" t="s">
        <v>3</v>
      </c>
      <c r="B4" s="15"/>
      <c r="C4" s="16">
        <v>394548.7</v>
      </c>
      <c r="D4" s="307">
        <v>45050</v>
      </c>
      <c r="E4" s="349" t="s">
        <v>4</v>
      </c>
      <c r="F4" s="350"/>
      <c r="H4" s="351" t="s">
        <v>5</v>
      </c>
      <c r="I4" s="352"/>
      <c r="J4" s="255"/>
      <c r="K4" s="256"/>
      <c r="L4" s="16"/>
      <c r="M4" s="21" t="s">
        <v>6</v>
      </c>
      <c r="N4" s="22" t="s">
        <v>7</v>
      </c>
      <c r="P4" s="386" t="s">
        <v>8</v>
      </c>
      <c r="Q4" s="387"/>
      <c r="R4" s="401"/>
    </row>
    <row r="5" spans="1:21" ht="18" thickBot="1" x14ac:dyDescent="0.35">
      <c r="A5" s="23" t="s">
        <v>9</v>
      </c>
      <c r="B5" s="24">
        <v>45051</v>
      </c>
      <c r="C5" s="25">
        <v>480</v>
      </c>
      <c r="D5" s="26" t="s">
        <v>100</v>
      </c>
      <c r="E5" s="27">
        <v>45051</v>
      </c>
      <c r="F5" s="28">
        <v>193610</v>
      </c>
      <c r="G5" s="29"/>
      <c r="H5" s="30">
        <v>45051</v>
      </c>
      <c r="I5" s="31">
        <v>39</v>
      </c>
      <c r="J5" s="251"/>
      <c r="K5" s="257"/>
      <c r="L5" s="13"/>
      <c r="M5" s="33">
        <f>117500+83242</f>
        <v>200742</v>
      </c>
      <c r="N5" s="34">
        <v>5814</v>
      </c>
      <c r="O5" s="35"/>
      <c r="P5" s="235">
        <f>N5+M5+L5+I5+C5</f>
        <v>207075</v>
      </c>
      <c r="Q5" s="236">
        <v>0</v>
      </c>
      <c r="R5" s="237">
        <v>13465</v>
      </c>
      <c r="S5" s="37" t="s">
        <v>274</v>
      </c>
    </row>
    <row r="6" spans="1:21" ht="18" thickBot="1" x14ac:dyDescent="0.35">
      <c r="A6" s="23"/>
      <c r="B6" s="24">
        <v>45052</v>
      </c>
      <c r="C6" s="25">
        <v>0</v>
      </c>
      <c r="D6" s="38"/>
      <c r="E6" s="27">
        <v>45052</v>
      </c>
      <c r="F6" s="28">
        <v>93499</v>
      </c>
      <c r="G6" s="29"/>
      <c r="H6" s="30">
        <v>45052</v>
      </c>
      <c r="I6" s="31">
        <v>375</v>
      </c>
      <c r="J6" s="258">
        <v>45052</v>
      </c>
      <c r="K6" s="71" t="s">
        <v>266</v>
      </c>
      <c r="L6" s="259">
        <v>10902</v>
      </c>
      <c r="M6" s="33">
        <v>80492</v>
      </c>
      <c r="N6" s="34">
        <v>1741</v>
      </c>
      <c r="O6" s="35"/>
      <c r="P6" s="235">
        <f>N6+M6+L6+I6+C6</f>
        <v>93510</v>
      </c>
      <c r="Q6" s="243">
        <f t="shared" ref="Q6:Q41" si="0">P6-F6</f>
        <v>11</v>
      </c>
      <c r="R6" s="238">
        <v>0</v>
      </c>
      <c r="S6" s="37" t="s">
        <v>274</v>
      </c>
      <c r="T6" s="9"/>
    </row>
    <row r="7" spans="1:21" ht="18" thickBot="1" x14ac:dyDescent="0.35">
      <c r="A7" s="23"/>
      <c r="B7" s="24">
        <v>45053</v>
      </c>
      <c r="C7" s="25">
        <v>14714</v>
      </c>
      <c r="D7" s="42" t="s">
        <v>267</v>
      </c>
      <c r="E7" s="27">
        <v>45053</v>
      </c>
      <c r="F7" s="28">
        <v>62394</v>
      </c>
      <c r="G7" s="29"/>
      <c r="H7" s="30">
        <v>45053</v>
      </c>
      <c r="I7" s="31">
        <v>5</v>
      </c>
      <c r="J7" s="258"/>
      <c r="K7" s="102"/>
      <c r="L7" s="259"/>
      <c r="M7" s="33">
        <f>30250+29046</f>
        <v>59296</v>
      </c>
      <c r="N7" s="34">
        <v>339</v>
      </c>
      <c r="O7" s="35"/>
      <c r="P7" s="235">
        <f>N7+M7+L7+I7+C7</f>
        <v>74354</v>
      </c>
      <c r="Q7" s="243">
        <v>10</v>
      </c>
      <c r="R7" s="237">
        <v>11950</v>
      </c>
      <c r="S7" s="37" t="s">
        <v>274</v>
      </c>
    </row>
    <row r="8" spans="1:21" ht="18" thickBot="1" x14ac:dyDescent="0.35">
      <c r="A8" s="23"/>
      <c r="B8" s="24">
        <v>45054</v>
      </c>
      <c r="C8" s="25">
        <v>0</v>
      </c>
      <c r="D8" s="42"/>
      <c r="E8" s="27">
        <v>45054</v>
      </c>
      <c r="F8" s="28">
        <v>196857</v>
      </c>
      <c r="G8" s="29"/>
      <c r="H8" s="30">
        <v>45054</v>
      </c>
      <c r="I8" s="31">
        <v>153</v>
      </c>
      <c r="J8" s="258"/>
      <c r="K8" s="260"/>
      <c r="L8" s="259"/>
      <c r="M8" s="33">
        <f>52700+146098</f>
        <v>198798</v>
      </c>
      <c r="N8" s="34">
        <v>773</v>
      </c>
      <c r="O8" s="35"/>
      <c r="P8" s="235">
        <f t="shared" ref="P8:P45" si="1">N8+M8+L8+I8+C8</f>
        <v>199724</v>
      </c>
      <c r="Q8" s="243">
        <v>23</v>
      </c>
      <c r="R8" s="237">
        <v>2844</v>
      </c>
      <c r="S8" s="37" t="s">
        <v>274</v>
      </c>
    </row>
    <row r="9" spans="1:21" ht="18" thickBot="1" x14ac:dyDescent="0.35">
      <c r="A9" s="23"/>
      <c r="B9" s="24">
        <v>45055</v>
      </c>
      <c r="C9" s="25">
        <v>3480</v>
      </c>
      <c r="D9" s="46" t="s">
        <v>100</v>
      </c>
      <c r="E9" s="27">
        <v>45055</v>
      </c>
      <c r="F9" s="28">
        <v>44290</v>
      </c>
      <c r="G9" s="29"/>
      <c r="H9" s="30">
        <v>45055</v>
      </c>
      <c r="I9" s="31">
        <v>168</v>
      </c>
      <c r="J9" s="258"/>
      <c r="K9" s="261"/>
      <c r="L9" s="259"/>
      <c r="M9" s="33">
        <v>39891</v>
      </c>
      <c r="N9" s="34">
        <v>774</v>
      </c>
      <c r="O9" s="35"/>
      <c r="P9" s="235">
        <f t="shared" si="1"/>
        <v>44313</v>
      </c>
      <c r="Q9" s="243">
        <f t="shared" si="0"/>
        <v>23</v>
      </c>
      <c r="R9" s="238">
        <v>0</v>
      </c>
      <c r="S9" s="37" t="s">
        <v>274</v>
      </c>
    </row>
    <row r="10" spans="1:21" ht="18" thickBot="1" x14ac:dyDescent="0.35">
      <c r="A10" s="23"/>
      <c r="B10" s="24">
        <v>45056</v>
      </c>
      <c r="C10" s="25">
        <v>0</v>
      </c>
      <c r="D10" s="38"/>
      <c r="E10" s="27">
        <v>45056</v>
      </c>
      <c r="F10" s="28">
        <v>125195</v>
      </c>
      <c r="G10" s="29"/>
      <c r="H10" s="30">
        <v>45056</v>
      </c>
      <c r="I10" s="31">
        <v>50</v>
      </c>
      <c r="J10" s="258"/>
      <c r="K10" s="262"/>
      <c r="L10" s="263"/>
      <c r="M10" s="33">
        <f>25300+97775</f>
        <v>123075</v>
      </c>
      <c r="N10" s="34">
        <v>2134</v>
      </c>
      <c r="O10" s="35"/>
      <c r="P10" s="235">
        <f>N10+M10+L10+I10+C10</f>
        <v>125259</v>
      </c>
      <c r="Q10" s="243">
        <f t="shared" si="0"/>
        <v>64</v>
      </c>
      <c r="R10" s="238">
        <v>0</v>
      </c>
      <c r="S10" s="37" t="s">
        <v>274</v>
      </c>
      <c r="U10" t="s">
        <v>9</v>
      </c>
    </row>
    <row r="11" spans="1:21" ht="18" thickBot="1" x14ac:dyDescent="0.35">
      <c r="A11" s="23"/>
      <c r="B11" s="24">
        <v>45057</v>
      </c>
      <c r="C11" s="25">
        <v>0</v>
      </c>
      <c r="D11" s="38"/>
      <c r="E11" s="27">
        <v>45057</v>
      </c>
      <c r="F11" s="28">
        <v>102966</v>
      </c>
      <c r="G11" s="29"/>
      <c r="H11" s="30">
        <v>45057</v>
      </c>
      <c r="I11" s="31">
        <v>37</v>
      </c>
      <c r="J11" s="258"/>
      <c r="K11" s="261"/>
      <c r="L11" s="259"/>
      <c r="M11" s="33">
        <f>59900+43029</f>
        <v>102929</v>
      </c>
      <c r="N11" s="34">
        <v>0</v>
      </c>
      <c r="O11" s="35"/>
      <c r="P11" s="235">
        <f>N11+M11+L11+I11+C11</f>
        <v>102966</v>
      </c>
      <c r="Q11" s="236">
        <f t="shared" si="0"/>
        <v>0</v>
      </c>
      <c r="R11" s="238">
        <v>0</v>
      </c>
      <c r="S11" s="37" t="s">
        <v>274</v>
      </c>
    </row>
    <row r="12" spans="1:21" ht="18" thickBot="1" x14ac:dyDescent="0.35">
      <c r="A12" s="23"/>
      <c r="B12" s="24">
        <v>45058</v>
      </c>
      <c r="C12" s="25">
        <v>13187</v>
      </c>
      <c r="D12" s="38" t="s">
        <v>267</v>
      </c>
      <c r="E12" s="27">
        <v>45058</v>
      </c>
      <c r="F12" s="28">
        <v>121939</v>
      </c>
      <c r="G12" s="29"/>
      <c r="H12" s="30">
        <v>45058</v>
      </c>
      <c r="I12" s="31">
        <v>81</v>
      </c>
      <c r="J12" s="258"/>
      <c r="K12" s="264"/>
      <c r="L12" s="259"/>
      <c r="M12" s="33">
        <f>22200+85632</f>
        <v>107832</v>
      </c>
      <c r="N12" s="34">
        <v>865</v>
      </c>
      <c r="O12" s="35"/>
      <c r="P12" s="235">
        <f t="shared" si="1"/>
        <v>121965</v>
      </c>
      <c r="Q12" s="243">
        <f t="shared" si="0"/>
        <v>26</v>
      </c>
      <c r="R12" s="238">
        <v>0</v>
      </c>
      <c r="S12" s="37" t="s">
        <v>274</v>
      </c>
    </row>
    <row r="13" spans="1:21" ht="18" thickBot="1" x14ac:dyDescent="0.35">
      <c r="A13" s="23"/>
      <c r="B13" s="24">
        <v>45059</v>
      </c>
      <c r="C13" s="25">
        <v>0</v>
      </c>
      <c r="D13" s="42"/>
      <c r="E13" s="27">
        <v>45059</v>
      </c>
      <c r="F13" s="28">
        <v>96083</v>
      </c>
      <c r="G13" s="29"/>
      <c r="H13" s="30">
        <v>45059</v>
      </c>
      <c r="I13" s="31">
        <v>106</v>
      </c>
      <c r="J13" s="258">
        <v>45059</v>
      </c>
      <c r="K13" s="71" t="s">
        <v>268</v>
      </c>
      <c r="L13" s="259">
        <v>9388</v>
      </c>
      <c r="M13" s="33">
        <f>46100+38937</f>
        <v>85037</v>
      </c>
      <c r="N13" s="34">
        <v>1600</v>
      </c>
      <c r="O13" s="35"/>
      <c r="P13" s="235">
        <f t="shared" si="1"/>
        <v>96131</v>
      </c>
      <c r="Q13" s="243">
        <f t="shared" si="0"/>
        <v>48</v>
      </c>
      <c r="R13" s="238">
        <v>0</v>
      </c>
      <c r="S13" s="37" t="s">
        <v>274</v>
      </c>
    </row>
    <row r="14" spans="1:21" ht="18" thickBot="1" x14ac:dyDescent="0.35">
      <c r="A14" s="23"/>
      <c r="B14" s="24">
        <v>45060</v>
      </c>
      <c r="C14" s="25">
        <v>4350</v>
      </c>
      <c r="D14" s="46" t="s">
        <v>269</v>
      </c>
      <c r="E14" s="27">
        <v>45060</v>
      </c>
      <c r="F14" s="28">
        <v>97009</v>
      </c>
      <c r="G14" s="29"/>
      <c r="H14" s="30">
        <v>45060</v>
      </c>
      <c r="I14" s="31">
        <v>0</v>
      </c>
      <c r="J14" s="258"/>
      <c r="K14" s="260"/>
      <c r="L14" s="259"/>
      <c r="M14" s="33">
        <f>44850+47350</f>
        <v>92200</v>
      </c>
      <c r="N14" s="34">
        <v>474</v>
      </c>
      <c r="O14" s="35"/>
      <c r="P14" s="235">
        <f t="shared" si="1"/>
        <v>97024</v>
      </c>
      <c r="Q14" s="243">
        <f t="shared" si="0"/>
        <v>15</v>
      </c>
      <c r="R14" s="238">
        <v>0</v>
      </c>
      <c r="S14" s="37" t="s">
        <v>274</v>
      </c>
    </row>
    <row r="15" spans="1:21" ht="18" thickBot="1" x14ac:dyDescent="0.35">
      <c r="A15" s="23"/>
      <c r="B15" s="24">
        <v>45061</v>
      </c>
      <c r="C15" s="25">
        <v>1673</v>
      </c>
      <c r="D15" s="46" t="s">
        <v>74</v>
      </c>
      <c r="E15" s="27">
        <v>45061</v>
      </c>
      <c r="F15" s="28">
        <v>185145</v>
      </c>
      <c r="G15" s="29"/>
      <c r="H15" s="30">
        <v>45061</v>
      </c>
      <c r="I15" s="31">
        <v>72</v>
      </c>
      <c r="J15" s="258"/>
      <c r="K15" s="260"/>
      <c r="L15" s="259"/>
      <c r="M15" s="33">
        <f>69000+114109</f>
        <v>183109</v>
      </c>
      <c r="N15" s="34">
        <v>291</v>
      </c>
      <c r="O15" s="314" t="s">
        <v>270</v>
      </c>
      <c r="P15" s="235">
        <f t="shared" si="1"/>
        <v>185145</v>
      </c>
      <c r="Q15" s="236">
        <f t="shared" si="0"/>
        <v>0</v>
      </c>
      <c r="R15" s="238">
        <v>0</v>
      </c>
      <c r="S15" s="37" t="s">
        <v>273</v>
      </c>
    </row>
    <row r="16" spans="1:21" ht="18" thickBot="1" x14ac:dyDescent="0.35">
      <c r="A16" s="23"/>
      <c r="B16" s="24">
        <v>45062</v>
      </c>
      <c r="C16" s="25">
        <v>0</v>
      </c>
      <c r="D16" s="52"/>
      <c r="E16" s="27">
        <v>45062</v>
      </c>
      <c r="F16" s="28">
        <v>94866</v>
      </c>
      <c r="G16" s="29"/>
      <c r="H16" s="30">
        <v>45062</v>
      </c>
      <c r="I16" s="31">
        <v>600</v>
      </c>
      <c r="J16" s="258"/>
      <c r="K16" s="260"/>
      <c r="L16" s="13"/>
      <c r="M16" s="33">
        <f>42050+50702</f>
        <v>92752</v>
      </c>
      <c r="N16" s="34">
        <v>1560</v>
      </c>
      <c r="O16" s="35"/>
      <c r="P16" s="235">
        <f t="shared" si="1"/>
        <v>94912</v>
      </c>
      <c r="Q16" s="243">
        <f t="shared" si="0"/>
        <v>46</v>
      </c>
      <c r="R16" s="238">
        <v>0</v>
      </c>
      <c r="S16" s="37" t="s">
        <v>274</v>
      </c>
    </row>
    <row r="17" spans="1:20" ht="18" thickBot="1" x14ac:dyDescent="0.35">
      <c r="A17" s="23"/>
      <c r="B17" s="24">
        <v>45063</v>
      </c>
      <c r="C17" s="25">
        <v>0</v>
      </c>
      <c r="D17" s="46"/>
      <c r="E17" s="27">
        <v>45063</v>
      </c>
      <c r="F17" s="28">
        <v>50639</v>
      </c>
      <c r="G17" s="29"/>
      <c r="H17" s="30">
        <v>45063</v>
      </c>
      <c r="I17" s="31">
        <v>490</v>
      </c>
      <c r="J17" s="258"/>
      <c r="K17" s="260"/>
      <c r="L17" s="263"/>
      <c r="M17" s="33">
        <v>49762</v>
      </c>
      <c r="N17" s="34">
        <v>399</v>
      </c>
      <c r="O17" s="35"/>
      <c r="P17" s="235">
        <f t="shared" si="1"/>
        <v>50651</v>
      </c>
      <c r="Q17" s="243">
        <f t="shared" si="0"/>
        <v>12</v>
      </c>
      <c r="R17" s="238">
        <v>0</v>
      </c>
      <c r="S17" s="37" t="s">
        <v>274</v>
      </c>
    </row>
    <row r="18" spans="1:20" ht="18" thickBot="1" x14ac:dyDescent="0.35">
      <c r="A18" s="23"/>
      <c r="B18" s="24">
        <v>45064</v>
      </c>
      <c r="C18" s="25">
        <v>0</v>
      </c>
      <c r="D18" s="38"/>
      <c r="E18" s="27">
        <v>45064</v>
      </c>
      <c r="F18" s="28">
        <v>126228</v>
      </c>
      <c r="G18" s="29"/>
      <c r="H18" s="30">
        <v>45064</v>
      </c>
      <c r="I18" s="31">
        <v>111</v>
      </c>
      <c r="J18" s="258"/>
      <c r="K18" s="265"/>
      <c r="L18" s="259"/>
      <c r="M18" s="33">
        <f>30600+94047</f>
        <v>124647</v>
      </c>
      <c r="N18" s="34">
        <v>1515</v>
      </c>
      <c r="O18" s="35"/>
      <c r="P18" s="235">
        <f t="shared" si="1"/>
        <v>126273</v>
      </c>
      <c r="Q18" s="243">
        <f t="shared" si="0"/>
        <v>45</v>
      </c>
      <c r="R18" s="238">
        <v>0</v>
      </c>
      <c r="S18" s="37" t="s">
        <v>274</v>
      </c>
    </row>
    <row r="19" spans="1:20" ht="18" thickBot="1" x14ac:dyDescent="0.35">
      <c r="A19" s="23"/>
      <c r="B19" s="24">
        <v>45065</v>
      </c>
      <c r="C19" s="25">
        <v>3470</v>
      </c>
      <c r="D19" s="38" t="s">
        <v>267</v>
      </c>
      <c r="E19" s="27">
        <v>45065</v>
      </c>
      <c r="F19" s="28">
        <v>104774</v>
      </c>
      <c r="G19" s="29"/>
      <c r="H19" s="30">
        <v>45065</v>
      </c>
      <c r="I19" s="31">
        <v>84</v>
      </c>
      <c r="J19" s="258"/>
      <c r="K19" s="266"/>
      <c r="L19" s="267"/>
      <c r="M19" s="33">
        <f>19700+80997</f>
        <v>100697</v>
      </c>
      <c r="N19" s="34">
        <v>540</v>
      </c>
      <c r="O19" s="35"/>
      <c r="P19" s="235">
        <f t="shared" si="1"/>
        <v>104791</v>
      </c>
      <c r="Q19" s="243">
        <f t="shared" si="0"/>
        <v>17</v>
      </c>
      <c r="R19" s="238">
        <v>0</v>
      </c>
      <c r="S19" s="37" t="s">
        <v>274</v>
      </c>
    </row>
    <row r="20" spans="1:20" ht="18" thickBot="1" x14ac:dyDescent="0.35">
      <c r="A20" s="23"/>
      <c r="B20" s="24">
        <v>45066</v>
      </c>
      <c r="C20" s="25">
        <v>3000</v>
      </c>
      <c r="D20" s="38" t="s">
        <v>271</v>
      </c>
      <c r="E20" s="27">
        <v>45066</v>
      </c>
      <c r="F20" s="28">
        <v>107537</v>
      </c>
      <c r="G20" s="29"/>
      <c r="H20" s="30">
        <v>45066</v>
      </c>
      <c r="I20" s="31">
        <v>110</v>
      </c>
      <c r="J20" s="258">
        <v>45066</v>
      </c>
      <c r="K20" s="262" t="s">
        <v>272</v>
      </c>
      <c r="L20" s="263">
        <v>8985</v>
      </c>
      <c r="M20" s="33">
        <f>35300+58782</f>
        <v>94082</v>
      </c>
      <c r="N20" s="34">
        <v>1402</v>
      </c>
      <c r="O20" s="35"/>
      <c r="P20" s="235">
        <f t="shared" si="1"/>
        <v>107579</v>
      </c>
      <c r="Q20" s="243">
        <f t="shared" si="0"/>
        <v>42</v>
      </c>
      <c r="R20" s="238">
        <v>0</v>
      </c>
      <c r="S20" s="37" t="s">
        <v>274</v>
      </c>
    </row>
    <row r="21" spans="1:20" ht="18" thickBot="1" x14ac:dyDescent="0.35">
      <c r="A21" s="23"/>
      <c r="B21" s="24">
        <v>45067</v>
      </c>
      <c r="C21" s="25">
        <v>0</v>
      </c>
      <c r="D21" s="38"/>
      <c r="E21" s="27">
        <v>45067</v>
      </c>
      <c r="F21" s="28">
        <v>61555</v>
      </c>
      <c r="G21" s="29"/>
      <c r="H21" s="30">
        <v>45067</v>
      </c>
      <c r="I21" s="31">
        <v>9</v>
      </c>
      <c r="J21" s="258"/>
      <c r="K21" s="268"/>
      <c r="L21" s="263"/>
      <c r="M21" s="33">
        <f>34800+26082</f>
        <v>60882</v>
      </c>
      <c r="N21" s="34">
        <v>685</v>
      </c>
      <c r="O21" s="35"/>
      <c r="P21" s="235">
        <f t="shared" si="1"/>
        <v>61576</v>
      </c>
      <c r="Q21" s="243">
        <f t="shared" si="0"/>
        <v>21</v>
      </c>
      <c r="R21" s="238">
        <v>0</v>
      </c>
      <c r="S21" s="37" t="s">
        <v>274</v>
      </c>
    </row>
    <row r="22" spans="1:20" ht="18" thickBot="1" x14ac:dyDescent="0.35">
      <c r="A22" s="23"/>
      <c r="B22" s="24">
        <v>45068</v>
      </c>
      <c r="C22" s="25">
        <v>1860</v>
      </c>
      <c r="D22" s="38" t="s">
        <v>100</v>
      </c>
      <c r="E22" s="27">
        <v>45068</v>
      </c>
      <c r="F22" s="28">
        <v>134761</v>
      </c>
      <c r="G22" s="29"/>
      <c r="H22" s="30">
        <v>45068</v>
      </c>
      <c r="I22" s="31">
        <v>83</v>
      </c>
      <c r="J22" s="258"/>
      <c r="K22" s="302"/>
      <c r="L22" s="269"/>
      <c r="M22" s="33">
        <f>84000+48602</f>
        <v>132602</v>
      </c>
      <c r="N22" s="34">
        <v>216</v>
      </c>
      <c r="O22" s="315" t="s">
        <v>270</v>
      </c>
      <c r="P22" s="235">
        <f t="shared" si="1"/>
        <v>134761</v>
      </c>
      <c r="Q22" s="236">
        <f t="shared" si="0"/>
        <v>0</v>
      </c>
      <c r="R22" s="238">
        <v>0</v>
      </c>
      <c r="S22" s="37" t="s">
        <v>273</v>
      </c>
    </row>
    <row r="23" spans="1:20" ht="18" thickBot="1" x14ac:dyDescent="0.35">
      <c r="A23" s="23"/>
      <c r="B23" s="24">
        <v>45069</v>
      </c>
      <c r="C23" s="25">
        <v>0</v>
      </c>
      <c r="D23" s="46"/>
      <c r="E23" s="27">
        <v>45069</v>
      </c>
      <c r="F23" s="28">
        <v>56050</v>
      </c>
      <c r="G23" s="29"/>
      <c r="H23" s="30">
        <v>45069</v>
      </c>
      <c r="I23" s="31">
        <v>0</v>
      </c>
      <c r="J23" s="270"/>
      <c r="K23" s="271"/>
      <c r="L23" s="263"/>
      <c r="M23" s="33">
        <f>13500+41469</f>
        <v>54969</v>
      </c>
      <c r="N23" s="34">
        <v>1053</v>
      </c>
      <c r="O23" s="35"/>
      <c r="P23" s="235">
        <f t="shared" si="1"/>
        <v>56022</v>
      </c>
      <c r="Q23" s="243">
        <f t="shared" si="0"/>
        <v>-28</v>
      </c>
      <c r="R23" s="238">
        <v>0</v>
      </c>
      <c r="S23" s="37"/>
    </row>
    <row r="24" spans="1:20" ht="18" thickBot="1" x14ac:dyDescent="0.35">
      <c r="A24" s="23"/>
      <c r="B24" s="24">
        <v>45070</v>
      </c>
      <c r="C24" s="25">
        <v>0</v>
      </c>
      <c r="D24" s="42"/>
      <c r="E24" s="27">
        <v>45070</v>
      </c>
      <c r="F24" s="28">
        <v>84481</v>
      </c>
      <c r="G24" s="29"/>
      <c r="H24" s="30">
        <v>45070</v>
      </c>
      <c r="I24" s="31">
        <v>719</v>
      </c>
      <c r="J24" s="272"/>
      <c r="K24" s="271"/>
      <c r="L24" s="273"/>
      <c r="M24" s="33">
        <f>62262+20500</f>
        <v>82762</v>
      </c>
      <c r="N24" s="34">
        <v>1030</v>
      </c>
      <c r="O24" s="35"/>
      <c r="P24" s="235">
        <f t="shared" si="1"/>
        <v>84511</v>
      </c>
      <c r="Q24" s="243">
        <f t="shared" si="0"/>
        <v>30</v>
      </c>
      <c r="R24" s="238">
        <v>0</v>
      </c>
      <c r="S24" s="37"/>
    </row>
    <row r="25" spans="1:20" ht="18" thickBot="1" x14ac:dyDescent="0.35">
      <c r="A25" s="23"/>
      <c r="B25" s="24">
        <v>45071</v>
      </c>
      <c r="C25" s="25">
        <v>0</v>
      </c>
      <c r="D25" s="38"/>
      <c r="E25" s="27">
        <v>45071</v>
      </c>
      <c r="F25" s="28">
        <v>72267</v>
      </c>
      <c r="G25" s="29"/>
      <c r="H25" s="30">
        <v>45071</v>
      </c>
      <c r="I25" s="31">
        <v>108</v>
      </c>
      <c r="J25" s="274">
        <v>45071</v>
      </c>
      <c r="K25" s="275" t="s">
        <v>275</v>
      </c>
      <c r="L25" s="276">
        <v>12969</v>
      </c>
      <c r="M25" s="33">
        <v>59190</v>
      </c>
      <c r="N25" s="34">
        <v>0</v>
      </c>
      <c r="O25" s="35"/>
      <c r="P25" s="235">
        <f t="shared" si="1"/>
        <v>72267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45072</v>
      </c>
      <c r="C26" s="25">
        <v>18035</v>
      </c>
      <c r="D26" s="38" t="s">
        <v>267</v>
      </c>
      <c r="E26" s="27">
        <v>45072</v>
      </c>
      <c r="F26" s="28">
        <v>119280</v>
      </c>
      <c r="G26" s="29"/>
      <c r="H26" s="30">
        <v>45072</v>
      </c>
      <c r="I26" s="31">
        <v>81</v>
      </c>
      <c r="J26" s="258"/>
      <c r="K26" s="271"/>
      <c r="L26" s="263"/>
      <c r="M26" s="33">
        <f>14000+85052</f>
        <v>99052</v>
      </c>
      <c r="N26" s="34">
        <v>2177</v>
      </c>
      <c r="O26" s="35"/>
      <c r="P26" s="235">
        <f t="shared" si="1"/>
        <v>119345</v>
      </c>
      <c r="Q26" s="243">
        <f t="shared" si="0"/>
        <v>65</v>
      </c>
      <c r="R26" s="238">
        <v>0</v>
      </c>
      <c r="S26" s="37"/>
    </row>
    <row r="27" spans="1:20" ht="18" thickBot="1" x14ac:dyDescent="0.35">
      <c r="A27" s="23"/>
      <c r="B27" s="24">
        <v>45073</v>
      </c>
      <c r="C27" s="25">
        <v>0</v>
      </c>
      <c r="D27" s="42"/>
      <c r="E27" s="27">
        <v>45073</v>
      </c>
      <c r="F27" s="28">
        <v>79733</v>
      </c>
      <c r="G27" s="29"/>
      <c r="H27" s="30">
        <v>45073</v>
      </c>
      <c r="I27" s="31">
        <v>61</v>
      </c>
      <c r="J27" s="277">
        <v>45073</v>
      </c>
      <c r="K27" s="275" t="s">
        <v>276</v>
      </c>
      <c r="L27" s="276">
        <v>8700</v>
      </c>
      <c r="M27" s="33">
        <f>28500+37513+3653</f>
        <v>69666</v>
      </c>
      <c r="N27" s="34">
        <v>1347</v>
      </c>
      <c r="O27" s="35"/>
      <c r="P27" s="235">
        <f t="shared" si="1"/>
        <v>79774</v>
      </c>
      <c r="Q27" s="243">
        <f t="shared" si="0"/>
        <v>41</v>
      </c>
      <c r="R27" s="238">
        <v>0</v>
      </c>
      <c r="S27" s="37"/>
    </row>
    <row r="28" spans="1:20" ht="18" thickBot="1" x14ac:dyDescent="0.35">
      <c r="A28" s="23"/>
      <c r="B28" s="24">
        <v>45074</v>
      </c>
      <c r="C28" s="25">
        <v>0</v>
      </c>
      <c r="D28" s="42"/>
      <c r="E28" s="27">
        <v>45074</v>
      </c>
      <c r="F28" s="28">
        <v>84387</v>
      </c>
      <c r="G28" s="29"/>
      <c r="H28" s="30">
        <v>45074</v>
      </c>
      <c r="I28" s="31">
        <v>5</v>
      </c>
      <c r="J28" s="278"/>
      <c r="K28" s="71"/>
      <c r="L28" s="276"/>
      <c r="M28" s="33">
        <f>27059+57000</f>
        <v>84059</v>
      </c>
      <c r="N28" s="34">
        <v>334</v>
      </c>
      <c r="O28" s="35"/>
      <c r="P28" s="235">
        <f t="shared" si="1"/>
        <v>84398</v>
      </c>
      <c r="Q28" s="243">
        <f t="shared" si="0"/>
        <v>11</v>
      </c>
      <c r="R28" s="238">
        <v>0</v>
      </c>
      <c r="S28" s="37"/>
    </row>
    <row r="29" spans="1:20" ht="18" thickBot="1" x14ac:dyDescent="0.35">
      <c r="A29" s="23"/>
      <c r="B29" s="24">
        <v>45075</v>
      </c>
      <c r="C29" s="25">
        <v>0</v>
      </c>
      <c r="D29" s="72"/>
      <c r="E29" s="27">
        <v>45075</v>
      </c>
      <c r="F29" s="28">
        <v>110922</v>
      </c>
      <c r="G29" s="29"/>
      <c r="H29" s="30">
        <v>45075</v>
      </c>
      <c r="I29" s="31">
        <v>149</v>
      </c>
      <c r="J29" s="277"/>
      <c r="K29" s="279"/>
      <c r="L29" s="276"/>
      <c r="M29" s="33">
        <f>5000+105773</f>
        <v>110773</v>
      </c>
      <c r="N29" s="34">
        <v>0</v>
      </c>
      <c r="O29" s="35"/>
      <c r="P29" s="235">
        <f t="shared" si="1"/>
        <v>110922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45076</v>
      </c>
      <c r="C30" s="25">
        <v>0</v>
      </c>
      <c r="D30" s="72"/>
      <c r="E30" s="27">
        <v>45076</v>
      </c>
      <c r="F30" s="28">
        <v>65429</v>
      </c>
      <c r="G30" s="29"/>
      <c r="H30" s="30">
        <v>45076</v>
      </c>
      <c r="I30" s="31">
        <v>67</v>
      </c>
      <c r="J30" s="86"/>
      <c r="K30" s="280"/>
      <c r="L30" s="281"/>
      <c r="M30" s="33">
        <v>65362</v>
      </c>
      <c r="N30" s="34">
        <v>0</v>
      </c>
      <c r="O30" s="35"/>
      <c r="P30" s="235">
        <f t="shared" si="1"/>
        <v>65429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45077</v>
      </c>
      <c r="C31" s="25">
        <v>0</v>
      </c>
      <c r="D31" s="77"/>
      <c r="E31" s="27">
        <v>45077</v>
      </c>
      <c r="F31" s="28">
        <v>65294</v>
      </c>
      <c r="G31" s="29"/>
      <c r="H31" s="30">
        <v>45077</v>
      </c>
      <c r="I31" s="31">
        <v>483</v>
      </c>
      <c r="J31" s="86"/>
      <c r="K31" s="282"/>
      <c r="L31" s="283"/>
      <c r="M31" s="33">
        <f>38307+26000</f>
        <v>64307</v>
      </c>
      <c r="N31" s="34">
        <v>520</v>
      </c>
      <c r="O31" s="35"/>
      <c r="P31" s="235">
        <f t="shared" si="1"/>
        <v>65310</v>
      </c>
      <c r="Q31" s="243">
        <f t="shared" si="0"/>
        <v>16</v>
      </c>
      <c r="R31" s="238">
        <v>0</v>
      </c>
      <c r="S31" s="37"/>
    </row>
    <row r="32" spans="1:20" ht="18" thickBot="1" x14ac:dyDescent="0.35">
      <c r="A32" s="23"/>
      <c r="B32" s="24">
        <v>45078</v>
      </c>
      <c r="C32" s="25">
        <v>3900</v>
      </c>
      <c r="D32" s="82" t="s">
        <v>67</v>
      </c>
      <c r="E32" s="27">
        <v>45078</v>
      </c>
      <c r="F32" s="28">
        <v>99425</v>
      </c>
      <c r="G32" s="29"/>
      <c r="H32" s="30">
        <v>45078</v>
      </c>
      <c r="I32" s="31">
        <v>42</v>
      </c>
      <c r="J32" s="86"/>
      <c r="K32" s="280"/>
      <c r="L32" s="281"/>
      <c r="M32" s="33">
        <v>95356</v>
      </c>
      <c r="N32" s="34">
        <v>131</v>
      </c>
      <c r="O32" s="35"/>
      <c r="P32" s="235">
        <f t="shared" si="1"/>
        <v>99429</v>
      </c>
      <c r="Q32" s="243">
        <f t="shared" si="0"/>
        <v>4</v>
      </c>
      <c r="R32" s="238">
        <v>0</v>
      </c>
      <c r="S32" s="37"/>
    </row>
    <row r="33" spans="1:19" ht="18" thickBot="1" x14ac:dyDescent="0.35">
      <c r="A33" s="23"/>
      <c r="B33" s="24">
        <v>45079</v>
      </c>
      <c r="C33" s="25">
        <v>480</v>
      </c>
      <c r="D33" s="80" t="s">
        <v>100</v>
      </c>
      <c r="E33" s="27">
        <v>45079</v>
      </c>
      <c r="F33" s="28">
        <v>134912</v>
      </c>
      <c r="G33" s="29"/>
      <c r="H33" s="30">
        <v>45079</v>
      </c>
      <c r="I33" s="31">
        <v>48</v>
      </c>
      <c r="J33" s="86"/>
      <c r="K33" s="282"/>
      <c r="L33" s="216"/>
      <c r="M33" s="33">
        <f>62500+71481</f>
        <v>133981</v>
      </c>
      <c r="N33" s="34">
        <v>415</v>
      </c>
      <c r="O33" s="35"/>
      <c r="P33" s="235">
        <f t="shared" si="1"/>
        <v>134924</v>
      </c>
      <c r="Q33" s="243">
        <f t="shared" si="0"/>
        <v>12</v>
      </c>
      <c r="R33" s="238">
        <v>0</v>
      </c>
      <c r="S33" s="37"/>
    </row>
    <row r="34" spans="1:19" ht="18" thickBot="1" x14ac:dyDescent="0.35">
      <c r="A34" s="23"/>
      <c r="B34" s="24">
        <v>45080</v>
      </c>
      <c r="C34" s="25">
        <v>15694</v>
      </c>
      <c r="D34" s="82" t="s">
        <v>267</v>
      </c>
      <c r="E34" s="27">
        <v>45080</v>
      </c>
      <c r="F34" s="28">
        <v>88405</v>
      </c>
      <c r="G34" s="29"/>
      <c r="H34" s="30">
        <v>45080</v>
      </c>
      <c r="I34" s="31">
        <v>130</v>
      </c>
      <c r="J34" s="86">
        <v>45080</v>
      </c>
      <c r="K34" s="83" t="s">
        <v>293</v>
      </c>
      <c r="L34" s="284">
        <v>8700</v>
      </c>
      <c r="M34" s="33">
        <f>19300+43307</f>
        <v>62607</v>
      </c>
      <c r="N34" s="34">
        <v>1314</v>
      </c>
      <c r="O34" s="35"/>
      <c r="P34" s="235">
        <f t="shared" si="1"/>
        <v>88445</v>
      </c>
      <c r="Q34" s="243">
        <f t="shared" si="0"/>
        <v>40</v>
      </c>
      <c r="R34" s="238">
        <v>0</v>
      </c>
      <c r="S34" s="37"/>
    </row>
    <row r="35" spans="1:19" ht="18" thickBot="1" x14ac:dyDescent="0.35">
      <c r="A35" s="23"/>
      <c r="B35" s="24">
        <v>45081</v>
      </c>
      <c r="C35" s="25">
        <v>1800</v>
      </c>
      <c r="D35" s="77" t="s">
        <v>294</v>
      </c>
      <c r="E35" s="27">
        <v>45081</v>
      </c>
      <c r="F35" s="28">
        <v>98801</v>
      </c>
      <c r="G35" s="29"/>
      <c r="H35" s="30">
        <v>45081</v>
      </c>
      <c r="I35" s="31">
        <v>21</v>
      </c>
      <c r="J35" s="86"/>
      <c r="K35" s="282"/>
      <c r="L35" s="216"/>
      <c r="M35" s="33">
        <f>43500+53180</f>
        <v>96680</v>
      </c>
      <c r="N35" s="34">
        <v>309</v>
      </c>
      <c r="O35" s="35"/>
      <c r="P35" s="235">
        <f t="shared" si="1"/>
        <v>98810</v>
      </c>
      <c r="Q35" s="243">
        <f t="shared" si="0"/>
        <v>9</v>
      </c>
      <c r="R35" s="238">
        <v>0</v>
      </c>
      <c r="S35" s="37"/>
    </row>
    <row r="36" spans="1:19" ht="18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285"/>
      <c r="L36" s="216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86">
        <v>45051</v>
      </c>
      <c r="K37" s="318" t="s">
        <v>295</v>
      </c>
      <c r="L37" s="216">
        <v>377</v>
      </c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86">
        <v>45054</v>
      </c>
      <c r="K38" s="282" t="s">
        <v>296</v>
      </c>
      <c r="L38" s="216">
        <v>1225.1199999999999</v>
      </c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86">
        <v>45054</v>
      </c>
      <c r="K39" s="319" t="s">
        <v>298</v>
      </c>
      <c r="L39" s="281">
        <v>14500</v>
      </c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86">
        <v>45061</v>
      </c>
      <c r="K40" s="231" t="s">
        <v>108</v>
      </c>
      <c r="L40" s="281">
        <v>1392</v>
      </c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86">
        <v>45063</v>
      </c>
      <c r="K41" s="305" t="s">
        <v>111</v>
      </c>
      <c r="L41" s="281">
        <v>1098</v>
      </c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86">
        <v>45077</v>
      </c>
      <c r="K42" s="231" t="s">
        <v>109</v>
      </c>
      <c r="L42" s="281">
        <v>1031.47</v>
      </c>
      <c r="M42" s="33">
        <v>0</v>
      </c>
      <c r="N42" s="34">
        <v>0</v>
      </c>
      <c r="O42" s="35"/>
      <c r="P42" s="235">
        <v>0</v>
      </c>
      <c r="Q42" s="236">
        <f t="shared" ref="Q42:Q44" si="2">P42-F42</f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86">
        <v>45081</v>
      </c>
      <c r="K43" s="89" t="s">
        <v>297</v>
      </c>
      <c r="L43" s="281">
        <v>745.84</v>
      </c>
      <c r="M43" s="33">
        <v>0</v>
      </c>
      <c r="N43" s="34">
        <v>0</v>
      </c>
      <c r="O43" s="35"/>
      <c r="P43" s="240">
        <v>0</v>
      </c>
      <c r="Q43" s="241">
        <f t="shared" si="2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86"/>
      <c r="K44" s="231"/>
      <c r="L44" s="281"/>
      <c r="M44" s="92">
        <v>0</v>
      </c>
      <c r="N44" s="93"/>
      <c r="O44" s="35"/>
      <c r="P44" s="36">
        <f t="shared" si="1"/>
        <v>0</v>
      </c>
      <c r="Q44" s="13">
        <f t="shared" si="2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86"/>
      <c r="K45" s="89"/>
      <c r="L45" s="281"/>
      <c r="M45" s="371">
        <f>SUM(M5:M39)</f>
        <v>3007589</v>
      </c>
      <c r="N45" s="356">
        <f>SUM(N5:N39)</f>
        <v>29752</v>
      </c>
      <c r="P45" s="98">
        <f t="shared" si="1"/>
        <v>3037341</v>
      </c>
      <c r="Q45" s="99">
        <f>SUM(Q5:Q39)</f>
        <v>603</v>
      </c>
      <c r="R45" s="99">
        <f>SUM(R5:R39)</f>
        <v>28259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86"/>
      <c r="K46" s="102"/>
      <c r="L46" s="281"/>
      <c r="M46" s="372"/>
      <c r="N46" s="357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86"/>
      <c r="K47" s="287"/>
      <c r="L47" s="216"/>
      <c r="M47" s="105"/>
      <c r="N47" s="106"/>
      <c r="P47" s="36"/>
      <c r="Q47" s="9"/>
    </row>
    <row r="48" spans="1:19" ht="16.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288"/>
      <c r="K48" s="289"/>
      <c r="L48" s="13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86123</v>
      </c>
      <c r="D49" s="123"/>
      <c r="E49" s="124" t="s">
        <v>10</v>
      </c>
      <c r="F49" s="125">
        <f>SUM(F5:F48)</f>
        <v>3158733</v>
      </c>
      <c r="G49" s="123"/>
      <c r="H49" s="126" t="s">
        <v>11</v>
      </c>
      <c r="I49" s="127">
        <f>SUM(I5:I48)</f>
        <v>4487</v>
      </c>
      <c r="J49" s="290"/>
      <c r="K49" s="291" t="s">
        <v>12</v>
      </c>
      <c r="L49" s="292">
        <f>SUM(L5:L48)</f>
        <v>80013.429999999993</v>
      </c>
      <c r="M49" s="131"/>
      <c r="N49" s="131"/>
      <c r="P49" s="36"/>
      <c r="Q49" s="9"/>
    </row>
    <row r="50" spans="1:17" ht="17.2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358" t="s">
        <v>13</v>
      </c>
      <c r="I51" s="359"/>
      <c r="J51" s="135"/>
      <c r="K51" s="360">
        <f>I49+L49</f>
        <v>84500.43</v>
      </c>
      <c r="L51" s="361"/>
      <c r="M51" s="362">
        <f>N45+M45</f>
        <v>3037341</v>
      </c>
      <c r="N51" s="363"/>
      <c r="P51" s="36"/>
      <c r="Q51" s="9"/>
    </row>
    <row r="52" spans="1:17" x14ac:dyDescent="0.25">
      <c r="D52" s="355" t="s">
        <v>14</v>
      </c>
      <c r="E52" s="355"/>
      <c r="F52" s="136">
        <f>F49-K51-C49</f>
        <v>2988109.57</v>
      </c>
      <c r="I52" s="137"/>
      <c r="J52" s="138"/>
      <c r="P52" s="36"/>
      <c r="Q52" s="9"/>
    </row>
    <row r="53" spans="1:17" x14ac:dyDescent="0.25">
      <c r="D53" s="373" t="s">
        <v>15</v>
      </c>
      <c r="E53" s="373"/>
      <c r="F53" s="131">
        <v>-2955802.29</v>
      </c>
      <c r="I53" s="374" t="s">
        <v>16</v>
      </c>
      <c r="J53" s="375"/>
      <c r="K53" s="388">
        <f>F55+F56+F57</f>
        <v>419364.9699999998</v>
      </c>
      <c r="L53" s="389"/>
      <c r="P53" s="36"/>
      <c r="Q53" s="9"/>
    </row>
    <row r="54" spans="1:17" ht="16.5" thickBot="1" x14ac:dyDescent="0.3">
      <c r="D54" s="139"/>
      <c r="E54" s="140"/>
      <c r="F54" s="141">
        <v>0</v>
      </c>
      <c r="I54" s="142"/>
      <c r="J54" s="143"/>
      <c r="K54" s="108"/>
      <c r="L54" s="294"/>
    </row>
    <row r="55" spans="1:17" ht="16.5" thickTop="1" x14ac:dyDescent="0.25">
      <c r="C55" s="5" t="s">
        <v>9</v>
      </c>
      <c r="E55" s="133" t="s">
        <v>17</v>
      </c>
      <c r="F55" s="131">
        <f>SUM(F52:F54)</f>
        <v>32307.279999999795</v>
      </c>
      <c r="H55" s="23"/>
      <c r="I55" s="146" t="s">
        <v>18</v>
      </c>
      <c r="J55" s="147"/>
      <c r="K55" s="390">
        <f>-C4</f>
        <v>-394548.7</v>
      </c>
      <c r="L55" s="391"/>
    </row>
    <row r="56" spans="1:17" ht="16.5" thickBot="1" x14ac:dyDescent="0.3">
      <c r="D56" s="148" t="s">
        <v>19</v>
      </c>
      <c r="E56" s="133" t="s">
        <v>20</v>
      </c>
      <c r="F56" s="149">
        <v>41424</v>
      </c>
    </row>
    <row r="57" spans="1:17" ht="20.25" thickTop="1" thickBot="1" x14ac:dyDescent="0.35">
      <c r="C57" s="150">
        <v>45081</v>
      </c>
      <c r="D57" s="380" t="s">
        <v>21</v>
      </c>
      <c r="E57" s="381"/>
      <c r="F57" s="316">
        <v>345633.69</v>
      </c>
      <c r="I57" s="397" t="s">
        <v>22</v>
      </c>
      <c r="J57" s="398"/>
      <c r="K57" s="399">
        <f>K53+K55</f>
        <v>24816.269999999786</v>
      </c>
      <c r="L57" s="399"/>
    </row>
    <row r="58" spans="1:17" ht="17.25" x14ac:dyDescent="0.3">
      <c r="C58" s="152"/>
      <c r="D58" s="153"/>
      <c r="E58" s="154"/>
      <c r="F58" s="155"/>
      <c r="J58" s="295"/>
    </row>
    <row r="59" spans="1:17" ht="15" customHeight="1" x14ac:dyDescent="0.25">
      <c r="I59" s="157"/>
      <c r="J59" s="296"/>
      <c r="K59" s="297"/>
      <c r="L59" s="297"/>
    </row>
    <row r="60" spans="1:17" ht="16.5" customHeight="1" x14ac:dyDescent="0.25">
      <c r="B60" s="159"/>
      <c r="C60" s="160"/>
      <c r="D60" s="161"/>
      <c r="E60" s="36"/>
      <c r="I60" s="157"/>
      <c r="J60" s="296"/>
      <c r="K60" s="297"/>
      <c r="L60" s="297"/>
      <c r="M60" s="162"/>
      <c r="N60" s="133"/>
    </row>
    <row r="61" spans="1:17" x14ac:dyDescent="0.25">
      <c r="B61" s="159"/>
      <c r="C61" s="163"/>
      <c r="E61" s="36"/>
      <c r="M61" s="162"/>
      <c r="N61" s="133"/>
    </row>
    <row r="62" spans="1:17" x14ac:dyDescent="0.25">
      <c r="B62" s="159"/>
      <c r="C62" s="163"/>
      <c r="E62" s="36"/>
      <c r="F62" s="164"/>
      <c r="L62" s="298"/>
      <c r="M62" s="1"/>
    </row>
    <row r="63" spans="1:17" x14ac:dyDescent="0.25">
      <c r="B63" s="159"/>
      <c r="C63" s="163"/>
      <c r="E63" s="36"/>
      <c r="M63" s="1"/>
    </row>
    <row r="64" spans="1:17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23622047244094491" right="0.23622047244094491" top="0.31496062992125984" bottom="0.23622047244094491" header="0.31496062992125984" footer="0.31496062992125984"/>
  <pageSetup paperSize="5" scale="90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  E N E R O    2 0 2 3     </vt:lpstr>
      <vt:lpstr> COMPRAS   ENERO  2023   </vt:lpstr>
      <vt:lpstr>  F E B R E R O    2 0 2 3    </vt:lpstr>
      <vt:lpstr>COMPRAS FEBRERO 2023   </vt:lpstr>
      <vt:lpstr>  M A R Z O    2 0 2 3       </vt:lpstr>
      <vt:lpstr>  COMPRAS    MARZO  2023     </vt:lpstr>
      <vt:lpstr>   A B R I L   2 0 2 3      </vt:lpstr>
      <vt:lpstr>  COMPRAS   ABRIL    2 0 2 3   </vt:lpstr>
      <vt:lpstr>    M A Y O     2 0 2 3        </vt:lpstr>
      <vt:lpstr>  COMPRAS   MAYO    2 0 2 3    </vt:lpstr>
      <vt:lpstr>   J U N I O     2 0 2 3     </vt:lpstr>
      <vt:lpstr> COMPRAS    JUNIO   2 0 2 3    </vt:lpstr>
      <vt:lpstr>   J U L I O     2 0 2 3       </vt:lpstr>
      <vt:lpstr>   COMPRAS   JULIO    2 0 2 3  </vt:lpstr>
      <vt:lpstr>   A G O S T O     2 0 2 3     </vt:lpstr>
      <vt:lpstr>  COMPRAS  AGOSTO   20 23      </vt:lpstr>
      <vt:lpstr>Hoja3</vt:lpstr>
      <vt:lpstr>Hoja1</vt:lpstr>
      <vt:lpstr>PAGOS SEPTIEMBRE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2023-09-06T15:27:53Z</cp:lastPrinted>
  <dcterms:created xsi:type="dcterms:W3CDTF">2023-02-07T18:40:23Z</dcterms:created>
  <dcterms:modified xsi:type="dcterms:W3CDTF">2023-10-06T18:27:43Z</dcterms:modified>
</cp:coreProperties>
</file>