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C A N A L E S       " sheetId="186" r:id="rId4"/>
    <sheet name="ARRACHERAS       " sheetId="57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8" i="38" l="1"/>
  <c r="ID5" i="1" l="1"/>
  <c r="P9" i="54" l="1"/>
  <c r="P13" i="54"/>
  <c r="P12" i="54"/>
  <c r="P11" i="54"/>
  <c r="P10" i="54"/>
  <c r="FW30" i="1" l="1"/>
  <c r="FW17" i="1"/>
  <c r="FW18" i="1"/>
  <c r="W71" i="40" l="1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P14" i="65"/>
  <c r="R14" i="65" s="1"/>
  <c r="P13" i="65"/>
  <c r="R13" i="65" s="1"/>
  <c r="P12" i="65"/>
  <c r="R12" i="65" s="1"/>
  <c r="P11" i="65"/>
  <c r="R11" i="65" s="1"/>
  <c r="P10" i="65"/>
  <c r="R10" i="65" s="1"/>
  <c r="P9" i="65"/>
  <c r="R9" i="65" s="1"/>
  <c r="I11" i="117" l="1"/>
  <c r="DO30" i="1"/>
  <c r="DO17" i="1"/>
  <c r="DO18" i="1"/>
  <c r="DO19" i="1"/>
  <c r="DO20" i="1"/>
  <c r="DO21" i="1"/>
  <c r="DO22" i="1"/>
  <c r="DO23" i="1"/>
  <c r="DO24" i="1"/>
  <c r="O81" i="186" l="1"/>
  <c r="L78" i="186"/>
  <c r="S9" i="186"/>
  <c r="R5" i="186"/>
  <c r="AM17" i="1" l="1"/>
  <c r="AM28" i="1"/>
  <c r="AC30" i="1"/>
  <c r="AC17" i="1"/>
  <c r="AC28" i="1"/>
  <c r="AC18" i="1"/>
  <c r="AC19" i="1"/>
  <c r="AC20" i="1"/>
  <c r="AC21" i="1"/>
  <c r="AC22" i="1"/>
  <c r="R61" i="40" l="1"/>
  <c r="W61" i="40" s="1"/>
  <c r="R63" i="40"/>
  <c r="W63" i="40" s="1"/>
  <c r="R64" i="40"/>
  <c r="W64" i="40" s="1"/>
  <c r="R66" i="40"/>
  <c r="W66" i="40" s="1"/>
  <c r="R69" i="40"/>
  <c r="W69" i="40" s="1"/>
  <c r="R71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P61" i="40"/>
  <c r="P62" i="40"/>
  <c r="R62" i="40" s="1"/>
  <c r="W62" i="40" s="1"/>
  <c r="P63" i="40"/>
  <c r="P64" i="40"/>
  <c r="P65" i="40"/>
  <c r="R65" i="40" s="1"/>
  <c r="W65" i="40" s="1"/>
  <c r="P66" i="40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P72" i="40"/>
  <c r="R72" i="40" s="1"/>
  <c r="W72" i="40" s="1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Q22" i="38" l="1"/>
  <c r="Q21" i="38"/>
  <c r="Q24" i="38" l="1"/>
  <c r="Q23" i="38"/>
  <c r="Q26" i="38"/>
  <c r="Q25" i="38"/>
  <c r="Q20" i="38" l="1"/>
  <c r="Q19" i="38"/>
  <c r="Q18" i="38"/>
  <c r="Q16" i="38"/>
  <c r="Q15" i="38"/>
  <c r="Q13" i="38"/>
  <c r="Q6" i="38"/>
  <c r="Q103" i="38"/>
  <c r="Q5" i="38" l="1"/>
  <c r="Q10" i="38"/>
  <c r="Q9" i="38"/>
  <c r="Q8" i="38"/>
  <c r="Q17" i="38"/>
  <c r="Q12" i="38"/>
  <c r="Q11" i="38"/>
  <c r="Q14" i="38"/>
  <c r="Q7" i="38"/>
  <c r="AH79" i="129" l="1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E1" i="129"/>
  <c r="AJ79" i="129" l="1"/>
  <c r="AI84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I4" i="1"/>
  <c r="I6" i="1"/>
  <c r="I5" i="1"/>
  <c r="H4" i="1"/>
  <c r="G4" i="1"/>
  <c r="F4" i="1"/>
  <c r="E4" i="1"/>
  <c r="D4" i="1"/>
  <c r="C4" i="1"/>
  <c r="B4" i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B33" i="65"/>
  <c r="AD33" i="65" s="1"/>
  <c r="AI33" i="65" s="1"/>
  <c r="AB32" i="65"/>
  <c r="AD32" i="65" s="1"/>
  <c r="AI32" i="65" s="1"/>
  <c r="AD31" i="65"/>
  <c r="AI31" i="65" s="1"/>
  <c r="AB31" i="65"/>
  <c r="AD30" i="65"/>
  <c r="AI30" i="65" s="1"/>
  <c r="AB30" i="65"/>
  <c r="AB29" i="65"/>
  <c r="AD29" i="65" s="1"/>
  <c r="AI29" i="65" s="1"/>
  <c r="AB28" i="65"/>
  <c r="AD28" i="65" s="1"/>
  <c r="AI28" i="65" s="1"/>
  <c r="AD27" i="65"/>
  <c r="AI27" i="65" s="1"/>
  <c r="AB27" i="65"/>
  <c r="AD26" i="65"/>
  <c r="AI26" i="65" s="1"/>
  <c r="AB26" i="65"/>
  <c r="AB25" i="65"/>
  <c r="AD25" i="65" s="1"/>
  <c r="AI25" i="65" s="1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1" i="129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N78" i="186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9" i="186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B19" i="186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AK6" i="129" l="1"/>
  <c r="AL6" i="129" s="1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AB70" i="65"/>
  <c r="I11" i="186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AG9" i="65"/>
  <c r="AG10" i="65" s="1"/>
  <c r="AG11" i="65" s="1"/>
  <c r="AD70" i="65"/>
  <c r="AI9" i="65"/>
  <c r="AD12" i="65"/>
  <c r="AI12" i="65" s="1"/>
  <c r="Z79" i="129"/>
  <c r="Z78" i="57"/>
  <c r="S10" i="186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P78" i="186"/>
  <c r="F78" i="186"/>
  <c r="G6" i="186" s="1"/>
  <c r="H6" i="186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P37" i="65"/>
  <c r="R37" i="65" s="1"/>
  <c r="W37" i="65" s="1"/>
  <c r="P36" i="65"/>
  <c r="R36" i="65" s="1"/>
  <c r="W36" i="65" s="1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P27" i="65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W13" i="65"/>
  <c r="W12" i="65"/>
  <c r="W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55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C73" i="65" l="1"/>
  <c r="AE5" i="65"/>
  <c r="AF5" i="65" s="1"/>
  <c r="AG12" i="65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Y84" i="129"/>
  <c r="AA6" i="129"/>
  <c r="AB6" i="129" s="1"/>
  <c r="Y83" i="57"/>
  <c r="AA6" i="57"/>
  <c r="AB6" i="57" s="1"/>
  <c r="O83" i="186"/>
  <c r="E83" i="186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F74" i="40"/>
  <c r="K74" i="40" s="1"/>
  <c r="F75" i="40"/>
  <c r="K75" i="40" s="1"/>
  <c r="F78" i="40"/>
  <c r="K78" i="40" s="1"/>
  <c r="F79" i="40"/>
  <c r="K79" i="40" s="1"/>
  <c r="F82" i="40"/>
  <c r="K82" i="40" s="1"/>
  <c r="F83" i="40"/>
  <c r="K83" i="40" s="1"/>
  <c r="F86" i="40"/>
  <c r="K86" i="40" s="1"/>
  <c r="F87" i="40"/>
  <c r="K87" i="40" s="1"/>
  <c r="F90" i="40"/>
  <c r="K90" i="40" s="1"/>
  <c r="F91" i="40"/>
  <c r="K91" i="40" s="1"/>
  <c r="D74" i="40"/>
  <c r="D75" i="40"/>
  <c r="D76" i="40"/>
  <c r="F76" i="40" s="1"/>
  <c r="K76" i="40" s="1"/>
  <c r="D77" i="40"/>
  <c r="F77" i="40" s="1"/>
  <c r="K77" i="40" s="1"/>
  <c r="D78" i="40"/>
  <c r="D79" i="40"/>
  <c r="D80" i="40"/>
  <c r="F80" i="40" s="1"/>
  <c r="K80" i="40" s="1"/>
  <c r="D81" i="40"/>
  <c r="F81" i="40" s="1"/>
  <c r="K81" i="40" s="1"/>
  <c r="D82" i="40"/>
  <c r="D83" i="40"/>
  <c r="D84" i="40"/>
  <c r="F84" i="40" s="1"/>
  <c r="K84" i="40" s="1"/>
  <c r="D85" i="40"/>
  <c r="F85" i="40" s="1"/>
  <c r="K85" i="40" s="1"/>
  <c r="D86" i="40"/>
  <c r="D87" i="40"/>
  <c r="D88" i="40"/>
  <c r="F88" i="40" s="1"/>
  <c r="K88" i="40" s="1"/>
  <c r="D89" i="40"/>
  <c r="F89" i="40" s="1"/>
  <c r="K89" i="40" s="1"/>
  <c r="D90" i="40"/>
  <c r="D91" i="40"/>
  <c r="D92" i="40"/>
  <c r="K1" i="129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S30" i="1" l="1"/>
  <c r="P34" i="1"/>
  <c r="Q73" i="65"/>
  <c r="S5" i="65"/>
  <c r="T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F71" i="40" l="1"/>
  <c r="K71" i="40" s="1"/>
  <c r="D61" i="40"/>
  <c r="F61" i="40" s="1"/>
  <c r="K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D72" i="40"/>
  <c r="F72" i="40" s="1"/>
  <c r="K72" i="40" s="1"/>
  <c r="D73" i="40"/>
  <c r="F73" i="40" s="1"/>
  <c r="K73" i="40" s="1"/>
  <c r="HU18" i="1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94" i="40"/>
  <c r="Q97" i="40" s="1"/>
  <c r="R93" i="40"/>
  <c r="W93" i="40" s="1"/>
  <c r="R92" i="40"/>
  <c r="W92" i="40" s="1"/>
  <c r="M92" i="40"/>
  <c r="P60" i="40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P13" i="40"/>
  <c r="R13" i="40" s="1"/>
  <c r="P12" i="40"/>
  <c r="R12" i="40" s="1"/>
  <c r="P11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s="1"/>
  <c r="R60" i="40" l="1"/>
  <c r="W60" i="40" s="1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S11" i="129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R11" i="40"/>
  <c r="W11" i="40" s="1"/>
  <c r="W13" i="40"/>
  <c r="P79" i="129"/>
  <c r="W12" i="40"/>
  <c r="W10" i="40"/>
  <c r="W14" i="40"/>
  <c r="U9" i="40"/>
  <c r="U10" i="40" s="1"/>
  <c r="W9" i="40"/>
  <c r="P94" i="40"/>
  <c r="P78" i="57"/>
  <c r="D7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G5" i="65" s="1"/>
  <c r="U11" i="40" l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S5" i="40" s="1"/>
  <c r="T5" i="40" s="1"/>
  <c r="O84" i="129"/>
  <c r="Q6" i="129"/>
  <c r="R6" i="129" s="1"/>
  <c r="O83" i="57"/>
  <c r="Q6" i="57"/>
  <c r="R6" i="57" s="1"/>
  <c r="E73" i="65"/>
  <c r="H5" i="65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Q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F39" i="134"/>
  <c r="I39" i="134" s="1"/>
  <c r="D40" i="134"/>
  <c r="F40" i="134" s="1"/>
  <c r="B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B42" i="134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C94" i="40"/>
  <c r="E97" i="40" s="1"/>
  <c r="D93" i="40"/>
  <c r="F93" i="40" s="1"/>
  <c r="K93" i="40" s="1"/>
  <c r="F92" i="40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9" i="40"/>
  <c r="D94" i="40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94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G5" i="40"/>
  <c r="H5" i="40" s="1"/>
  <c r="E84" i="12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IE29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<sst xmlns="http://schemas.openxmlformats.org/spreadsheetml/2006/main" count="3440" uniqueCount="573">
  <si>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</si>
  <si>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</si>
  <si>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</si>
  <si>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</si>
  <si>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</si>
  <si>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</si>
  <si>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</si>
  <si>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</si>
  <si>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</si>
  <si>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</si>
  <si>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</si>
  <si>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</si>
  <si>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</si>
  <si>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</si>
  <si>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</si>
  <si>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</si>
  <si>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</si>
  <si>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</si>
  <si>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</si>
  <si>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</si>
  <si>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</si>
  <si>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</si>
  <si>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</si>
  <si>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</si>
  <si>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</si>
  <si>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</si>
  <si>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</si>
  <si>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</si>
  <si>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</si>
  <si>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</si>
  <si>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</si>
  <si>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</si>
  <si>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</si>
  <si>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</si>
  <si>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</si>
  <si>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</si>
  <si>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</si>
  <si>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</si>
  <si>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</si>
  <si>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</si>
  <si>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</si>
  <si>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</si>
  <si>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</si>
  <si>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</si>
  <si>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</si>
  <si>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</si>
  <si>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</si>
  <si>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</si>
  <si>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</si>
  <si>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</si>
  <si>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</si>
  <si>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</si>
  <si>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</si>
  <si>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</si>
  <si>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</si>
  <si>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</si>
  <si>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</si>
  <si>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</si>
  <si>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</si>
  <si>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</si>
  <si>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</si>
  <si>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</si>
  <si>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</si>
  <si>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</si>
  <si>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</si>
  <si>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</si>
  <si>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</si>
  <si>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</si>
  <si>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</si>
  <si>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</si>
  <si>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</si>
  <si>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</si>
  <si>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</si>
  <si>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</si>
  <si>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</si>
  <si>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</si>
  <si>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</si>
  <si>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</si>
  <si>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</si>
  <si>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</si>
  <si>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</si>
  <si>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</si>
  <si>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</si>
  <si>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</si>
  <si>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</si>
  <si>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</si>
  <si>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</si>
  <si>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</si>
  <si>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</si>
  <si>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</si>
  <si>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</si>
  <si>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</si>
  <si>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</si>
  <si>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</si>
  <si>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</si>
  <si>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</si>
  <si>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</si>
  <si>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</si>
  <si>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</si>
  <si>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</si>
  <si>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</si>
  <si>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</si>
  <si>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</si>
  <si>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</si>
  <si>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</si>
  <si>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</si>
  <si>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</si>
  <si>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</si>
  <si>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</si>
  <si>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</si>
  <si>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</si>
  <si>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</si>
  <si>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</si>
  <si>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</si>
  <si>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</si>
  <si>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</si>
  <si>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</si>
  <si>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</si>
  <si>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</si>
  <si>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</si>
  <si>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</si>
  <si>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</si>
  <si>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</si>
  <si>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</si>
  <si>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</si>
  <si>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</si>
  <si>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</si>
  <si>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</si>
  <si>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</si>
  <si>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</si>
  <si>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</si>
  <si>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</si>
  <si>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</si>
  <si>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</si>
  <si>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</si>
  <si>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</si>
  <si>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</si>
  <si>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</si>
  <si>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</si>
  <si>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</si>
  <si>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</si>
  <si>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</si>
  <si>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</si>
  <si>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</si>
  <si>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</si>
  <si>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</si>
  <si>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</si>
  <si>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</si>
  <si>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</si>
  <si>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</si>
  <si>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</si>
  <si>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</si>
  <si>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</si>
  <si>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0244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</si>
  <si>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</si>
  <si>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</si>
  <si>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</si>
  <si>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</si>
  <si>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</si>
  <si>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</si>
  <si>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</si>
  <si>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</si>
  <si>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</si>
  <si>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</si>
  <si>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0394 X</t>
  </si>
  <si>
    <t>0395 X</t>
  </si>
  <si>
    <t>0399 X</t>
  </si>
  <si>
    <t>chuleta de cerdo</t>
  </si>
  <si>
    <t>INVENTARIO    DEL MES DE MAYO 2021</t>
  </si>
  <si>
    <t>INVENTARIO   DEL MES DE   MAYO    2021</t>
  </si>
  <si>
    <t>CARBENZES</t>
  </si>
  <si>
    <t>GRANJERO FELIZ</t>
  </si>
  <si>
    <t>0403 X</t>
  </si>
  <si>
    <t>0433 X</t>
  </si>
  <si>
    <t>0443 X</t>
  </si>
  <si>
    <t>0417 X</t>
  </si>
  <si>
    <t>0430 X</t>
  </si>
  <si>
    <t>0431 X</t>
  </si>
  <si>
    <t>0434 X</t>
  </si>
  <si>
    <t>0435 X</t>
  </si>
  <si>
    <t>0436 X</t>
  </si>
  <si>
    <t>0440 X</t>
  </si>
  <si>
    <t>0442 X</t>
  </si>
  <si>
    <t>0454 X</t>
  </si>
  <si>
    <t>0455 X</t>
  </si>
  <si>
    <t>0458 X</t>
  </si>
  <si>
    <t>0457 x</t>
  </si>
  <si>
    <t>0460 X</t>
  </si>
  <si>
    <t>0461 X</t>
  </si>
  <si>
    <t>0466 X</t>
  </si>
  <si>
    <t>0471 X</t>
  </si>
  <si>
    <t>0472 X</t>
  </si>
  <si>
    <t>0473 X</t>
  </si>
  <si>
    <t>0479 X</t>
  </si>
  <si>
    <t>0483 X</t>
  </si>
  <si>
    <t>0484 X</t>
  </si>
  <si>
    <t>0485 X</t>
  </si>
  <si>
    <t>0486 X</t>
  </si>
  <si>
    <t>0489 X</t>
  </si>
  <si>
    <t>0490 X</t>
  </si>
  <si>
    <t>0491 X</t>
  </si>
  <si>
    <t>0494 X</t>
  </si>
  <si>
    <t>0495 X</t>
  </si>
  <si>
    <t>0496 X</t>
  </si>
  <si>
    <t>0500 X</t>
  </si>
  <si>
    <t>0501 X</t>
  </si>
  <si>
    <t>0502 X</t>
  </si>
  <si>
    <t>0503 X</t>
  </si>
  <si>
    <t>0509 X</t>
  </si>
  <si>
    <t>0510 X</t>
  </si>
  <si>
    <t>0512 X</t>
  </si>
  <si>
    <t>0513 X</t>
  </si>
  <si>
    <t>0524 X</t>
  </si>
  <si>
    <t>0516 X</t>
  </si>
  <si>
    <t>0517 X</t>
  </si>
  <si>
    <t>0520 X</t>
  </si>
  <si>
    <t>0523 X</t>
  </si>
  <si>
    <t>0525 X</t>
  </si>
  <si>
    <t>0526 X</t>
  </si>
  <si>
    <t>0527 X</t>
  </si>
  <si>
    <t>0528 X</t>
  </si>
  <si>
    <t>0531 X</t>
  </si>
  <si>
    <t>0533 x</t>
  </si>
  <si>
    <t>0535 X</t>
  </si>
  <si>
    <t>0536 X</t>
  </si>
  <si>
    <t>0537 X</t>
  </si>
  <si>
    <t>0539 X</t>
  </si>
  <si>
    <t>0543 X</t>
  </si>
  <si>
    <t>0544 X</t>
  </si>
  <si>
    <t>0546 X</t>
  </si>
  <si>
    <t>0547 X</t>
  </si>
  <si>
    <t>0548 X</t>
  </si>
  <si>
    <t>0549 X</t>
  </si>
  <si>
    <t>0550 X</t>
  </si>
  <si>
    <t>0552 X</t>
  </si>
  <si>
    <t>0553 X</t>
  </si>
  <si>
    <t>0558 X</t>
  </si>
  <si>
    <t>0559 X</t>
  </si>
  <si>
    <t>0560 X</t>
  </si>
  <si>
    <t>0563 X</t>
  </si>
  <si>
    <t>0565 x</t>
  </si>
  <si>
    <t>0566 X</t>
  </si>
  <si>
    <t>0567 X</t>
  </si>
  <si>
    <t>0568 X</t>
  </si>
  <si>
    <t>0572 X</t>
  </si>
  <si>
    <t>0573 X</t>
  </si>
  <si>
    <t>0574 X</t>
  </si>
  <si>
    <t>0575 X</t>
  </si>
  <si>
    <t>0576 X</t>
  </si>
  <si>
    <t>0579 X</t>
  </si>
  <si>
    <t>PED. 67191520</t>
  </si>
  <si>
    <t>0580 X</t>
  </si>
  <si>
    <t>0581 X</t>
  </si>
  <si>
    <t>0582 X</t>
  </si>
  <si>
    <t>0584 X</t>
  </si>
  <si>
    <t>0585 X</t>
  </si>
  <si>
    <t>0590 X</t>
  </si>
  <si>
    <t>0591 X</t>
  </si>
  <si>
    <t>0596 X</t>
  </si>
  <si>
    <t>0597 X</t>
  </si>
  <si>
    <t>0599 X</t>
  </si>
  <si>
    <t>INVENTARIO   DEL MES DE   J U N I O         2021</t>
  </si>
  <si>
    <t>ENTRADAS DEL MES JULIO 2021</t>
  </si>
  <si>
    <t>INVENTARIO   DEL MES DE   JUNIO     2021</t>
  </si>
  <si>
    <t>INVENTARIO      DEL MES DE JUNIO   2021</t>
  </si>
  <si>
    <t>INVENTARIO    DEL MES DE JUNIO       2021</t>
  </si>
  <si>
    <t>INVENTARIO     DEL MES DE  JUNIO      2021</t>
  </si>
  <si>
    <t>INVENTARIO    DEL MES DE  J U N I O      2021</t>
  </si>
  <si>
    <t>INVENTARIO    DEL MES DE JUNIO 2021</t>
  </si>
  <si>
    <t>INVETARIO DEL MES DE JUNIO 2021</t>
  </si>
  <si>
    <t>INVENTARIO     DEL MES DE JUNIO  2021</t>
  </si>
  <si>
    <t>INVENTARIO   DEL MES DE    J U N I O         2021</t>
  </si>
  <si>
    <t>INVENTARIO     DEL MES DE  JUNIO    2021</t>
  </si>
  <si>
    <t>INVENTARIO    DEL MES DE   J U N I O  2021</t>
  </si>
  <si>
    <t>TOTAL DE ENTRADAS DEL MES     J U L I O             2021</t>
  </si>
  <si>
    <t>ENTRADA DEL MES DE JULIO 2021</t>
  </si>
  <si>
    <t xml:space="preserve">PIERNA DE CARNERO Nal. Caja </t>
  </si>
  <si>
    <t>TYSON FRESH MEAT</t>
  </si>
  <si>
    <t xml:space="preserve">I B P </t>
  </si>
  <si>
    <t>PED. 67341220</t>
  </si>
  <si>
    <t>TYSON FRESH MEATS</t>
  </si>
  <si>
    <t>PED. 67370448</t>
  </si>
  <si>
    <t>ENTRADA DEL MES DE JULIO    2021</t>
  </si>
  <si>
    <t>CANAL DE CERDO Sin cabeza  y sin patas</t>
  </si>
  <si>
    <t>CANALES CANADIENSES</t>
  </si>
  <si>
    <t>VECTRA INTERNATIONAL INC</t>
  </si>
  <si>
    <t>PED. 67460807</t>
  </si>
  <si>
    <t>Espaldilla</t>
  </si>
  <si>
    <t>Chuleta</t>
  </si>
  <si>
    <t>Pierna</t>
  </si>
  <si>
    <t>Pecho</t>
  </si>
  <si>
    <t>PED. 67376353</t>
  </si>
  <si>
    <t>PED. 67376354</t>
  </si>
  <si>
    <t>INVENTARIO DEL MES DE JUNIO 2021</t>
  </si>
  <si>
    <t>PED. 67598629</t>
  </si>
  <si>
    <t>PED. 67598934</t>
  </si>
  <si>
    <t>PED. 67651435</t>
  </si>
  <si>
    <t xml:space="preserve">I  B P </t>
  </si>
  <si>
    <t>PED. 67721256</t>
  </si>
  <si>
    <t>PED. 67783274</t>
  </si>
  <si>
    <t>PED. 67783308</t>
  </si>
  <si>
    <t xml:space="preserve"> Esp de Carnero</t>
  </si>
  <si>
    <t>Pierna de Carnero</t>
  </si>
  <si>
    <t>CANAL DE CERDO S/Cabeza S/Patas</t>
  </si>
  <si>
    <t>A-9352</t>
  </si>
  <si>
    <t>A-9354</t>
  </si>
  <si>
    <t>ADAMS INTERNATIONAL MORELIA</t>
  </si>
  <si>
    <t>CUERO PANCETA</t>
  </si>
  <si>
    <t>MARIMEX BC S DE RL</t>
  </si>
  <si>
    <t>VECTRA  INTERNATIONAL INC</t>
  </si>
  <si>
    <t>CANALES EN PIEZAS</t>
  </si>
  <si>
    <t>NLSE21-107</t>
  </si>
  <si>
    <t>NLSE21-106</t>
  </si>
  <si>
    <t>GRANJERO FELIZ S DE RL</t>
  </si>
  <si>
    <t>A14-21166</t>
  </si>
  <si>
    <t>PUE-8846</t>
  </si>
  <si>
    <t>NLSE21-109</t>
  </si>
  <si>
    <t>NLSE21-108</t>
  </si>
  <si>
    <t>CARBENZES BEEF</t>
  </si>
  <si>
    <t>CONTRA</t>
  </si>
  <si>
    <t>A-9389</t>
  </si>
  <si>
    <t>A-9391</t>
  </si>
  <si>
    <t>NLSE21-111</t>
  </si>
  <si>
    <t>NLSE21-110</t>
  </si>
  <si>
    <t>HCO-7619</t>
  </si>
  <si>
    <t>ODELPA</t>
  </si>
  <si>
    <t>Transfer S 19-Jul-21</t>
  </si>
  <si>
    <t>HCO-7629</t>
  </si>
  <si>
    <t>Transfer S 23-Jul-21</t>
  </si>
  <si>
    <t>PED. 67915809</t>
  </si>
  <si>
    <t>PED. 67949515</t>
  </si>
  <si>
    <t>PED. 67982019</t>
  </si>
  <si>
    <t>PED. 68046789</t>
  </si>
  <si>
    <t>SEABAORD FOODS</t>
  </si>
  <si>
    <t>PED. 68046790</t>
  </si>
  <si>
    <t>PED. 68114892</t>
  </si>
  <si>
    <t>NLSE21-112</t>
  </si>
  <si>
    <t>NLSE21-113</t>
  </si>
  <si>
    <t>NLSE21-115</t>
  </si>
  <si>
    <t>A-9393</t>
  </si>
  <si>
    <t>PU-92930</t>
  </si>
  <si>
    <t>NLSE21-114</t>
  </si>
  <si>
    <t>D-5171</t>
  </si>
  <si>
    <t>Transfer Bnte 6-Jul-21</t>
  </si>
  <si>
    <t>Transfer Bnte 7-Jul-21</t>
  </si>
  <si>
    <t>Transfer Bnte 8-Jul-21</t>
  </si>
  <si>
    <t>Transfer Bnte 9-Jul-21</t>
  </si>
  <si>
    <t>Transfer Bnte 12-Jul-21</t>
  </si>
  <si>
    <t>Transfer Bnte 13-Jul-21</t>
  </si>
  <si>
    <t>Transfer Bnte 14-Jul-21</t>
  </si>
  <si>
    <t>Transfer Bnte 15-Jul-21</t>
  </si>
  <si>
    <t>Transfer Bnte 16-Jul-21</t>
  </si>
  <si>
    <t>Transfer Bnte 19-Jul-21</t>
  </si>
  <si>
    <t>Transfer Bnte 20-Jul-21</t>
  </si>
  <si>
    <t>Transfer Bnte 21-Jul-21</t>
  </si>
  <si>
    <t>Transfer Bnte 22-Jul-21</t>
  </si>
  <si>
    <t>Transfer Bnte 23-Jul-21</t>
  </si>
  <si>
    <t>Transfer Bnte 26-Jul-21</t>
  </si>
  <si>
    <t>Transfer S 2-Jul-21</t>
  </si>
  <si>
    <t>Transfer S 9-Jul-21</t>
  </si>
  <si>
    <t>Transfer S 14-Jul-21</t>
  </si>
  <si>
    <t>Transfer S 16-Jul-21</t>
  </si>
  <si>
    <t>PUE-8997</t>
  </si>
  <si>
    <t>Transfer S 20-Jul-21</t>
  </si>
  <si>
    <t>Transfer S 22-Jul-21</t>
  </si>
  <si>
    <t>Transfer B 2-Jul-21</t>
  </si>
  <si>
    <t>Transfer B 6-Jul-21</t>
  </si>
  <si>
    <t>Transfer B 7-Jul-21</t>
  </si>
  <si>
    <t>Transfer B 8-Jul-21</t>
  </si>
  <si>
    <t>Transfer B 9-Jul-21</t>
  </si>
  <si>
    <t>Transfer B 12-Jul-21</t>
  </si>
  <si>
    <t>Transfer B 13-Jul-21</t>
  </si>
  <si>
    <t>Transfer B 16-Jul-21</t>
  </si>
  <si>
    <t>Transfer B 19-Jul-21</t>
  </si>
  <si>
    <t>Transfer B 23-Jul-21</t>
  </si>
  <si>
    <t>PED. 68242718</t>
  </si>
  <si>
    <t>PED. 68242922</t>
  </si>
  <si>
    <t>NLSE21-116</t>
  </si>
  <si>
    <t>NLSE21-117</t>
  </si>
  <si>
    <t>PED. 68305343</t>
  </si>
  <si>
    <t xml:space="preserve">I B  P </t>
  </si>
  <si>
    <t>PED. 68358593</t>
  </si>
  <si>
    <t>PED. 68401502</t>
  </si>
  <si>
    <t xml:space="preserve">SEABORD FOODS </t>
  </si>
  <si>
    <t>PED. 68401506</t>
  </si>
  <si>
    <t>A-9394</t>
  </si>
  <si>
    <t>A-9395</t>
  </si>
  <si>
    <t>NLSE21-118</t>
  </si>
  <si>
    <t>NLSE21-119</t>
  </si>
  <si>
    <t>Transfer S 27-Jul-21</t>
  </si>
  <si>
    <t>PU-92418</t>
  </si>
  <si>
    <t>Trabsfer S 27-Jul-21</t>
  </si>
  <si>
    <t>Transfer B 26-Jul-21</t>
  </si>
  <si>
    <t>Transfer B 28-Jul-21</t>
  </si>
  <si>
    <t>Transfer B 29-Jul-21</t>
  </si>
  <si>
    <t>Transfer Bnte 27-Jul-21</t>
  </si>
  <si>
    <t>Trabsfer Bnte 27-Jul-21</t>
  </si>
  <si>
    <t>Transfer Bnte 28-Jul-21</t>
  </si>
  <si>
    <t>Transfer Bnte 29-Jul-21</t>
  </si>
  <si>
    <t>Transfer Bnte 30-Jul-21</t>
  </si>
  <si>
    <t>Transfer B 20-Jul-21</t>
  </si>
  <si>
    <t>Transfer B 21-Jul-21</t>
  </si>
  <si>
    <t>0600 X</t>
  </si>
  <si>
    <t>0601 X</t>
  </si>
  <si>
    <t>0602 X</t>
  </si>
  <si>
    <t>0603 X</t>
  </si>
  <si>
    <t>0604 X</t>
  </si>
  <si>
    <t>0605 X</t>
  </si>
  <si>
    <t>0606 X</t>
  </si>
  <si>
    <t>0607 X</t>
  </si>
  <si>
    <t>0608 X</t>
  </si>
  <si>
    <t>0609 X</t>
  </si>
  <si>
    <t>0610 X</t>
  </si>
  <si>
    <t>0611 X</t>
  </si>
  <si>
    <t>0613 X</t>
  </si>
  <si>
    <t>0614 X</t>
  </si>
  <si>
    <t>0615 X</t>
  </si>
  <si>
    <t>0616 X</t>
  </si>
  <si>
    <t>0617 X</t>
  </si>
  <si>
    <t>0619 X</t>
  </si>
  <si>
    <t>0621 X</t>
  </si>
  <si>
    <t>0631 X</t>
  </si>
  <si>
    <t>0622 X</t>
  </si>
  <si>
    <t>0623 X</t>
  </si>
  <si>
    <t>0625 X</t>
  </si>
  <si>
    <t>0626 X</t>
  </si>
  <si>
    <t>0627 X</t>
  </si>
  <si>
    <t>0628 X</t>
  </si>
  <si>
    <t>0638 X</t>
  </si>
  <si>
    <t>0629 X</t>
  </si>
  <si>
    <t>0630 X</t>
  </si>
  <si>
    <t>0632 X</t>
  </si>
  <si>
    <t>0633 X</t>
  </si>
  <si>
    <t>0634 X</t>
  </si>
  <si>
    <t>0635 X</t>
  </si>
  <si>
    <t>0636 X</t>
  </si>
  <si>
    <t>0637 X</t>
  </si>
  <si>
    <t>0639 X</t>
  </si>
  <si>
    <t>0641 X</t>
  </si>
  <si>
    <t>0642 X</t>
  </si>
  <si>
    <t>0643 X</t>
  </si>
  <si>
    <t>0644 X</t>
  </si>
  <si>
    <t>0645 X</t>
  </si>
  <si>
    <t>0648 X</t>
  </si>
  <si>
    <t>0649 X</t>
  </si>
  <si>
    <t>0653 X</t>
  </si>
  <si>
    <t>0654 X</t>
  </si>
  <si>
    <t>0655 X</t>
  </si>
  <si>
    <t>0656 X</t>
  </si>
  <si>
    <t>0657 X</t>
  </si>
  <si>
    <t>0658 X</t>
  </si>
  <si>
    <t>0660 X</t>
  </si>
  <si>
    <t>0661 X</t>
  </si>
  <si>
    <t>0663 X</t>
  </si>
  <si>
    <t>0664 X</t>
  </si>
  <si>
    <t>0665 X</t>
  </si>
  <si>
    <t>0666 X</t>
  </si>
  <si>
    <t>0667 X</t>
  </si>
  <si>
    <t>0668 X</t>
  </si>
  <si>
    <t>0669 X</t>
  </si>
  <si>
    <t>0670 X</t>
  </si>
  <si>
    <t>0671 X</t>
  </si>
  <si>
    <t>0672 X</t>
  </si>
  <si>
    <t>0673 X</t>
  </si>
  <si>
    <t>0674 X</t>
  </si>
  <si>
    <t>0675 X</t>
  </si>
  <si>
    <t>0676 X</t>
  </si>
  <si>
    <t>0677 X</t>
  </si>
  <si>
    <t>0678 X</t>
  </si>
  <si>
    <t>0679 X</t>
  </si>
  <si>
    <t>0680 X</t>
  </si>
  <si>
    <t>0682 X</t>
  </si>
  <si>
    <t>0683 X</t>
  </si>
  <si>
    <t>0684 X</t>
  </si>
  <si>
    <t>0685 X</t>
  </si>
  <si>
    <t>0686 X</t>
  </si>
  <si>
    <t>0687 X</t>
  </si>
  <si>
    <t>0688 X</t>
  </si>
  <si>
    <t>0689 X</t>
  </si>
  <si>
    <t>0690 X</t>
  </si>
  <si>
    <t>0691 X</t>
  </si>
  <si>
    <t>0692 X</t>
  </si>
  <si>
    <t>0693 X</t>
  </si>
  <si>
    <t>0694 X</t>
  </si>
  <si>
    <t>0695 X</t>
  </si>
  <si>
    <t>0696 X</t>
  </si>
  <si>
    <t>0697 X</t>
  </si>
  <si>
    <t>0698 X</t>
  </si>
  <si>
    <t>0699 X</t>
  </si>
  <si>
    <t>0700 X</t>
  </si>
  <si>
    <t>0701 X</t>
  </si>
  <si>
    <t>0702 X</t>
  </si>
  <si>
    <t>0703 X</t>
  </si>
  <si>
    <t>0704 X</t>
  </si>
  <si>
    <t>0705 X</t>
  </si>
  <si>
    <t>0706 X</t>
  </si>
  <si>
    <t>0708 X</t>
  </si>
  <si>
    <t>0709 X</t>
  </si>
  <si>
    <t>0710 X</t>
  </si>
  <si>
    <t>0711 X</t>
  </si>
  <si>
    <t>0712 X</t>
  </si>
  <si>
    <t>0713 X</t>
  </si>
  <si>
    <t>0715 X</t>
  </si>
  <si>
    <t>0716 X</t>
  </si>
  <si>
    <t>0717 X</t>
  </si>
  <si>
    <t>0718 X</t>
  </si>
  <si>
    <t>0719 X</t>
  </si>
  <si>
    <t>0720 X</t>
  </si>
  <si>
    <t>0722 X</t>
  </si>
  <si>
    <t>0721 X</t>
  </si>
  <si>
    <t>0723 X</t>
  </si>
  <si>
    <t>0724 X</t>
  </si>
  <si>
    <t>0734 X</t>
  </si>
  <si>
    <t>0744 X</t>
  </si>
  <si>
    <t>0754 X</t>
  </si>
  <si>
    <t>0764 X</t>
  </si>
  <si>
    <t>0725 X</t>
  </si>
  <si>
    <t>0726 X</t>
  </si>
  <si>
    <t>0727 X</t>
  </si>
  <si>
    <t>0728 X</t>
  </si>
  <si>
    <t>0730 X</t>
  </si>
  <si>
    <t>0732 X</t>
  </si>
  <si>
    <t>0733 X</t>
  </si>
  <si>
    <t>0742 X</t>
  </si>
  <si>
    <t>0735 X</t>
  </si>
  <si>
    <t>CONTRA Rancho Maravillas</t>
  </si>
  <si>
    <t>0737 X</t>
  </si>
  <si>
    <t>0738 X</t>
  </si>
  <si>
    <t>0739 X</t>
  </si>
  <si>
    <t>0740 X</t>
  </si>
  <si>
    <t>0741 X</t>
  </si>
  <si>
    <t>0743 X</t>
  </si>
  <si>
    <t>0745 X</t>
  </si>
  <si>
    <t>0746 X</t>
  </si>
  <si>
    <t>0747 X</t>
  </si>
  <si>
    <t>0748 X</t>
  </si>
  <si>
    <t>0749 X</t>
  </si>
  <si>
    <t>0750 X</t>
  </si>
  <si>
    <t>0751 X</t>
  </si>
  <si>
    <t>0752 X</t>
  </si>
  <si>
    <t>0753 X</t>
  </si>
  <si>
    <t>0756 X</t>
  </si>
  <si>
    <t>0757 X</t>
  </si>
  <si>
    <t>0759 X</t>
  </si>
  <si>
    <t>0760 X</t>
  </si>
  <si>
    <t>0761 X</t>
  </si>
  <si>
    <t>0763 X</t>
  </si>
  <si>
    <t>0765 X</t>
  </si>
  <si>
    <t>0766 X</t>
  </si>
  <si>
    <t>0767 X</t>
  </si>
  <si>
    <t>0768 X</t>
  </si>
  <si>
    <t>0769 X</t>
  </si>
  <si>
    <t>0770 X</t>
  </si>
  <si>
    <t>0772 X</t>
  </si>
  <si>
    <t>0773 X</t>
  </si>
  <si>
    <t>PU-93200</t>
  </si>
  <si>
    <t>0774 X</t>
  </si>
  <si>
    <t>0775 X</t>
  </si>
  <si>
    <t>0776 x</t>
  </si>
  <si>
    <t>0777 X</t>
  </si>
  <si>
    <t>0778 X</t>
  </si>
  <si>
    <t>0779 X</t>
  </si>
  <si>
    <t>0780 X</t>
  </si>
  <si>
    <t>0783 X</t>
  </si>
  <si>
    <t>0784 X</t>
  </si>
  <si>
    <t>0784 x</t>
  </si>
  <si>
    <t>0785 x</t>
  </si>
  <si>
    <t>0785 X</t>
  </si>
  <si>
    <t>0786 X</t>
  </si>
  <si>
    <t xml:space="preserve">SE  CANCELO X ERROR DE BEATRIZ </t>
  </si>
  <si>
    <t>HCO-7755</t>
  </si>
  <si>
    <t>Transfer S 2-Ago-21--6-Ago-21--9-Ago-21--Transsfer B 4-Ago-21</t>
  </si>
  <si>
    <t>Transfer Bnte 11-Ago-21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</si>
</sst>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1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4" fontId="76" fillId="0" borderId="37" xfId="0" applyNumberFormat="1" applyFont="1" applyBorder="1" applyAlignment="1">
      <alignment horizontal="right"/>
    </xf>
    <xf numFmtId="4" fontId="76" fillId="0" borderId="46" xfId="0" applyNumberFormat="1" applyFont="1" applyBorder="1" applyAlignment="1">
      <alignment horizontal="right"/>
    </xf>
    <xf numFmtId="15" fontId="76" fillId="0" borderId="16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0" fontId="10" fillId="0" borderId="10" xfId="0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7" fillId="22" borderId="0" xfId="0" applyFont="1" applyFill="1" applyAlignment="1">
      <alignment horizontal="center"/>
    </xf>
    <xf numFmtId="44" fontId="28" fillId="0" borderId="0" xfId="1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2" fillId="0" borderId="33" xfId="0" applyFont="1" applyFill="1" applyBorder="1" applyAlignment="1">
      <alignment vertical="center" wrapText="1"/>
    </xf>
    <xf numFmtId="0" fontId="7" fillId="19" borderId="33" xfId="0" applyFont="1" applyFill="1" applyBorder="1" applyAlignment="1">
      <alignment vertical="center"/>
    </xf>
    <xf numFmtId="0" fontId="10" fillId="19" borderId="33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61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4" fontId="7" fillId="5" borderId="0" xfId="0" applyNumberFormat="1" applyFont="1" applyFill="1"/>
    <xf numFmtId="2" fontId="61" fillId="0" borderId="0" xfId="0" applyNumberFormat="1" applyFont="1" applyFill="1"/>
    <xf numFmtId="4" fontId="7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2" fontId="61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4" fontId="8" fillId="7" borderId="0" xfId="0" applyNumberFormat="1" applyFont="1" applyFill="1"/>
    <xf numFmtId="15" fontId="61" fillId="0" borderId="0" xfId="0" applyNumberFormat="1" applyFont="1" applyFill="1"/>
    <xf numFmtId="2" fontId="61" fillId="0" borderId="0" xfId="0" applyNumberFormat="1" applyFont="1"/>
    <xf numFmtId="2" fontId="7" fillId="7" borderId="0" xfId="0" applyNumberFormat="1" applyFont="1" applyFill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8" fillId="7" borderId="0" xfId="0" applyNumberFormat="1" applyFont="1" applyFill="1"/>
    <xf numFmtId="0" fontId="72" fillId="7" borderId="10" xfId="0" applyFont="1" applyFill="1" applyBorder="1" applyAlignment="1">
      <alignment horizontal="right"/>
    </xf>
    <xf numFmtId="164" fontId="72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10" fillId="7" borderId="0" xfId="0" applyNumberFormat="1" applyFont="1" applyFill="1"/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64" fontId="10" fillId="2" borderId="33" xfId="0" applyNumberFormat="1" applyFont="1" applyFill="1" applyBorder="1" applyAlignment="1"/>
    <xf numFmtId="164" fontId="77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center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/>
    <xf numFmtId="164" fontId="10" fillId="14" borderId="33" xfId="0" applyNumberFormat="1" applyFont="1" applyFill="1" applyBorder="1" applyAlignment="1">
      <alignment horizontal="center"/>
    </xf>
    <xf numFmtId="44" fontId="10" fillId="14" borderId="33" xfId="1" applyFont="1" applyFill="1" applyBorder="1"/>
    <xf numFmtId="164" fontId="10" fillId="14" borderId="33" xfId="0" applyNumberFormat="1" applyFont="1" applyFill="1" applyBorder="1"/>
    <xf numFmtId="164" fontId="10" fillId="14" borderId="33" xfId="0" applyNumberFormat="1" applyFont="1" applyFill="1" applyBorder="1" applyAlignment="1"/>
    <xf numFmtId="44" fontId="10" fillId="13" borderId="33" xfId="1" applyFont="1" applyFill="1" applyBorder="1" applyAlignment="1">
      <alignment horizontal="center"/>
    </xf>
    <xf numFmtId="44" fontId="10" fillId="13" borderId="33" xfId="1" applyFont="1" applyFill="1" applyBorder="1"/>
    <xf numFmtId="44" fontId="10" fillId="13" borderId="33" xfId="1" applyFont="1" applyFill="1" applyBorder="1" applyAlignment="1">
      <alignment horizontal="right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horizontal="center" vertical="center"/>
    </xf>
    <xf numFmtId="164" fontId="7" fillId="4" borderId="70" xfId="0" applyNumberFormat="1" applyFont="1" applyFill="1" applyBorder="1" applyAlignment="1">
      <alignment horizontal="center" vertical="center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3" borderId="66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00FF"/>
      <color rgb="FFFFCCFF"/>
      <color rgb="FF9966FF"/>
      <color rgb="FF00FFCC"/>
      <color rgb="FF99FF99"/>
      <color rgb="FFFF3399"/>
      <color rgb="FFFF66FF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L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L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44380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44386</c:v>
                </c:pt>
                <c:pt idx="5">
                  <c:v>44390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44393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44400</c:v>
                </c:pt>
                <c:pt idx="16">
                  <c:v>44401</c:v>
                </c:pt>
                <c:pt idx="17">
                  <c:v>44404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L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18636.759999999998</c:v>
                </c:pt>
                <c:pt idx="1">
                  <c:v>18141.189999999999</c:v>
                </c:pt>
                <c:pt idx="2">
                  <c:v>18202.98</c:v>
                </c:pt>
                <c:pt idx="3">
                  <c:v>18357.259999999998</c:v>
                </c:pt>
                <c:pt idx="4">
                  <c:v>18402.41</c:v>
                </c:pt>
                <c:pt idx="5">
                  <c:v>17426</c:v>
                </c:pt>
                <c:pt idx="6">
                  <c:v>17228.71</c:v>
                </c:pt>
                <c:pt idx="7">
                  <c:v>18470.04</c:v>
                </c:pt>
                <c:pt idx="8">
                  <c:v>18111.57</c:v>
                </c:pt>
                <c:pt idx="9">
                  <c:v>17560.47</c:v>
                </c:pt>
                <c:pt idx="10">
                  <c:v>17728.400000000001</c:v>
                </c:pt>
                <c:pt idx="11">
                  <c:v>18974.37</c:v>
                </c:pt>
                <c:pt idx="12">
                  <c:v>18966.86</c:v>
                </c:pt>
                <c:pt idx="13">
                  <c:v>18606.96</c:v>
                </c:pt>
                <c:pt idx="14">
                  <c:v>18873.689999999999</c:v>
                </c:pt>
                <c:pt idx="15">
                  <c:v>18670.79</c:v>
                </c:pt>
                <c:pt idx="16">
                  <c:v>18785.68</c:v>
                </c:pt>
                <c:pt idx="17">
                  <c:v>18528.189999999999</c:v>
                </c:pt>
                <c:pt idx="18">
                  <c:v>18836.849999999999</c:v>
                </c:pt>
                <c:pt idx="19">
                  <c:v>18824.84</c:v>
                </c:pt>
                <c:pt idx="20">
                  <c:v>18923.88</c:v>
                </c:pt>
                <c:pt idx="21">
                  <c:v>18892.21</c:v>
                </c:pt>
                <c:pt idx="22">
                  <c:v>18932.599999999999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L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L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18757</c:v>
                </c:pt>
                <c:pt idx="1">
                  <c:v>18124.09</c:v>
                </c:pt>
                <c:pt idx="2">
                  <c:v>18212.54</c:v>
                </c:pt>
                <c:pt idx="3">
                  <c:v>18364.599999999999</c:v>
                </c:pt>
                <c:pt idx="4">
                  <c:v>18427.099999999999</c:v>
                </c:pt>
                <c:pt idx="5">
                  <c:v>17415.2</c:v>
                </c:pt>
                <c:pt idx="6">
                  <c:v>17238.3</c:v>
                </c:pt>
                <c:pt idx="7">
                  <c:v>18473.759999999998</c:v>
                </c:pt>
                <c:pt idx="8">
                  <c:v>18428.46</c:v>
                </c:pt>
                <c:pt idx="9">
                  <c:v>17595.099999999999</c:v>
                </c:pt>
                <c:pt idx="10">
                  <c:v>17730.8</c:v>
                </c:pt>
                <c:pt idx="11">
                  <c:v>18970.599999999999</c:v>
                </c:pt>
                <c:pt idx="12">
                  <c:v>18992.2</c:v>
                </c:pt>
                <c:pt idx="13">
                  <c:v>18631.2</c:v>
                </c:pt>
                <c:pt idx="14">
                  <c:v>18921.7</c:v>
                </c:pt>
                <c:pt idx="15">
                  <c:v>18681.2</c:v>
                </c:pt>
                <c:pt idx="16">
                  <c:v>18876.14</c:v>
                </c:pt>
                <c:pt idx="17">
                  <c:v>18562.099999999999</c:v>
                </c:pt>
                <c:pt idx="18">
                  <c:v>18882.400000000001</c:v>
                </c:pt>
                <c:pt idx="19">
                  <c:v>18783.54</c:v>
                </c:pt>
                <c:pt idx="20">
                  <c:v>19009.060000000001</c:v>
                </c:pt>
                <c:pt idx="21">
                  <c:v>18979.099999999999</c:v>
                </c:pt>
                <c:pt idx="22">
                  <c:v>18988.7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-120.2400000000016</c:v>
                </c:pt>
                <c:pt idx="1">
                  <c:v>17.099999999998545</c:v>
                </c:pt>
                <c:pt idx="2">
                  <c:v>-9.5600000000013097</c:v>
                </c:pt>
                <c:pt idx="3">
                  <c:v>-7.3400000000001455</c:v>
                </c:pt>
                <c:pt idx="4">
                  <c:v>-24.68999999999869</c:v>
                </c:pt>
                <c:pt idx="5">
                  <c:v>10.799999999999272</c:v>
                </c:pt>
                <c:pt idx="6">
                  <c:v>-9.5900000000001455</c:v>
                </c:pt>
                <c:pt idx="7">
                  <c:v>-3.7199999999975262</c:v>
                </c:pt>
                <c:pt idx="8">
                  <c:v>-316.88999999999942</c:v>
                </c:pt>
                <c:pt idx="9">
                  <c:v>-34.629999999997381</c:v>
                </c:pt>
                <c:pt idx="10">
                  <c:v>-2.3999999999978172</c:v>
                </c:pt>
                <c:pt idx="11">
                  <c:v>3.7700000000004366</c:v>
                </c:pt>
                <c:pt idx="12">
                  <c:v>-25.340000000000146</c:v>
                </c:pt>
                <c:pt idx="13">
                  <c:v>-24.240000000001601</c:v>
                </c:pt>
                <c:pt idx="14">
                  <c:v>-48.010000000002037</c:v>
                </c:pt>
                <c:pt idx="15">
                  <c:v>-10.409999999999854</c:v>
                </c:pt>
                <c:pt idx="16">
                  <c:v>-90.459999999999127</c:v>
                </c:pt>
                <c:pt idx="17">
                  <c:v>-33.909999999999854</c:v>
                </c:pt>
                <c:pt idx="18">
                  <c:v>-45.55000000000291</c:v>
                </c:pt>
                <c:pt idx="19">
                  <c:v>41.299999999999272</c:v>
                </c:pt>
                <c:pt idx="20">
                  <c:v>-85.180000000000291</c:v>
                </c:pt>
                <c:pt idx="21">
                  <c:v>-86.889999999999418</c:v>
                </c:pt>
                <c:pt idx="22">
                  <c:v>-56.100000000002183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9913</c:v>
                </c:pt>
                <c:pt idx="4">
                  <c:v>11963</c:v>
                </c:pt>
                <c:pt idx="5">
                  <c:v>11813</c:v>
                </c:pt>
                <c:pt idx="6">
                  <c:v>10963</c:v>
                </c:pt>
                <c:pt idx="7">
                  <c:v>10963</c:v>
                </c:pt>
                <c:pt idx="8">
                  <c:v>9663</c:v>
                </c:pt>
                <c:pt idx="9">
                  <c:v>9663</c:v>
                </c:pt>
                <c:pt idx="10">
                  <c:v>11963</c:v>
                </c:pt>
                <c:pt idx="11">
                  <c:v>11963</c:v>
                </c:pt>
                <c:pt idx="12">
                  <c:v>9663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11963</c:v>
                </c:pt>
                <c:pt idx="18">
                  <c:v>9663</c:v>
                </c:pt>
                <c:pt idx="19">
                  <c:v>11973</c:v>
                </c:pt>
                <c:pt idx="20">
                  <c:v>10963</c:v>
                </c:pt>
                <c:pt idx="21">
                  <c:v>9663</c:v>
                </c:pt>
                <c:pt idx="22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65089</c:v>
                </c:pt>
                <c:pt idx="2">
                  <c:v>66402</c:v>
                </c:pt>
                <c:pt idx="3">
                  <c:v>1919506</c:v>
                </c:pt>
                <c:pt idx="4">
                  <c:v>1919210</c:v>
                </c:pt>
                <c:pt idx="5">
                  <c:v>1920571</c:v>
                </c:pt>
                <c:pt idx="6">
                  <c:v>1920570</c:v>
                </c:pt>
                <c:pt idx="7">
                  <c:v>75042</c:v>
                </c:pt>
                <c:pt idx="8">
                  <c:v>75612</c:v>
                </c:pt>
                <c:pt idx="9">
                  <c:v>1921977</c:v>
                </c:pt>
                <c:pt idx="10">
                  <c:v>1921976</c:v>
                </c:pt>
                <c:pt idx="11">
                  <c:v>1922642</c:v>
                </c:pt>
                <c:pt idx="12">
                  <c:v>1922643</c:v>
                </c:pt>
                <c:pt idx="13">
                  <c:v>85515</c:v>
                </c:pt>
                <c:pt idx="14">
                  <c:v>1925636</c:v>
                </c:pt>
                <c:pt idx="15">
                  <c:v>1925637</c:v>
                </c:pt>
                <c:pt idx="16">
                  <c:v>90278</c:v>
                </c:pt>
                <c:pt idx="17">
                  <c:v>1925638</c:v>
                </c:pt>
                <c:pt idx="18">
                  <c:v>1925639</c:v>
                </c:pt>
                <c:pt idx="19">
                  <c:v>93925</c:v>
                </c:pt>
                <c:pt idx="20">
                  <c:v>97072</c:v>
                </c:pt>
                <c:pt idx="21">
                  <c:v>1926596</c:v>
                </c:pt>
                <c:pt idx="22">
                  <c:v>1926597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4292</c:v>
                </c:pt>
                <c:pt idx="2">
                  <c:v>4640</c:v>
                </c:pt>
                <c:pt idx="3">
                  <c:v>4564.6000000000004</c:v>
                </c:pt>
                <c:pt idx="4">
                  <c:v>4564.6000000000004</c:v>
                </c:pt>
                <c:pt idx="5" formatCode="&quot;$&quot;#,##0.00">
                  <c:v>4640</c:v>
                </c:pt>
                <c:pt idx="6">
                  <c:v>4582</c:v>
                </c:pt>
                <c:pt idx="7" formatCode="_(&quot;$&quot;* #,##0.00_);_(&quot;$&quot;* \(#,##0.00\);_(&quot;$&quot;* &quot;-&quot;??_);_(@_)">
                  <c:v>5046</c:v>
                </c:pt>
                <c:pt idx="8" formatCode="&quot;$&quot;#,##0.00">
                  <c:v>4988</c:v>
                </c:pt>
                <c:pt idx="9" formatCode="&quot;$&quot;#,##0.00">
                  <c:v>4814</c:v>
                </c:pt>
                <c:pt idx="10" formatCode="&quot;$&quot;#,##0.00">
                  <c:v>4872</c:v>
                </c:pt>
                <c:pt idx="11" formatCode="_(&quot;$&quot;* #,##0.00_);_(&quot;$&quot;* \(#,##0.00\);_(&quot;$&quot;* &quot;-&quot;??_);_(@_)">
                  <c:v>5347.6</c:v>
                </c:pt>
                <c:pt idx="12" formatCode="_(&quot;$&quot;* #,##0.00_);_(&quot;$&quot;* \(#,##0.00\);_(&quot;$&quot;* &quot;-&quot;??_);_(@_)">
                  <c:v>5347.6</c:v>
                </c:pt>
                <c:pt idx="13" formatCode="_(&quot;$&quot;* #,##0.00_);_(&quot;$&quot;* \(#,##0.00\);_(&quot;$&quot;* &quot;-&quot;??_);_(@_)">
                  <c:v>5452</c:v>
                </c:pt>
                <c:pt idx="14" formatCode="_(&quot;$&quot;* #,##0.00_);_(&quot;$&quot;* \(#,##0.00\);_(&quot;$&quot;* &quot;-&quot;??_);_(@_)">
                  <c:v>5510</c:v>
                </c:pt>
                <c:pt idx="15" formatCode="_(&quot;$&quot;* #,##0.00_);_(&quot;$&quot;* \(#,##0.00\);_(&quot;$&quot;* &quot;-&quot;??_);_(@_)">
                  <c:v>5510</c:v>
                </c:pt>
                <c:pt idx="16" formatCode="_(&quot;$&quot;* #,##0.00_);_(&quot;$&quot;* \(#,##0.00\);_(&quot;$&quot;* &quot;-&quot;??_);_(@_)">
                  <c:v>5452</c:v>
                </c:pt>
                <c:pt idx="17" formatCode="_(&quot;$&quot;* #,##0.00_);_(&quot;$&quot;* \(#,##0.00\);_(&quot;$&quot;* &quot;-&quot;??_);_(@_)">
                  <c:v>5713</c:v>
                </c:pt>
                <c:pt idx="18" formatCode="_(&quot;$&quot;* #,##0.00_);_(&quot;$&quot;* \(#,##0.00\);_(&quot;$&quot;* &quot;-&quot;??_);_(@_)">
                  <c:v>5800</c:v>
                </c:pt>
                <c:pt idx="19" formatCode="_(&quot;$&quot;* #,##0.00_);_(&quot;$&quot;* \(#,##0.00\);_(&quot;$&quot;* &quot;-&quot;??_);_(@_)">
                  <c:v>5829</c:v>
                </c:pt>
                <c:pt idx="20" formatCode="_(&quot;$&quot;* #,##0.00_);_(&quot;$&quot;* \(#,##0.00\);_(&quot;$&quot;* &quot;-&quot;??_);_(@_)">
                  <c:v>5916</c:v>
                </c:pt>
                <c:pt idx="21" formatCode="_(&quot;$&quot;* #,##0.00_);_(&quot;$&quot;* \(#,##0.00\);_(&quot;$&quot;* &quot;-&quot;??_);_(@_)">
                  <c:v>5695.6</c:v>
                </c:pt>
                <c:pt idx="22" formatCode="_(&quot;$&quot;* #,##0.00_);_(&quot;$&quot;* \(#,##0.00\);_(&quot;$&quot;* &quot;-&quot;??_);_(@_)">
                  <c:v>5701.4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676951.4</c:v>
                </c:pt>
                <c:pt idx="2">
                  <c:v>733442.04960000003</c:v>
                </c:pt>
                <c:pt idx="3">
                  <c:v>733498.04109999991</c:v>
                </c:pt>
                <c:pt idx="4">
                  <c:v>735998.25</c:v>
                </c:pt>
                <c:pt idx="5">
                  <c:v>748968.30715000001</c:v>
                </c:pt>
                <c:pt idx="6">
                  <c:v>741360.40944999992</c:v>
                </c:pt>
                <c:pt idx="7">
                  <c:v>800372.44319999998</c:v>
                </c:pt>
                <c:pt idx="8">
                  <c:v>780742.76650000014</c:v>
                </c:pt>
                <c:pt idx="9" formatCode="_(&quot;$&quot;* #,##0.00_);_(&quot;$&quot;* \(#,##0.00\);_(&quot;$&quot;* &quot;-&quot;??_);_(@_)">
                  <c:v>768950.12899999996</c:v>
                </c:pt>
                <c:pt idx="10" formatCode="_(&quot;$&quot;* #,##0.00_);_(&quot;$&quot;* \(#,##0.00\);_(&quot;$&quot;* &quot;-&quot;??_);_(@_)">
                  <c:v>775635.99600000016</c:v>
                </c:pt>
                <c:pt idx="11" formatCode="_(&quot;$&quot;* #,##0.00_);_(&quot;$&quot;* \(#,##0.00\);_(&quot;$&quot;* &quot;-&quot;??_);_(@_)">
                  <c:v>869941.37520000001</c:v>
                </c:pt>
                <c:pt idx="12">
                  <c:v>870939.65700000001</c:v>
                </c:pt>
                <c:pt idx="13">
                  <c:v>871807.50990000006</c:v>
                </c:pt>
                <c:pt idx="14">
                  <c:v>882259.07195000001</c:v>
                </c:pt>
                <c:pt idx="15">
                  <c:v>871049.89745000016</c:v>
                </c:pt>
                <c:pt idx="16">
                  <c:v>891619.28950000007</c:v>
                </c:pt>
                <c:pt idx="17">
                  <c:v>920289.6468000001</c:v>
                </c:pt>
                <c:pt idx="18">
                  <c:v>938304.62684000004</c:v>
                </c:pt>
                <c:pt idx="19">
                  <c:v>927213.07654000004</c:v>
                </c:pt>
                <c:pt idx="20">
                  <c:v>942608.26620000007</c:v>
                </c:pt>
                <c:pt idx="21">
                  <c:v>931754.53752000001</c:v>
                </c:pt>
                <c:pt idx="22">
                  <c:v>931018.39190000005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722366.4</c:v>
                </c:pt>
                <c:pt idx="2">
                  <c:v>780055.04960000003</c:v>
                </c:pt>
                <c:pt idx="3">
                  <c:v>778135.64109999989</c:v>
                </c:pt>
                <c:pt idx="4">
                  <c:v>782685.85</c:v>
                </c:pt>
                <c:pt idx="5">
                  <c:v>790941.30715000001</c:v>
                </c:pt>
                <c:pt idx="6">
                  <c:v>787065.40944999992</c:v>
                </c:pt>
                <c:pt idx="7">
                  <c:v>846541.44319999998</c:v>
                </c:pt>
                <c:pt idx="8">
                  <c:v>825553.76650000014</c:v>
                </c:pt>
                <c:pt idx="9">
                  <c:v>813587.12899999996</c:v>
                </c:pt>
                <c:pt idx="10">
                  <c:v>817758.99600000016</c:v>
                </c:pt>
                <c:pt idx="11">
                  <c:v>869941.37520000001</c:v>
                </c:pt>
                <c:pt idx="12">
                  <c:v>916110.25699999998</c:v>
                </c:pt>
                <c:pt idx="13">
                  <c:v>919382.50990000006</c:v>
                </c:pt>
                <c:pt idx="14">
                  <c:v>928892.07195000001</c:v>
                </c:pt>
                <c:pt idx="15">
                  <c:v>913022.89745000016</c:v>
                </c:pt>
                <c:pt idx="16">
                  <c:v>936894.28950000007</c:v>
                </c:pt>
                <c:pt idx="17">
                  <c:v>968125.6468000001</c:v>
                </c:pt>
                <c:pt idx="18">
                  <c:v>983927.62684000004</c:v>
                </c:pt>
                <c:pt idx="19">
                  <c:v>975175.07654000004</c:v>
                </c:pt>
                <c:pt idx="20">
                  <c:v>989647.26620000007</c:v>
                </c:pt>
                <c:pt idx="21">
                  <c:v>977273.13751999999</c:v>
                </c:pt>
                <c:pt idx="22">
                  <c:v>978842.79190000007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39.956699012198683</c:v>
                </c:pt>
                <c:pt idx="2">
                  <c:v>42.930656767260359</c:v>
                </c:pt>
                <c:pt idx="3">
                  <c:v>42.371499575269809</c:v>
                </c:pt>
                <c:pt idx="4">
                  <c:v>42.574716585897946</c:v>
                </c:pt>
                <c:pt idx="5">
                  <c:v>45.516722584294179</c:v>
                </c:pt>
                <c:pt idx="6">
                  <c:v>45.757948257658818</c:v>
                </c:pt>
                <c:pt idx="7">
                  <c:v>45.92399269017244</c:v>
                </c:pt>
                <c:pt idx="8">
                  <c:v>44.797762075615658</c:v>
                </c:pt>
                <c:pt idx="9">
                  <c:v>46.239414893919331</c:v>
                </c:pt>
                <c:pt idx="10">
                  <c:v>46.120817785999513</c:v>
                </c:pt>
                <c:pt idx="11">
                  <c:v>45.857346378079768</c:v>
                </c:pt>
                <c:pt idx="12">
                  <c:v>48.23613151714914</c:v>
                </c:pt>
                <c:pt idx="13">
                  <c:v>49.446392604877843</c:v>
                </c:pt>
                <c:pt idx="14">
                  <c:v>49.191364515344816</c:v>
                </c:pt>
                <c:pt idx="15">
                  <c:v>48.973889121148545</c:v>
                </c:pt>
                <c:pt idx="16">
                  <c:v>49.733785800486757</c:v>
                </c:pt>
                <c:pt idx="17">
                  <c:v>52.156040900544667</c:v>
                </c:pt>
                <c:pt idx="18">
                  <c:v>52.208186821590473</c:v>
                </c:pt>
                <c:pt idx="19">
                  <c:v>52.016469235298565</c:v>
                </c:pt>
                <c:pt idx="20">
                  <c:v>52.161872927961724</c:v>
                </c:pt>
                <c:pt idx="21">
                  <c:v>51.492069567050073</c:v>
                </c:pt>
                <c:pt idx="22">
                  <c:v>51.548699589756012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M97" activePane="bottomRight" state="frozen"/>
      <selection pane="topRight" activeCell="B1" sqref="B1"/>
      <selection pane="bottomLeft" activeCell="A3" sqref="A3"/>
      <selection pane="bottomRight" activeCell="T108" sqref="T108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2" customWidth="1"/>
    <col min="13" max="13" width="14.140625" bestFit="1" customWidth="1"/>
    <col min="14" max="14" width="16" style="199" customWidth="1"/>
    <col min="15" max="15" width="16.28515625" style="657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274</v>
      </c>
      <c r="C1" s="51"/>
      <c r="D1" s="105"/>
      <c r="E1" s="835"/>
      <c r="F1" s="56"/>
      <c r="G1" s="789"/>
      <c r="H1" s="56"/>
      <c r="I1" s="393"/>
      <c r="K1" s="1101" t="s">
        <v>26</v>
      </c>
      <c r="L1" s="745"/>
      <c r="M1" s="1103" t="s">
        <v>27</v>
      </c>
      <c r="N1" s="499"/>
      <c r="P1" s="101" t="s">
        <v>38</v>
      </c>
      <c r="Q1" s="1099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6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102"/>
      <c r="L2" s="746" t="s">
        <v>29</v>
      </c>
      <c r="M2" s="1104"/>
      <c r="N2" s="500" t="s">
        <v>29</v>
      </c>
      <c r="O2" s="658" t="s">
        <v>30</v>
      </c>
      <c r="P2" s="102" t="s">
        <v>39</v>
      </c>
      <c r="Q2" s="1100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7">
        <f>PIERNA!E3</f>
        <v>0</v>
      </c>
      <c r="F3" s="825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7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6" t="str">
        <f>PIERNA!B4</f>
        <v>SEABOARD FOODS</v>
      </c>
      <c r="C4" s="283" t="str">
        <f>PIERNA!C4</f>
        <v>Seaboard</v>
      </c>
      <c r="D4" s="977" t="str">
        <f>PIERNA!D4</f>
        <v>PED. 67191520</v>
      </c>
      <c r="E4" s="978">
        <f>PIERNA!E4</f>
        <v>44380</v>
      </c>
      <c r="F4" s="825">
        <f>PIERNA!F4</f>
        <v>18636.759999999998</v>
      </c>
      <c r="G4" s="104">
        <f>PIERNA!G4</f>
        <v>21</v>
      </c>
      <c r="H4" s="593">
        <f>PIERNA!H4</f>
        <v>18757</v>
      </c>
      <c r="I4" s="110">
        <f>PIERNA!I4</f>
        <v>-120.2400000000016</v>
      </c>
      <c r="J4" s="581"/>
      <c r="K4" s="643"/>
      <c r="L4" s="644"/>
      <c r="M4" s="643"/>
      <c r="N4" s="645"/>
      <c r="O4" s="659"/>
      <c r="P4" s="646"/>
      <c r="Q4" s="936"/>
      <c r="R4" s="937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5" t="str">
        <f>PIERNA!B5</f>
        <v>TYSON FRESH MEAT</v>
      </c>
      <c r="C5" s="283" t="str">
        <f>PIERNA!C5</f>
        <v xml:space="preserve">I B P </v>
      </c>
      <c r="D5" s="269" t="str">
        <f>PIERNA!D5</f>
        <v>PED. 67341220</v>
      </c>
      <c r="E5" s="143">
        <f>PIERNA!E5</f>
        <v>44384</v>
      </c>
      <c r="F5" s="825">
        <f>PIERNA!F5</f>
        <v>18141.189999999999</v>
      </c>
      <c r="G5" s="104">
        <f>PIERNA!G5</f>
        <v>20</v>
      </c>
      <c r="H5" s="593">
        <f>PIERNA!H5</f>
        <v>18124.09</v>
      </c>
      <c r="I5" s="110">
        <f>PIERNA!I5</f>
        <v>17.099999999998545</v>
      </c>
      <c r="J5" s="581" t="s">
        <v>304</v>
      </c>
      <c r="K5" s="643">
        <v>10963</v>
      </c>
      <c r="L5" s="644" t="s">
        <v>343</v>
      </c>
      <c r="M5" s="643">
        <v>30160</v>
      </c>
      <c r="N5" s="645" t="s">
        <v>344</v>
      </c>
      <c r="O5" s="648">
        <v>65089</v>
      </c>
      <c r="P5" s="1084">
        <v>4292</v>
      </c>
      <c r="Q5" s="646">
        <f>33847.57*20</f>
        <v>676951.4</v>
      </c>
      <c r="R5" s="647" t="s">
        <v>367</v>
      </c>
      <c r="S5" s="68">
        <f>Q5+M5+K5+P5</f>
        <v>722366.4</v>
      </c>
      <c r="T5" s="68">
        <f>S5/H5+0.1</f>
        <v>39.956699012198683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67370448</v>
      </c>
      <c r="E6" s="143">
        <f>PIERNA!E6</f>
        <v>44385</v>
      </c>
      <c r="F6" s="825">
        <f>PIERNA!F6</f>
        <v>18202.98</v>
      </c>
      <c r="G6" s="104">
        <f>PIERNA!G6</f>
        <v>20</v>
      </c>
      <c r="H6" s="593">
        <f>PIERNA!H6</f>
        <v>18212.54</v>
      </c>
      <c r="I6" s="110">
        <f>PIERNA!I6</f>
        <v>-9.5600000000013097</v>
      </c>
      <c r="J6" s="581" t="s">
        <v>305</v>
      </c>
      <c r="K6" s="643">
        <v>11813</v>
      </c>
      <c r="L6" s="644" t="s">
        <v>344</v>
      </c>
      <c r="M6" s="643">
        <v>30160</v>
      </c>
      <c r="N6" s="645" t="s">
        <v>345</v>
      </c>
      <c r="O6" s="648">
        <v>66402</v>
      </c>
      <c r="P6" s="1084">
        <v>4640</v>
      </c>
      <c r="Q6" s="646">
        <f>36819.38*19.92</f>
        <v>733442.04960000003</v>
      </c>
      <c r="R6" s="647" t="s">
        <v>369</v>
      </c>
      <c r="S6" s="68">
        <f t="shared" si="0"/>
        <v>780055.04960000003</v>
      </c>
      <c r="T6" s="68">
        <f>S6/H6+0.1</f>
        <v>42.930656767260359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SEABOARD FOODS</v>
      </c>
      <c r="C7" s="283" t="str">
        <f>PIERNA!C7</f>
        <v>Seaboard</v>
      </c>
      <c r="D7" s="107" t="str">
        <f>PIERNA!D7</f>
        <v>PED. 67376353</v>
      </c>
      <c r="E7" s="143">
        <f>PIERNA!E7</f>
        <v>44386</v>
      </c>
      <c r="F7" s="825">
        <f>PIERNA!F7</f>
        <v>18357.259999999998</v>
      </c>
      <c r="G7" s="104">
        <f>PIERNA!G7</f>
        <v>21</v>
      </c>
      <c r="H7" s="593">
        <f>PIERNA!H7</f>
        <v>18364.599999999999</v>
      </c>
      <c r="I7" s="110">
        <f>PIERNA!I7</f>
        <v>-7.3400000000001455</v>
      </c>
      <c r="J7" s="581" t="s">
        <v>311</v>
      </c>
      <c r="K7" s="649">
        <v>9913</v>
      </c>
      <c r="L7" s="644" t="s">
        <v>345</v>
      </c>
      <c r="M7" s="643">
        <v>30160</v>
      </c>
      <c r="N7" s="645" t="s">
        <v>346</v>
      </c>
      <c r="O7" s="648">
        <v>1919506</v>
      </c>
      <c r="P7" s="1085">
        <v>4564.6000000000004</v>
      </c>
      <c r="Q7" s="646">
        <f>36924.14*19.865</f>
        <v>733498.04109999991</v>
      </c>
      <c r="R7" s="647" t="s">
        <v>358</v>
      </c>
      <c r="S7" s="68">
        <f t="shared" si="0"/>
        <v>778135.64109999989</v>
      </c>
      <c r="T7" s="68">
        <f>S7/H7</f>
        <v>42.371499575269809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 t="str">
        <f>PIERNA!B8</f>
        <v>SEABOARD FOODS</v>
      </c>
      <c r="C8" s="981" t="str">
        <f>PIERNA!C8</f>
        <v>Pernil con piel</v>
      </c>
      <c r="D8" s="107" t="str">
        <f>PIERNA!D8</f>
        <v>PED. 67376354</v>
      </c>
      <c r="E8" s="143">
        <f>PIERNA!E8</f>
        <v>44386</v>
      </c>
      <c r="F8" s="825">
        <f>PIERNA!F8</f>
        <v>18402.41</v>
      </c>
      <c r="G8" s="104">
        <f>PIERNA!G8</f>
        <v>21</v>
      </c>
      <c r="H8" s="593">
        <f>PIERNA!H8</f>
        <v>18427.099999999999</v>
      </c>
      <c r="I8" s="110">
        <f>PIERNA!I8</f>
        <v>-24.68999999999869</v>
      </c>
      <c r="J8" s="581" t="s">
        <v>312</v>
      </c>
      <c r="K8" s="643">
        <v>11963</v>
      </c>
      <c r="L8" s="644" t="s">
        <v>345</v>
      </c>
      <c r="M8" s="643">
        <v>30160</v>
      </c>
      <c r="N8" s="645" t="s">
        <v>346</v>
      </c>
      <c r="O8" s="659">
        <v>1919210</v>
      </c>
      <c r="P8" s="1083">
        <v>4564.6000000000004</v>
      </c>
      <c r="Q8" s="646">
        <f>37050*19.865</f>
        <v>735998.25</v>
      </c>
      <c r="R8" s="647" t="s">
        <v>365</v>
      </c>
      <c r="S8" s="68">
        <f t="shared" si="0"/>
        <v>782685.85</v>
      </c>
      <c r="T8" s="68">
        <f t="shared" ref="T8:T41" si="4">S8/H8+0.1</f>
        <v>42.574716585897946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5" t="str">
        <f>PIERNA!B9</f>
        <v>SEABOARD FOODS</v>
      </c>
      <c r="C9" s="283" t="str">
        <f>PIERNA!C9</f>
        <v>Seaboard</v>
      </c>
      <c r="D9" s="107" t="str">
        <f>PIERNA!D9</f>
        <v>PED. 67598629</v>
      </c>
      <c r="E9" s="143">
        <f>PIERNA!E9</f>
        <v>44390</v>
      </c>
      <c r="F9" s="825">
        <f>PIERNA!F9</f>
        <v>17426</v>
      </c>
      <c r="G9" s="104">
        <f>PIERNA!G9</f>
        <v>20</v>
      </c>
      <c r="H9" s="593">
        <f>PIERNA!H9</f>
        <v>17415.2</v>
      </c>
      <c r="I9" s="110">
        <f>PIERNA!I9</f>
        <v>10.799999999999272</v>
      </c>
      <c r="J9" s="581" t="s">
        <v>316</v>
      </c>
      <c r="K9" s="643">
        <v>11813</v>
      </c>
      <c r="L9" s="644" t="s">
        <v>347</v>
      </c>
      <c r="M9" s="643">
        <v>30160</v>
      </c>
      <c r="N9" s="645" t="s">
        <v>348</v>
      </c>
      <c r="O9" s="648">
        <v>1920571</v>
      </c>
      <c r="P9" s="1086">
        <v>4640</v>
      </c>
      <c r="Q9" s="646">
        <f>37702.91*19.865</f>
        <v>748968.30715000001</v>
      </c>
      <c r="R9" s="647" t="s">
        <v>366</v>
      </c>
      <c r="S9" s="68">
        <f>Q9+M9+K9</f>
        <v>790941.30715000001</v>
      </c>
      <c r="T9" s="68">
        <f t="shared" si="4"/>
        <v>45.516722584294179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67598934</v>
      </c>
      <c r="E10" s="143">
        <f>PIERNA!E10</f>
        <v>44390</v>
      </c>
      <c r="F10" s="825">
        <f>PIERNA!F10</f>
        <v>17228.71</v>
      </c>
      <c r="G10" s="104">
        <f>PIERNA!G10</f>
        <v>20</v>
      </c>
      <c r="H10" s="593">
        <f>PIERNA!H10</f>
        <v>17238.3</v>
      </c>
      <c r="I10" s="110">
        <f>PIERNA!I10</f>
        <v>-9.5900000000001455</v>
      </c>
      <c r="J10" s="581" t="s">
        <v>317</v>
      </c>
      <c r="K10" s="643">
        <v>10963</v>
      </c>
      <c r="L10" s="644" t="s">
        <v>347</v>
      </c>
      <c r="M10" s="643">
        <v>30160</v>
      </c>
      <c r="N10" s="645" t="s">
        <v>348</v>
      </c>
      <c r="O10" s="648">
        <v>1920570</v>
      </c>
      <c r="P10" s="1084">
        <v>4582</v>
      </c>
      <c r="Q10" s="646">
        <f>37319.93*19.865</f>
        <v>741360.40944999992</v>
      </c>
      <c r="R10" s="647" t="s">
        <v>366</v>
      </c>
      <c r="S10" s="68">
        <f>Q10+M10+K10+P10</f>
        <v>787065.40944999992</v>
      </c>
      <c r="T10" s="68">
        <f>S10/H10+0.1</f>
        <v>45.757948257658818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TYSON FRESH MEAT</v>
      </c>
      <c r="C11" s="283" t="str">
        <f>PIERNA!C11</f>
        <v xml:space="preserve">I B P </v>
      </c>
      <c r="D11" s="107" t="str">
        <f>PIERNA!D11</f>
        <v>PED. 67651435</v>
      </c>
      <c r="E11" s="143">
        <f>PIERNA!E11</f>
        <v>44391</v>
      </c>
      <c r="F11" s="825">
        <f>PIERNA!F11</f>
        <v>18470.04</v>
      </c>
      <c r="G11" s="104">
        <f>PIERNA!G11</f>
        <v>20</v>
      </c>
      <c r="H11" s="593">
        <f>PIERNA!H11</f>
        <v>18473.759999999998</v>
      </c>
      <c r="I11" s="110">
        <f>PIERNA!I11</f>
        <v>-3.7199999999975262</v>
      </c>
      <c r="J11" s="581" t="s">
        <v>320</v>
      </c>
      <c r="K11" s="643">
        <v>10963</v>
      </c>
      <c r="L11" s="644" t="s">
        <v>348</v>
      </c>
      <c r="M11" s="643">
        <v>30160</v>
      </c>
      <c r="N11" s="645" t="s">
        <v>349</v>
      </c>
      <c r="O11" s="660">
        <v>75042</v>
      </c>
      <c r="P11" s="1087">
        <v>5046</v>
      </c>
      <c r="Q11" s="646">
        <f>40199.52*19.91</f>
        <v>800372.44319999998</v>
      </c>
      <c r="R11" s="647" t="s">
        <v>360</v>
      </c>
      <c r="S11" s="68">
        <f t="shared" si="0"/>
        <v>846541.44319999998</v>
      </c>
      <c r="T11" s="68">
        <f>S11/H11+0.1</f>
        <v>45.92399269017244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4" t="str">
        <f>PIERNA!B12</f>
        <v>TYSON FRESH MEAT</v>
      </c>
      <c r="C12" s="283" t="str">
        <f>PIERNA!C12</f>
        <v xml:space="preserve">I  B P </v>
      </c>
      <c r="D12" s="107" t="str">
        <f>PIERNA!D12</f>
        <v>PED. 67721256</v>
      </c>
      <c r="E12" s="143">
        <f>PIERNA!E12</f>
        <v>44392</v>
      </c>
      <c r="F12" s="825">
        <f>PIERNA!F12</f>
        <v>18111.57</v>
      </c>
      <c r="G12" s="104">
        <f>PIERNA!G12</f>
        <v>20</v>
      </c>
      <c r="H12" s="593">
        <f>PIERNA!H12</f>
        <v>18428.46</v>
      </c>
      <c r="I12" s="110">
        <f>PIERNA!I12</f>
        <v>-316.88999999999942</v>
      </c>
      <c r="J12" s="581" t="s">
        <v>321</v>
      </c>
      <c r="K12" s="643">
        <v>9663</v>
      </c>
      <c r="L12" s="644" t="s">
        <v>349</v>
      </c>
      <c r="M12" s="643">
        <v>30160</v>
      </c>
      <c r="N12" s="645" t="s">
        <v>350</v>
      </c>
      <c r="O12" s="660">
        <v>75612</v>
      </c>
      <c r="P12" s="1086">
        <v>4988</v>
      </c>
      <c r="Q12" s="646">
        <f>39262.9*19.885</f>
        <v>780742.76650000014</v>
      </c>
      <c r="R12" s="647" t="s">
        <v>361</v>
      </c>
      <c r="S12" s="68">
        <f t="shared" si="0"/>
        <v>825553.76650000014</v>
      </c>
      <c r="T12" s="68">
        <f>S12/H12</f>
        <v>44.797762075615658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67783274</v>
      </c>
      <c r="E13" s="143">
        <f>PIERNA!E13</f>
        <v>44393</v>
      </c>
      <c r="F13" s="825">
        <f>PIERNA!F13</f>
        <v>17560.47</v>
      </c>
      <c r="G13" s="104">
        <f>PIERNA!G13</f>
        <v>20</v>
      </c>
      <c r="H13" s="593">
        <f>PIERNA!H13</f>
        <v>17595.099999999999</v>
      </c>
      <c r="I13" s="110">
        <f>PIERNA!I13</f>
        <v>-34.629999999997381</v>
      </c>
      <c r="J13" s="650" t="s">
        <v>322</v>
      </c>
      <c r="K13" s="643">
        <v>9663</v>
      </c>
      <c r="L13" s="644" t="s">
        <v>350</v>
      </c>
      <c r="M13" s="643">
        <v>30160</v>
      </c>
      <c r="N13" s="645" t="s">
        <v>351</v>
      </c>
      <c r="O13" s="660">
        <v>1921977</v>
      </c>
      <c r="P13" s="1088">
        <v>4814</v>
      </c>
      <c r="Q13" s="649">
        <f>38640.71*19.9</f>
        <v>768950.12899999996</v>
      </c>
      <c r="R13" s="647" t="s">
        <v>370</v>
      </c>
      <c r="S13" s="68">
        <f t="shared" si="0"/>
        <v>813587.12899999996</v>
      </c>
      <c r="T13" s="68">
        <f>S13/H13</f>
        <v>46.239414893919331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67783308</v>
      </c>
      <c r="E14" s="143">
        <f>PIERNA!E14</f>
        <v>44393</v>
      </c>
      <c r="F14" s="825">
        <f>PIERNA!F14</f>
        <v>17728.400000000001</v>
      </c>
      <c r="G14" s="104">
        <f>PIERNA!G14</f>
        <v>20</v>
      </c>
      <c r="H14" s="593">
        <f>PIERNA!H14</f>
        <v>17730.8</v>
      </c>
      <c r="I14" s="110">
        <f>PIERNA!I14</f>
        <v>-2.3999999999978172</v>
      </c>
      <c r="J14" s="581" t="s">
        <v>323</v>
      </c>
      <c r="K14" s="643">
        <v>11963</v>
      </c>
      <c r="L14" s="644" t="s">
        <v>350</v>
      </c>
      <c r="M14" s="643">
        <v>30160</v>
      </c>
      <c r="N14" s="645" t="s">
        <v>351</v>
      </c>
      <c r="O14" s="648">
        <v>1921976</v>
      </c>
      <c r="P14" s="1086">
        <v>4872</v>
      </c>
      <c r="Q14" s="649">
        <f>38937.55*19.92</f>
        <v>775635.99600000016</v>
      </c>
      <c r="R14" s="651" t="s">
        <v>359</v>
      </c>
      <c r="S14" s="68">
        <f>Q14+M14+K14</f>
        <v>817758.99600000016</v>
      </c>
      <c r="T14" s="68">
        <f>S14/H14</f>
        <v>46.120817785999513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5" t="str">
        <f>PIERNA!B15</f>
        <v>SEABOARD FOODS</v>
      </c>
      <c r="C15" s="283" t="str">
        <f>PIERNA!C15</f>
        <v>Seaboard</v>
      </c>
      <c r="D15" s="107" t="str">
        <f>PIERNA!D15</f>
        <v>PED. 67915809</v>
      </c>
      <c r="E15" s="143">
        <f>PIERNA!E15</f>
        <v>44397</v>
      </c>
      <c r="F15" s="825">
        <f>PIERNA!F15</f>
        <v>18974.37</v>
      </c>
      <c r="G15" s="104">
        <f>PIERNA!G15</f>
        <v>21</v>
      </c>
      <c r="H15" s="593">
        <f>PIERNA!H15</f>
        <v>18970.599999999999</v>
      </c>
      <c r="I15" s="110">
        <f>PIERNA!I15</f>
        <v>3.7700000000004366</v>
      </c>
      <c r="J15" s="650" t="s">
        <v>336</v>
      </c>
      <c r="K15" s="643">
        <v>11963</v>
      </c>
      <c r="L15" s="644" t="s">
        <v>352</v>
      </c>
      <c r="M15" s="643">
        <v>30160</v>
      </c>
      <c r="N15" s="652" t="s">
        <v>353</v>
      </c>
      <c r="O15" s="659">
        <v>1922642</v>
      </c>
      <c r="P15" s="1090">
        <v>5347.6</v>
      </c>
      <c r="Q15" s="649">
        <f>43345.36*20.07</f>
        <v>869941.37520000001</v>
      </c>
      <c r="R15" s="653" t="s">
        <v>371</v>
      </c>
      <c r="S15" s="68">
        <f>Q15</f>
        <v>869941.37520000001</v>
      </c>
      <c r="T15" s="68">
        <f>S15/H15</f>
        <v>45.857346378079768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SEABOARD FOODS</v>
      </c>
      <c r="C16" s="166" t="str">
        <f>PIERNA!C16</f>
        <v>Seaboard</v>
      </c>
      <c r="D16" s="107" t="str">
        <f>PIERNA!D16</f>
        <v>PED. 67949515</v>
      </c>
      <c r="E16" s="143">
        <f>PIERNA!E16</f>
        <v>44398</v>
      </c>
      <c r="F16" s="825">
        <f>PIERNA!F16</f>
        <v>18966.86</v>
      </c>
      <c r="G16" s="104">
        <f>PIERNA!G16</f>
        <v>21</v>
      </c>
      <c r="H16" s="593">
        <f>PIERNA!H16</f>
        <v>18992.2</v>
      </c>
      <c r="I16" s="110">
        <f>PIERNA!I16</f>
        <v>-25.340000000000146</v>
      </c>
      <c r="J16" s="674" t="s">
        <v>337</v>
      </c>
      <c r="K16" s="643">
        <v>9663</v>
      </c>
      <c r="L16" s="644" t="s">
        <v>352</v>
      </c>
      <c r="M16" s="643">
        <v>30160</v>
      </c>
      <c r="N16" s="652" t="s">
        <v>354</v>
      </c>
      <c r="O16" s="648">
        <v>1922643</v>
      </c>
      <c r="P16" s="1091">
        <v>5347.6</v>
      </c>
      <c r="Q16" s="646">
        <f>43395.1*20.07</f>
        <v>870939.65700000001</v>
      </c>
      <c r="R16" s="647" t="s">
        <v>371</v>
      </c>
      <c r="S16" s="68">
        <f t="shared" si="0"/>
        <v>916110.25699999998</v>
      </c>
      <c r="T16" s="68">
        <f>S16/H16</f>
        <v>48.23613151714914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5" t="str">
        <f>PIERNA!B17</f>
        <v>TYSON FRESH MEAT</v>
      </c>
      <c r="C17" s="166" t="str">
        <f>PIERNA!C17</f>
        <v xml:space="preserve">I B P </v>
      </c>
      <c r="D17" s="107" t="str">
        <f>PIERNA!D17</f>
        <v>PED. 67982019</v>
      </c>
      <c r="E17" s="143">
        <f>PIERNA!E17</f>
        <v>44399</v>
      </c>
      <c r="F17" s="825">
        <f>PIERNA!F17</f>
        <v>18606.96</v>
      </c>
      <c r="G17" s="104">
        <f>PIERNA!G17</f>
        <v>20</v>
      </c>
      <c r="H17" s="593">
        <f>PIERNA!H17</f>
        <v>18631.2</v>
      </c>
      <c r="I17" s="110">
        <f>PIERNA!I17</f>
        <v>-24.240000000001601</v>
      </c>
      <c r="J17" s="581" t="s">
        <v>339</v>
      </c>
      <c r="K17" s="643">
        <v>11963</v>
      </c>
      <c r="L17" s="644" t="s">
        <v>354</v>
      </c>
      <c r="M17" s="643">
        <v>30160</v>
      </c>
      <c r="N17" s="652" t="s">
        <v>355</v>
      </c>
      <c r="O17" s="648">
        <v>85515</v>
      </c>
      <c r="P17" s="1091">
        <v>5452</v>
      </c>
      <c r="Q17" s="646">
        <f>43276.62*20.145</f>
        <v>871807.50990000006</v>
      </c>
      <c r="R17" s="651" t="s">
        <v>364</v>
      </c>
      <c r="S17" s="68">
        <f t="shared" si="0"/>
        <v>919382.50990000006</v>
      </c>
      <c r="T17" s="68">
        <f t="shared" si="4"/>
        <v>49.446392604877843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68046789</v>
      </c>
      <c r="E18" s="143">
        <f>PIERNA!E18</f>
        <v>44400</v>
      </c>
      <c r="F18" s="825">
        <f>PIERNA!F18</f>
        <v>18873.689999999999</v>
      </c>
      <c r="G18" s="104">
        <f>PIERNA!G18</f>
        <v>21</v>
      </c>
      <c r="H18" s="593">
        <f>PIERNA!H18</f>
        <v>18921.7</v>
      </c>
      <c r="I18" s="110">
        <f>PIERNA!I18</f>
        <v>-48.010000000002037</v>
      </c>
      <c r="J18" s="581" t="s">
        <v>341</v>
      </c>
      <c r="K18" s="649">
        <v>10963</v>
      </c>
      <c r="L18" s="748" t="s">
        <v>355</v>
      </c>
      <c r="M18" s="643">
        <v>30160</v>
      </c>
      <c r="N18" s="645" t="s">
        <v>356</v>
      </c>
      <c r="O18" s="661">
        <v>1925636</v>
      </c>
      <c r="P18" s="1092">
        <v>5510</v>
      </c>
      <c r="Q18" s="646">
        <f>44368.07*19.885</f>
        <v>882259.07195000001</v>
      </c>
      <c r="R18" s="647" t="s">
        <v>372</v>
      </c>
      <c r="S18" s="68">
        <f t="shared" si="0"/>
        <v>928892.07195000001</v>
      </c>
      <c r="T18" s="68">
        <f t="shared" si="4"/>
        <v>49.191364515344816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5" t="str">
        <f>PIERNA!B19</f>
        <v>SEABAORD FOODS</v>
      </c>
      <c r="C19" s="166" t="str">
        <f>PIERNA!C19</f>
        <v>Seaboard</v>
      </c>
      <c r="D19" s="107" t="str">
        <f>PIERNA!D19</f>
        <v>PED. 68046790</v>
      </c>
      <c r="E19" s="143">
        <f>PIERNA!E19</f>
        <v>44400</v>
      </c>
      <c r="F19" s="825">
        <f>PIERNA!F19</f>
        <v>18670.79</v>
      </c>
      <c r="G19" s="104">
        <f>PIERNA!G19</f>
        <v>21</v>
      </c>
      <c r="H19" s="593">
        <f>PIERNA!H19</f>
        <v>18681.2</v>
      </c>
      <c r="I19" s="110">
        <f>PIERNA!I19</f>
        <v>-10.409999999999854</v>
      </c>
      <c r="J19" s="581" t="s">
        <v>338</v>
      </c>
      <c r="K19" s="643">
        <v>11813</v>
      </c>
      <c r="L19" s="644" t="s">
        <v>355</v>
      </c>
      <c r="M19" s="643">
        <v>30160</v>
      </c>
      <c r="N19" s="645" t="s">
        <v>356</v>
      </c>
      <c r="O19" s="648">
        <v>1925637</v>
      </c>
      <c r="P19" s="1090">
        <v>5510</v>
      </c>
      <c r="Q19" s="646">
        <f>43804.37*19.885</f>
        <v>871049.89745000016</v>
      </c>
      <c r="R19" s="654" t="s">
        <v>373</v>
      </c>
      <c r="S19" s="68">
        <f>Q19+M19+K19</f>
        <v>913022.89745000016</v>
      </c>
      <c r="T19" s="68">
        <f>S19/H19+0.1</f>
        <v>48.973889121148545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TYSON FRESH MEAT</v>
      </c>
      <c r="C20" s="79" t="str">
        <f>PIERNA!C20</f>
        <v xml:space="preserve">I B P </v>
      </c>
      <c r="D20" s="107" t="str">
        <f>PIERNA!D20</f>
        <v>PED. 68114892</v>
      </c>
      <c r="E20" s="143">
        <f>PIERNA!E20</f>
        <v>44401</v>
      </c>
      <c r="F20" s="825">
        <f>PIERNA!F20</f>
        <v>18785.68</v>
      </c>
      <c r="G20" s="104">
        <f>PIERNA!G20</f>
        <v>20</v>
      </c>
      <c r="H20" s="593">
        <f>PIERNA!H20</f>
        <v>18876.14</v>
      </c>
      <c r="I20" s="110">
        <f>PIERNA!I20</f>
        <v>-90.459999999999127</v>
      </c>
      <c r="J20" s="581" t="s">
        <v>342</v>
      </c>
      <c r="K20" s="643">
        <v>9663</v>
      </c>
      <c r="L20" s="644" t="s">
        <v>356</v>
      </c>
      <c r="M20" s="643">
        <v>30160</v>
      </c>
      <c r="N20" s="645" t="s">
        <v>357</v>
      </c>
      <c r="O20" s="648">
        <v>90278</v>
      </c>
      <c r="P20" s="1092">
        <v>5452</v>
      </c>
      <c r="Q20" s="646">
        <f>44469.79*20.05</f>
        <v>891619.28950000007</v>
      </c>
      <c r="R20" s="654" t="s">
        <v>374</v>
      </c>
      <c r="S20" s="68">
        <f t="shared" si="0"/>
        <v>936894.28950000007</v>
      </c>
      <c r="T20" s="68">
        <f>S20/H20+0.1</f>
        <v>49.733785800486757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68242718</v>
      </c>
      <c r="E21" s="143">
        <f>PIERNA!E21</f>
        <v>44404</v>
      </c>
      <c r="F21" s="825">
        <f>PIERNA!F21</f>
        <v>18528.189999999999</v>
      </c>
      <c r="G21" s="104">
        <f>PIERNA!G21</f>
        <v>21</v>
      </c>
      <c r="H21" s="593">
        <f>PIERNA!H21</f>
        <v>18562.099999999999</v>
      </c>
      <c r="I21" s="110">
        <f>PIERNA!I21</f>
        <v>-33.909999999999854</v>
      </c>
      <c r="J21" s="581" t="s">
        <v>377</v>
      </c>
      <c r="K21" s="643">
        <v>11963</v>
      </c>
      <c r="L21" s="644" t="s">
        <v>357</v>
      </c>
      <c r="M21" s="643">
        <v>30160</v>
      </c>
      <c r="N21" s="645" t="s">
        <v>396</v>
      </c>
      <c r="O21" s="648">
        <v>1925638</v>
      </c>
      <c r="P21" s="1092">
        <v>5713</v>
      </c>
      <c r="Q21" s="646">
        <f>45694.62*20.14</f>
        <v>920289.6468000001</v>
      </c>
      <c r="R21" s="654" t="s">
        <v>400</v>
      </c>
      <c r="S21" s="68">
        <f t="shared" si="0"/>
        <v>968125.6468000001</v>
      </c>
      <c r="T21" s="68">
        <f>S21/H21</f>
        <v>52.156040900544667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68242922</v>
      </c>
      <c r="E22" s="273">
        <f>PIERNA!E22</f>
        <v>44404</v>
      </c>
      <c r="F22" s="829">
        <f>PIERNA!F22</f>
        <v>18836.849999999999</v>
      </c>
      <c r="G22" s="284">
        <f>PIERNA!G22</f>
        <v>21</v>
      </c>
      <c r="H22" s="594">
        <f>PIERNA!H22</f>
        <v>18882.400000000001</v>
      </c>
      <c r="I22" s="302">
        <f>PIERNA!I22</f>
        <v>-45.55000000000291</v>
      </c>
      <c r="J22" s="581" t="s">
        <v>378</v>
      </c>
      <c r="K22" s="643">
        <v>9663</v>
      </c>
      <c r="L22" s="644" t="s">
        <v>357</v>
      </c>
      <c r="M22" s="643">
        <v>30160</v>
      </c>
      <c r="N22" s="645" t="s">
        <v>395</v>
      </c>
      <c r="O22" s="660">
        <v>1925639</v>
      </c>
      <c r="P22" s="1090">
        <v>5800</v>
      </c>
      <c r="Q22" s="646">
        <f>46482.94*20.186</f>
        <v>938304.62684000004</v>
      </c>
      <c r="R22" s="654" t="s">
        <v>401</v>
      </c>
      <c r="S22" s="68">
        <f t="shared" si="0"/>
        <v>983927.62684000004</v>
      </c>
      <c r="T22" s="68">
        <f t="shared" si="4"/>
        <v>52.208186821590473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TYSON FRESH MEAT</v>
      </c>
      <c r="C23" s="166" t="str">
        <f>PIERNA!C23</f>
        <v>PED. 68305343</v>
      </c>
      <c r="D23" s="269" t="str">
        <f>PIERNA!D23</f>
        <v>PED. 68305343</v>
      </c>
      <c r="E23" s="273">
        <f>PIERNA!E23</f>
        <v>44405</v>
      </c>
      <c r="F23" s="829">
        <f>PIERNA!F23</f>
        <v>18824.84</v>
      </c>
      <c r="G23" s="284">
        <f>PIERNA!G23</f>
        <v>20</v>
      </c>
      <c r="H23" s="594">
        <f>PIERNA!H23</f>
        <v>18783.54</v>
      </c>
      <c r="I23" s="302">
        <f>PIERNA!I23</f>
        <v>41.299999999999272</v>
      </c>
      <c r="J23" s="581" t="s">
        <v>385</v>
      </c>
      <c r="K23" s="643">
        <v>11973</v>
      </c>
      <c r="L23" s="644" t="s">
        <v>395</v>
      </c>
      <c r="M23" s="643">
        <v>30160</v>
      </c>
      <c r="N23" s="645" t="s">
        <v>397</v>
      </c>
      <c r="O23" s="661">
        <v>93925</v>
      </c>
      <c r="P23" s="1092">
        <v>5829</v>
      </c>
      <c r="Q23" s="646">
        <f>46446.58*19.963</f>
        <v>927213.07654000004</v>
      </c>
      <c r="R23" s="654" t="s">
        <v>393</v>
      </c>
      <c r="S23" s="68">
        <f t="shared" si="0"/>
        <v>975175.07654000004</v>
      </c>
      <c r="T23" s="68">
        <f t="shared" si="4"/>
        <v>52.016469235298565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3" t="str">
        <f>PIERNA!B24</f>
        <v>TYSON FRESH MEAT</v>
      </c>
      <c r="C24" s="166" t="str">
        <f>PIERNA!C24</f>
        <v xml:space="preserve">I B  P </v>
      </c>
      <c r="D24" s="619" t="str">
        <f>PIERNA!D24</f>
        <v>PED. 68358593</v>
      </c>
      <c r="E24" s="273">
        <f>PIERNA!E24</f>
        <v>44406</v>
      </c>
      <c r="F24" s="829">
        <f>PIERNA!F24</f>
        <v>18923.88</v>
      </c>
      <c r="G24" s="284">
        <f>PIERNA!G24</f>
        <v>20</v>
      </c>
      <c r="H24" s="594">
        <f>PIERNA!H24</f>
        <v>19009.060000000001</v>
      </c>
      <c r="I24" s="302">
        <f>PIERNA!I24</f>
        <v>-85.180000000000291</v>
      </c>
      <c r="J24" s="581" t="s">
        <v>386</v>
      </c>
      <c r="K24" s="643">
        <v>10963</v>
      </c>
      <c r="L24" s="644" t="s">
        <v>397</v>
      </c>
      <c r="M24" s="643">
        <v>30160</v>
      </c>
      <c r="N24" s="645" t="s">
        <v>398</v>
      </c>
      <c r="O24" s="648">
        <v>97072</v>
      </c>
      <c r="P24" s="1092">
        <v>5916</v>
      </c>
      <c r="Q24" s="646">
        <f>47272.23*19.94</f>
        <v>942608.26620000007</v>
      </c>
      <c r="R24" s="654" t="s">
        <v>394</v>
      </c>
      <c r="S24" s="68">
        <f t="shared" si="0"/>
        <v>989647.26620000007</v>
      </c>
      <c r="T24" s="68">
        <f t="shared" si="4"/>
        <v>52.161872927961724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 t="str">
        <f>PIERNA!HM5</f>
        <v>SEABOARD FOODS</v>
      </c>
      <c r="C25" s="68" t="str">
        <f>PIERNA!HN5</f>
        <v>Seaboard</v>
      </c>
      <c r="D25" s="619" t="str">
        <f>PIERNA!HO5</f>
        <v>PED. 68401502</v>
      </c>
      <c r="E25" s="273">
        <f>PIERNA!E25</f>
        <v>44407</v>
      </c>
      <c r="F25" s="829">
        <f>PIERNA!HQ5</f>
        <v>18892.21</v>
      </c>
      <c r="G25" s="284">
        <f>PIERNA!HR5</f>
        <v>21</v>
      </c>
      <c r="H25" s="594">
        <f>PIERNA!HS5</f>
        <v>18979.099999999999</v>
      </c>
      <c r="I25" s="302">
        <f>PIERNA!I25</f>
        <v>-86.889999999999418</v>
      </c>
      <c r="J25" s="581" t="s">
        <v>387</v>
      </c>
      <c r="K25" s="643">
        <v>9663</v>
      </c>
      <c r="L25" s="644" t="s">
        <v>398</v>
      </c>
      <c r="M25" s="643">
        <v>30160</v>
      </c>
      <c r="N25" s="654" t="s">
        <v>399</v>
      </c>
      <c r="O25" s="648">
        <v>1926596</v>
      </c>
      <c r="P25" s="1090">
        <v>5695.6</v>
      </c>
      <c r="Q25" s="646">
        <f>46273.07*20.136</f>
        <v>931754.53752000001</v>
      </c>
      <c r="R25" s="626" t="s">
        <v>328</v>
      </c>
      <c r="S25" s="68">
        <f t="shared" si="0"/>
        <v>977273.13751999999</v>
      </c>
      <c r="T25" s="68">
        <f>S25/H25</f>
        <v>51.492069567050073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897" t="str">
        <f>PIERNA!HW5</f>
        <v xml:space="preserve">SEABORD FOODS </v>
      </c>
      <c r="C26" s="166" t="str">
        <f>PIERNA!HX5</f>
        <v>Seaboard</v>
      </c>
      <c r="D26" s="619" t="str">
        <f>PIERNA!HY5</f>
        <v>PED. 68401506</v>
      </c>
      <c r="E26" s="273">
        <f>PIERNA!HZ5</f>
        <v>44407</v>
      </c>
      <c r="F26" s="829">
        <f>PIERNA!IA5</f>
        <v>18932.599999999999</v>
      </c>
      <c r="G26" s="281">
        <f>PIERNA!IB5</f>
        <v>21</v>
      </c>
      <c r="H26" s="594">
        <f>PIERNA!IC5</f>
        <v>18988.7</v>
      </c>
      <c r="I26" s="302">
        <f>PIERNA!I26</f>
        <v>-56.100000000002183</v>
      </c>
      <c r="J26" s="581" t="s">
        <v>388</v>
      </c>
      <c r="K26" s="643">
        <v>11963</v>
      </c>
      <c r="L26" s="644" t="s">
        <v>398</v>
      </c>
      <c r="M26" s="643">
        <v>30160</v>
      </c>
      <c r="N26" s="654" t="s">
        <v>399</v>
      </c>
      <c r="O26" s="648">
        <v>1926597</v>
      </c>
      <c r="P26" s="1092">
        <v>5701.4</v>
      </c>
      <c r="Q26" s="646">
        <f>46296.29*20.11</f>
        <v>931018.39190000005</v>
      </c>
      <c r="R26" s="654" t="s">
        <v>392</v>
      </c>
      <c r="S26" s="68">
        <f t="shared" si="0"/>
        <v>978842.79190000007</v>
      </c>
      <c r="T26" s="68">
        <f>S26/H26</f>
        <v>51.548699589756012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29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4"/>
      <c r="O27" s="648"/>
      <c r="P27" s="646"/>
      <c r="Q27" s="646"/>
      <c r="R27" s="654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29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4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29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4"/>
      <c r="O29" s="661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30">
        <f>PIERNA!JO5</f>
        <v>0</v>
      </c>
      <c r="G30" s="721">
        <f>PIERNA!JP5</f>
        <v>0</v>
      </c>
      <c r="H30" s="722">
        <f>PIERNA!JQ5</f>
        <v>0</v>
      </c>
      <c r="I30" s="302">
        <f>PIERNA!I30</f>
        <v>0</v>
      </c>
      <c r="J30" s="581"/>
      <c r="K30" s="643"/>
      <c r="L30" s="644"/>
      <c r="M30" s="643"/>
      <c r="N30" s="654"/>
      <c r="O30" s="661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1">
        <f>PIERNA!JV5</f>
        <v>0</v>
      </c>
      <c r="D31" s="619">
        <f>PIERNA!JW5</f>
        <v>0</v>
      </c>
      <c r="E31" s="497">
        <f>PIERNA!JX5</f>
        <v>0</v>
      </c>
      <c r="F31" s="830">
        <f>PIERNA!JY5</f>
        <v>0</v>
      </c>
      <c r="G31" s="721">
        <f>PIERNA!JZ5</f>
        <v>0</v>
      </c>
      <c r="H31" s="722">
        <f>PIERNA!KA5</f>
        <v>0</v>
      </c>
      <c r="I31" s="110">
        <f>PIERNA!I31</f>
        <v>0</v>
      </c>
      <c r="J31" s="581"/>
      <c r="K31" s="643"/>
      <c r="L31" s="644"/>
      <c r="M31" s="643"/>
      <c r="N31" s="654"/>
      <c r="O31" s="661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30">
        <f>PIERNA!KI5</f>
        <v>0</v>
      </c>
      <c r="G32" s="721">
        <f>PIERNA!KJ5</f>
        <v>0</v>
      </c>
      <c r="H32" s="722">
        <f>PIERNA!KK5</f>
        <v>0</v>
      </c>
      <c r="I32" s="110">
        <f>PIERNA!I32</f>
        <v>0</v>
      </c>
      <c r="J32" s="581"/>
      <c r="K32" s="643"/>
      <c r="L32" s="644"/>
      <c r="M32" s="643"/>
      <c r="N32" s="654"/>
      <c r="O32" s="661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62">
        <f>PIERNA!KS5</f>
        <v>0</v>
      </c>
      <c r="G33" s="963">
        <f>PIERNA!KT5</f>
        <v>0</v>
      </c>
      <c r="H33" s="722">
        <f>PIERNA!KU5</f>
        <v>0</v>
      </c>
      <c r="I33" s="110">
        <f>PIERNA!I33</f>
        <v>0</v>
      </c>
      <c r="J33" s="581"/>
      <c r="K33" s="649"/>
      <c r="L33" s="644"/>
      <c r="M33" s="643"/>
      <c r="N33" s="654"/>
      <c r="O33" s="661"/>
      <c r="P33" s="725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2">
        <f>PIERNA!C34</f>
        <v>0</v>
      </c>
      <c r="D34" s="619">
        <f>PIERNA!D34</f>
        <v>0</v>
      </c>
      <c r="E34" s="497">
        <f>PIERNA!E34</f>
        <v>0</v>
      </c>
      <c r="F34" s="962">
        <f>PIERNA!F34</f>
        <v>0</v>
      </c>
      <c r="G34" s="963">
        <f>PIERNA!G34</f>
        <v>0</v>
      </c>
      <c r="H34" s="722">
        <f>PIERNA!H34</f>
        <v>0</v>
      </c>
      <c r="I34" s="110">
        <f>PIERNA!I34</f>
        <v>0</v>
      </c>
      <c r="J34" s="581"/>
      <c r="K34" s="643"/>
      <c r="L34" s="644"/>
      <c r="M34" s="643"/>
      <c r="N34" s="654"/>
      <c r="O34" s="723"/>
      <c r="P34" s="724"/>
      <c r="Q34" s="727"/>
      <c r="R34" s="728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2">
        <f>PIERNA!C35</f>
        <v>0</v>
      </c>
      <c r="D35" s="619">
        <f>PIERNA!D35</f>
        <v>0</v>
      </c>
      <c r="E35" s="497">
        <f>PIERNA!E35</f>
        <v>0</v>
      </c>
      <c r="F35" s="962">
        <f>PIERNA!F35</f>
        <v>0</v>
      </c>
      <c r="G35" s="964">
        <f>PIERNA!G35</f>
        <v>0</v>
      </c>
      <c r="H35" s="722">
        <f>PIERNA!H35</f>
        <v>0</v>
      </c>
      <c r="I35" s="110">
        <f>PIERNA!I35</f>
        <v>0</v>
      </c>
      <c r="J35" s="581"/>
      <c r="K35" s="643"/>
      <c r="L35" s="644"/>
      <c r="M35" s="643"/>
      <c r="N35" s="654"/>
      <c r="O35" s="723"/>
      <c r="P35" s="725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2">
        <f>PIERNA!C36</f>
        <v>0</v>
      </c>
      <c r="D36" s="619">
        <f>PIERNA!D36</f>
        <v>0</v>
      </c>
      <c r="E36" s="838">
        <f>PIERNA!E36</f>
        <v>0</v>
      </c>
      <c r="F36" s="831">
        <f>PIERNA!F36</f>
        <v>0</v>
      </c>
      <c r="G36" s="712">
        <f>PIERNA!G36</f>
        <v>0</v>
      </c>
      <c r="H36" s="711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3"/>
      <c r="P36" s="725"/>
      <c r="Q36" s="643"/>
      <c r="R36" s="726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5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4"/>
      <c r="O37" s="648"/>
      <c r="P37" s="646"/>
      <c r="Q37" s="646"/>
      <c r="R37" s="654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4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699"/>
      <c r="O39" s="661"/>
      <c r="P39" s="700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7"/>
      <c r="L40" s="644"/>
      <c r="M40" s="643"/>
      <c r="N40" s="699"/>
      <c r="O40" s="661"/>
      <c r="P40" s="700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698"/>
      <c r="L41" s="644"/>
      <c r="M41" s="643"/>
      <c r="N41" s="699"/>
      <c r="O41" s="661"/>
      <c r="P41" s="700"/>
      <c r="Q41" s="907"/>
      <c r="R41" s="908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5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7"/>
      <c r="L42" s="644"/>
      <c r="M42" s="643"/>
      <c r="N42" s="699"/>
      <c r="O42" s="661"/>
      <c r="P42" s="700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5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7"/>
      <c r="L43" s="644"/>
      <c r="M43" s="643"/>
      <c r="N43" s="699"/>
      <c r="O43" s="661"/>
      <c r="P43" s="700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5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6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5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6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5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2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5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3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5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2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5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2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5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2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5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2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5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2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5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2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5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2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2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2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5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2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5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2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5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2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5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2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5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49"/>
      <c r="M60" s="557"/>
      <c r="N60" s="318"/>
      <c r="O60" s="662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5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2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5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2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5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2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5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2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5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2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5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4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5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4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5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4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5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4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5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5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5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5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5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5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5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5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5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5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5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5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5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5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5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5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5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5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5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5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5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5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5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5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5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5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5"/>
      <c r="G96" s="176"/>
      <c r="H96" s="593"/>
      <c r="I96" s="110"/>
      <c r="J96" s="543"/>
      <c r="K96" s="314"/>
      <c r="L96" s="322"/>
      <c r="M96" s="292"/>
      <c r="N96" s="567"/>
      <c r="O96" s="662"/>
      <c r="P96" s="842"/>
      <c r="Q96" s="809"/>
      <c r="R96" s="810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5"/>
      <c r="G97" s="176"/>
      <c r="H97" s="593"/>
      <c r="I97" s="110"/>
      <c r="J97" s="811"/>
      <c r="K97" s="643"/>
      <c r="L97" s="644"/>
      <c r="M97" s="643"/>
      <c r="N97" s="969"/>
      <c r="O97" s="871"/>
      <c r="P97" s="646"/>
      <c r="Q97" s="643"/>
      <c r="R97" s="726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95" t="s">
        <v>68</v>
      </c>
      <c r="C98" s="601" t="s">
        <v>301</v>
      </c>
      <c r="D98" s="601"/>
      <c r="E98" s="1097">
        <v>44382</v>
      </c>
      <c r="F98" s="915">
        <v>2037.4</v>
      </c>
      <c r="G98" s="1030">
        <v>97</v>
      </c>
      <c r="H98" s="915">
        <v>2037.4</v>
      </c>
      <c r="I98" s="883">
        <f t="shared" ref="I98:I105" si="17">H98-F98</f>
        <v>0</v>
      </c>
      <c r="J98" s="811"/>
      <c r="K98" s="640"/>
      <c r="L98" s="670"/>
      <c r="M98" s="640"/>
      <c r="N98" s="891"/>
      <c r="O98" s="1107" t="s">
        <v>324</v>
      </c>
      <c r="P98" s="1105" t="s">
        <v>325</v>
      </c>
      <c r="Q98" s="640">
        <v>234301</v>
      </c>
      <c r="R98" s="1093" t="s">
        <v>326</v>
      </c>
      <c r="S98" s="68">
        <f t="shared" si="14"/>
        <v>234301</v>
      </c>
      <c r="T98" s="197">
        <f t="shared" si="16"/>
        <v>115</v>
      </c>
    </row>
    <row r="99" spans="1:20" s="166" customFormat="1" ht="22.5" customHeight="1" x14ac:dyDescent="0.25">
      <c r="A99" s="104">
        <v>62</v>
      </c>
      <c r="B99" s="1096"/>
      <c r="C99" s="601" t="s">
        <v>302</v>
      </c>
      <c r="D99" s="601"/>
      <c r="E99" s="1098"/>
      <c r="F99" s="915">
        <v>1026.55</v>
      </c>
      <c r="G99" s="1030">
        <v>44</v>
      </c>
      <c r="H99" s="915">
        <v>1026.55</v>
      </c>
      <c r="I99" s="883">
        <f t="shared" si="17"/>
        <v>0</v>
      </c>
      <c r="J99" s="811"/>
      <c r="K99" s="640"/>
      <c r="L99" s="670"/>
      <c r="M99" s="640"/>
      <c r="N99" s="891"/>
      <c r="O99" s="1108"/>
      <c r="P99" s="1106"/>
      <c r="Q99" s="640">
        <v>108814.3</v>
      </c>
      <c r="R99" s="1094"/>
      <c r="S99" s="68">
        <f t="shared" si="14"/>
        <v>108814.3</v>
      </c>
      <c r="T99" s="197">
        <f>S99/H99</f>
        <v>106.00000000000001</v>
      </c>
    </row>
    <row r="100" spans="1:20" s="166" customFormat="1" ht="28.5" customHeight="1" x14ac:dyDescent="0.25">
      <c r="A100" s="104">
        <v>63</v>
      </c>
      <c r="B100" s="947" t="s">
        <v>68</v>
      </c>
      <c r="C100" s="1023" t="s">
        <v>303</v>
      </c>
      <c r="D100" s="601"/>
      <c r="E100" s="914">
        <v>44382</v>
      </c>
      <c r="F100" s="915">
        <v>5030.5</v>
      </c>
      <c r="G100" s="1030"/>
      <c r="H100" s="915">
        <v>5030.5</v>
      </c>
      <c r="I100" s="883">
        <f t="shared" si="17"/>
        <v>0</v>
      </c>
      <c r="J100" s="811"/>
      <c r="K100" s="640"/>
      <c r="L100" s="670"/>
      <c r="M100" s="640"/>
      <c r="N100" s="891"/>
      <c r="O100" s="909" t="s">
        <v>327</v>
      </c>
      <c r="P100" s="1026" t="s">
        <v>325</v>
      </c>
      <c r="Q100" s="640">
        <v>264101.25</v>
      </c>
      <c r="R100" s="1028" t="s">
        <v>326</v>
      </c>
      <c r="S100" s="68">
        <f t="shared" si="14"/>
        <v>264101.25</v>
      </c>
      <c r="T100" s="197">
        <f t="shared" si="16"/>
        <v>52.5</v>
      </c>
    </row>
    <row r="101" spans="1:20" s="166" customFormat="1" ht="28.5" x14ac:dyDescent="0.25">
      <c r="A101" s="104">
        <v>64</v>
      </c>
      <c r="B101" s="947" t="s">
        <v>306</v>
      </c>
      <c r="C101" s="601" t="s">
        <v>307</v>
      </c>
      <c r="D101" s="601"/>
      <c r="E101" s="914">
        <v>44385</v>
      </c>
      <c r="F101" s="915">
        <v>1386.65</v>
      </c>
      <c r="G101" s="1030">
        <v>2</v>
      </c>
      <c r="H101" s="915">
        <v>1386.65</v>
      </c>
      <c r="I101" s="883">
        <f>H101-F101</f>
        <v>0</v>
      </c>
      <c r="J101" s="811"/>
      <c r="K101" s="640"/>
      <c r="L101" s="670"/>
      <c r="M101" s="640"/>
      <c r="N101" s="891"/>
      <c r="O101" s="1032" t="s">
        <v>390</v>
      </c>
      <c r="P101" s="640"/>
      <c r="Q101" s="640">
        <v>30506.3</v>
      </c>
      <c r="R101" s="1027" t="s">
        <v>391</v>
      </c>
      <c r="S101" s="68">
        <f t="shared" si="14"/>
        <v>30506.3</v>
      </c>
      <c r="T101" s="197">
        <f t="shared" si="16"/>
        <v>21.999999999999996</v>
      </c>
    </row>
    <row r="102" spans="1:20" s="166" customFormat="1" ht="27.75" customHeight="1" x14ac:dyDescent="0.25">
      <c r="A102" s="104">
        <v>65</v>
      </c>
      <c r="B102" s="601" t="s">
        <v>308</v>
      </c>
      <c r="C102" s="601" t="s">
        <v>45</v>
      </c>
      <c r="D102" s="601"/>
      <c r="E102" s="914">
        <v>44385</v>
      </c>
      <c r="F102" s="915">
        <v>503.94</v>
      </c>
      <c r="G102" s="1030">
        <v>111</v>
      </c>
      <c r="H102" s="915">
        <v>503.94</v>
      </c>
      <c r="I102" s="883">
        <f t="shared" si="17"/>
        <v>0</v>
      </c>
      <c r="J102" s="811"/>
      <c r="K102" s="640"/>
      <c r="L102" s="670"/>
      <c r="M102" s="640"/>
      <c r="N102" s="891"/>
      <c r="O102" s="909" t="s">
        <v>315</v>
      </c>
      <c r="P102" s="640"/>
      <c r="Q102" s="640">
        <v>25197</v>
      </c>
      <c r="R102" s="843" t="s">
        <v>359</v>
      </c>
      <c r="S102" s="68">
        <f t="shared" si="14"/>
        <v>25197</v>
      </c>
      <c r="T102" s="197">
        <f t="shared" si="16"/>
        <v>50</v>
      </c>
    </row>
    <row r="103" spans="1:20" s="166" customFormat="1" ht="30" customHeight="1" x14ac:dyDescent="0.25">
      <c r="A103" s="104">
        <v>66</v>
      </c>
      <c r="B103" s="1025" t="s">
        <v>309</v>
      </c>
      <c r="C103" s="1024" t="s">
        <v>310</v>
      </c>
      <c r="D103" s="601"/>
      <c r="E103" s="914">
        <v>44386</v>
      </c>
      <c r="F103" s="915">
        <v>18469.82</v>
      </c>
      <c r="G103" s="1030">
        <v>25</v>
      </c>
      <c r="H103" s="915">
        <v>18532.5</v>
      </c>
      <c r="I103" s="883">
        <f t="shared" si="17"/>
        <v>62.680000000000291</v>
      </c>
      <c r="J103" s="811"/>
      <c r="K103" s="640">
        <v>12355</v>
      </c>
      <c r="L103" s="898" t="s">
        <v>345</v>
      </c>
      <c r="M103" s="640">
        <v>30160</v>
      </c>
      <c r="N103" s="896" t="s">
        <v>346</v>
      </c>
      <c r="O103" s="1031">
        <v>15541</v>
      </c>
      <c r="P103" s="1089">
        <v>5742</v>
      </c>
      <c r="Q103" s="640">
        <f>46576.7*20</f>
        <v>931534</v>
      </c>
      <c r="R103" s="639" t="s">
        <v>368</v>
      </c>
      <c r="S103" s="68">
        <f t="shared" si="14"/>
        <v>974049</v>
      </c>
      <c r="T103" s="197">
        <f t="shared" ref="T103:T107" si="18">S103/H103</f>
        <v>52.558963982193447</v>
      </c>
    </row>
    <row r="104" spans="1:20" s="166" customFormat="1" ht="28.5" x14ac:dyDescent="0.25">
      <c r="A104" s="104">
        <v>67</v>
      </c>
      <c r="B104" s="916" t="s">
        <v>313</v>
      </c>
      <c r="C104" s="601" t="s">
        <v>125</v>
      </c>
      <c r="D104" s="601"/>
      <c r="E104" s="914">
        <v>44387</v>
      </c>
      <c r="F104" s="915">
        <v>630.30999999999995</v>
      </c>
      <c r="G104" s="1030">
        <v>50</v>
      </c>
      <c r="H104" s="915">
        <v>630.30999999999995</v>
      </c>
      <c r="I104" s="883">
        <f t="shared" si="17"/>
        <v>0</v>
      </c>
      <c r="J104" s="811"/>
      <c r="K104" s="640"/>
      <c r="L104" s="670"/>
      <c r="M104" s="640"/>
      <c r="N104" s="891"/>
      <c r="O104" s="910" t="s">
        <v>314</v>
      </c>
      <c r="P104" s="640"/>
      <c r="Q104" s="640">
        <v>54836.97</v>
      </c>
      <c r="R104" s="639" t="s">
        <v>326</v>
      </c>
      <c r="S104" s="68">
        <f t="shared" si="14"/>
        <v>54836.97</v>
      </c>
      <c r="T104" s="197">
        <f t="shared" si="18"/>
        <v>87.000000000000014</v>
      </c>
    </row>
    <row r="105" spans="1:20" s="166" customFormat="1" ht="28.5" x14ac:dyDescent="0.25">
      <c r="A105" s="104">
        <v>68</v>
      </c>
      <c r="B105" s="916" t="s">
        <v>318</v>
      </c>
      <c r="C105" s="917" t="s">
        <v>319</v>
      </c>
      <c r="D105" s="601"/>
      <c r="E105" s="914">
        <v>44390</v>
      </c>
      <c r="F105" s="915">
        <v>541.79999999999995</v>
      </c>
      <c r="G105" s="1030">
        <v>20</v>
      </c>
      <c r="H105" s="915">
        <v>541.79999999999995</v>
      </c>
      <c r="I105" s="110">
        <f t="shared" si="17"/>
        <v>0</v>
      </c>
      <c r="J105" s="811"/>
      <c r="K105" s="640"/>
      <c r="L105" s="670"/>
      <c r="M105" s="640"/>
      <c r="N105" s="891"/>
      <c r="O105" s="912">
        <v>2569</v>
      </c>
      <c r="P105" s="640"/>
      <c r="Q105" s="640">
        <v>63390.6</v>
      </c>
      <c r="R105" s="639" t="s">
        <v>328</v>
      </c>
      <c r="S105" s="68">
        <f t="shared" si="14"/>
        <v>63390.6</v>
      </c>
      <c r="T105" s="197">
        <f t="shared" si="18"/>
        <v>117.00000000000001</v>
      </c>
    </row>
    <row r="106" spans="1:20" s="166" customFormat="1" ht="30.75" customHeight="1" x14ac:dyDescent="0.25">
      <c r="A106" s="104">
        <v>69</v>
      </c>
      <c r="B106" s="916" t="s">
        <v>308</v>
      </c>
      <c r="C106" s="601" t="s">
        <v>45</v>
      </c>
      <c r="D106" s="601"/>
      <c r="E106" s="914">
        <v>44397</v>
      </c>
      <c r="F106" s="915">
        <v>2002.14</v>
      </c>
      <c r="G106" s="1030">
        <v>441</v>
      </c>
      <c r="H106" s="915">
        <v>2002.14</v>
      </c>
      <c r="I106" s="110">
        <f t="shared" ref="I106:I107" si="19">H106-F106</f>
        <v>0</v>
      </c>
      <c r="J106" s="811"/>
      <c r="K106" s="640"/>
      <c r="L106" s="670"/>
      <c r="M106" s="640"/>
      <c r="N106" s="891"/>
      <c r="O106" s="910" t="s">
        <v>362</v>
      </c>
      <c r="P106" s="640"/>
      <c r="Q106" s="640">
        <v>96102.720000000001</v>
      </c>
      <c r="R106" s="639" t="s">
        <v>363</v>
      </c>
      <c r="S106" s="68">
        <f t="shared" si="14"/>
        <v>96102.720000000001</v>
      </c>
      <c r="T106" s="197">
        <f t="shared" si="18"/>
        <v>48</v>
      </c>
    </row>
    <row r="107" spans="1:20" s="166" customFormat="1" ht="30.75" customHeight="1" x14ac:dyDescent="0.3">
      <c r="A107" s="104">
        <v>70</v>
      </c>
      <c r="B107" s="1029" t="s">
        <v>306</v>
      </c>
      <c r="C107" s="601" t="s">
        <v>307</v>
      </c>
      <c r="D107" s="601"/>
      <c r="E107" s="914">
        <v>44399</v>
      </c>
      <c r="F107" s="915">
        <v>1911</v>
      </c>
      <c r="G107" s="1030">
        <v>2</v>
      </c>
      <c r="H107" s="915">
        <v>1911</v>
      </c>
      <c r="I107" s="489">
        <f t="shared" si="19"/>
        <v>0</v>
      </c>
      <c r="J107" s="812"/>
      <c r="K107" s="640"/>
      <c r="L107" s="670"/>
      <c r="M107" s="640"/>
      <c r="N107" s="891"/>
      <c r="O107" s="910" t="s">
        <v>340</v>
      </c>
      <c r="P107" s="911"/>
      <c r="Q107" s="640">
        <v>42997.5</v>
      </c>
      <c r="R107" s="639" t="s">
        <v>389</v>
      </c>
      <c r="S107" s="68">
        <f t="shared" si="14"/>
        <v>42997.5</v>
      </c>
      <c r="T107" s="197">
        <f t="shared" si="18"/>
        <v>22.5</v>
      </c>
    </row>
    <row r="108" spans="1:20" s="166" customFormat="1" ht="48" x14ac:dyDescent="0.25">
      <c r="A108" s="104">
        <v>71</v>
      </c>
      <c r="B108" s="1029" t="s">
        <v>68</v>
      </c>
      <c r="C108" s="601" t="s">
        <v>121</v>
      </c>
      <c r="D108" s="601"/>
      <c r="E108" s="914">
        <v>44399</v>
      </c>
      <c r="F108" s="915">
        <v>18902.599999999999</v>
      </c>
      <c r="G108" s="1030">
        <v>624</v>
      </c>
      <c r="H108" s="915">
        <v>18902.599999999999</v>
      </c>
      <c r="I108" s="110">
        <f t="shared" ref="I108:I173" si="20">H108-F108</f>
        <v>0</v>
      </c>
      <c r="J108" s="811"/>
      <c r="K108" s="640"/>
      <c r="L108" s="670"/>
      <c r="M108" s="640"/>
      <c r="N108" s="891"/>
      <c r="O108" s="910" t="s">
        <v>570</v>
      </c>
      <c r="P108" s="1081" t="s">
        <v>325</v>
      </c>
      <c r="Q108" s="1079">
        <f>500000+500000+747504.47+500000</f>
        <v>2247504.4699999997</v>
      </c>
      <c r="R108" s="1080" t="s">
        <v>571</v>
      </c>
      <c r="S108" s="68">
        <f t="shared" si="14"/>
        <v>2247504.4699999997</v>
      </c>
      <c r="T108" s="197">
        <f t="shared" ref="T108:T120" si="21">S108/H108</f>
        <v>118.89922391628664</v>
      </c>
    </row>
    <row r="109" spans="1:20" s="166" customFormat="1" ht="34.5" customHeight="1" x14ac:dyDescent="0.25">
      <c r="A109" s="104">
        <v>72</v>
      </c>
      <c r="B109" s="1029" t="s">
        <v>306</v>
      </c>
      <c r="C109" s="601" t="s">
        <v>307</v>
      </c>
      <c r="D109" s="601"/>
      <c r="E109" s="914">
        <v>44405</v>
      </c>
      <c r="F109" s="915">
        <v>821.47</v>
      </c>
      <c r="G109" s="1030">
        <v>1</v>
      </c>
      <c r="H109" s="915">
        <v>821.47</v>
      </c>
      <c r="I109" s="110">
        <f t="shared" si="20"/>
        <v>0</v>
      </c>
      <c r="J109" s="811"/>
      <c r="K109" s="640"/>
      <c r="L109" s="670"/>
      <c r="M109" s="640"/>
      <c r="N109" s="891"/>
      <c r="O109" s="910" t="s">
        <v>555</v>
      </c>
      <c r="P109" s="911"/>
      <c r="Q109" s="1079">
        <v>18483.080000000002</v>
      </c>
      <c r="R109" s="1082" t="s">
        <v>572</v>
      </c>
      <c r="S109" s="68">
        <f t="shared" si="14"/>
        <v>18483.080000000002</v>
      </c>
      <c r="T109" s="197">
        <f t="shared" si="21"/>
        <v>22.500006086649545</v>
      </c>
    </row>
    <row r="110" spans="1:20" s="166" customFormat="1" ht="18.75" x14ac:dyDescent="0.25">
      <c r="A110" s="870">
        <v>73</v>
      </c>
      <c r="B110" s="601"/>
      <c r="C110" s="601"/>
      <c r="D110" s="601"/>
      <c r="E110" s="914"/>
      <c r="F110" s="915"/>
      <c r="G110" s="1030"/>
      <c r="H110" s="915"/>
      <c r="I110" s="110">
        <f t="shared" si="20"/>
        <v>0</v>
      </c>
      <c r="J110" s="813"/>
      <c r="K110" s="640"/>
      <c r="L110" s="670"/>
      <c r="M110" s="640"/>
      <c r="N110" s="892"/>
      <c r="O110" s="912"/>
      <c r="P110" s="911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47"/>
      <c r="C111" s="601"/>
      <c r="D111" s="601"/>
      <c r="E111" s="914"/>
      <c r="F111" s="915"/>
      <c r="G111" s="1030"/>
      <c r="H111" s="915"/>
      <c r="I111" s="110">
        <f t="shared" si="20"/>
        <v>0</v>
      </c>
      <c r="J111" s="813"/>
      <c r="K111" s="640"/>
      <c r="L111" s="670"/>
      <c r="M111" s="640"/>
      <c r="N111" s="892"/>
      <c r="O111" s="910"/>
      <c r="P111" s="970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70">
        <v>75</v>
      </c>
      <c r="B112" s="947"/>
      <c r="C112" s="601"/>
      <c r="D112" s="601"/>
      <c r="E112" s="914"/>
      <c r="F112" s="915"/>
      <c r="G112" s="1030"/>
      <c r="H112" s="915"/>
      <c r="I112" s="110">
        <f t="shared" si="20"/>
        <v>0</v>
      </c>
      <c r="J112" s="813"/>
      <c r="K112" s="640"/>
      <c r="L112" s="670"/>
      <c r="M112" s="640"/>
      <c r="N112" s="892"/>
      <c r="O112" s="910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47"/>
      <c r="C113" s="601"/>
      <c r="D113" s="601"/>
      <c r="E113" s="914"/>
      <c r="F113" s="915"/>
      <c r="G113" s="1030"/>
      <c r="H113" s="915"/>
      <c r="I113" s="110">
        <f t="shared" si="20"/>
        <v>0</v>
      </c>
      <c r="J113" s="813"/>
      <c r="K113" s="640"/>
      <c r="L113" s="670"/>
      <c r="M113" s="640"/>
      <c r="N113" s="892"/>
      <c r="O113" s="910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70">
        <v>77</v>
      </c>
      <c r="B114" s="947"/>
      <c r="C114" s="601"/>
      <c r="D114" s="601"/>
      <c r="E114" s="914"/>
      <c r="F114" s="915"/>
      <c r="G114" s="1030"/>
      <c r="H114" s="915"/>
      <c r="I114" s="110">
        <f t="shared" si="20"/>
        <v>0</v>
      </c>
      <c r="J114" s="813"/>
      <c r="K114" s="640"/>
      <c r="L114" s="670"/>
      <c r="M114" s="640"/>
      <c r="N114" s="892"/>
      <c r="O114" s="910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47"/>
      <c r="C115" s="601"/>
      <c r="D115" s="601"/>
      <c r="E115" s="914"/>
      <c r="F115" s="915"/>
      <c r="G115" s="1030"/>
      <c r="H115" s="915"/>
      <c r="I115" s="110">
        <f t="shared" si="20"/>
        <v>0</v>
      </c>
      <c r="J115" s="813"/>
      <c r="K115" s="640"/>
      <c r="L115" s="670"/>
      <c r="M115" s="640"/>
      <c r="N115" s="892"/>
      <c r="O115" s="910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0">
        <v>79</v>
      </c>
      <c r="B116" s="947"/>
      <c r="C116" s="601"/>
      <c r="D116" s="601"/>
      <c r="E116" s="914"/>
      <c r="F116" s="915"/>
      <c r="G116" s="1030"/>
      <c r="H116" s="915"/>
      <c r="I116" s="110">
        <f t="shared" si="20"/>
        <v>0</v>
      </c>
      <c r="J116" s="813"/>
      <c r="K116" s="640"/>
      <c r="L116" s="670"/>
      <c r="M116" s="640"/>
      <c r="N116" s="892"/>
      <c r="O116" s="910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47"/>
      <c r="C117" s="601"/>
      <c r="D117" s="601"/>
      <c r="E117" s="914"/>
      <c r="F117" s="915"/>
      <c r="G117" s="1030"/>
      <c r="H117" s="915"/>
      <c r="I117" s="110">
        <f t="shared" si="20"/>
        <v>0</v>
      </c>
      <c r="J117" s="813"/>
      <c r="K117" s="640"/>
      <c r="L117" s="670"/>
      <c r="M117" s="640"/>
      <c r="N117" s="892"/>
      <c r="O117" s="910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0">
        <v>81</v>
      </c>
      <c r="B118" s="947"/>
      <c r="C118" s="601"/>
      <c r="D118" s="601"/>
      <c r="E118" s="914"/>
      <c r="F118" s="915"/>
      <c r="G118" s="1030"/>
      <c r="H118" s="915"/>
      <c r="I118" s="110">
        <f t="shared" si="20"/>
        <v>0</v>
      </c>
      <c r="J118" s="813"/>
      <c r="K118" s="640"/>
      <c r="L118" s="670"/>
      <c r="M118" s="640"/>
      <c r="N118" s="892"/>
      <c r="O118" s="910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4"/>
      <c r="F119" s="915"/>
      <c r="G119" s="1030"/>
      <c r="H119" s="915"/>
      <c r="I119" s="110">
        <f t="shared" si="20"/>
        <v>0</v>
      </c>
      <c r="J119" s="813"/>
      <c r="K119" s="640"/>
      <c r="L119" s="670"/>
      <c r="M119" s="640"/>
      <c r="N119" s="893"/>
      <c r="O119" s="910"/>
      <c r="P119" s="642"/>
      <c r="Q119" s="640"/>
      <c r="R119" s="931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0">
        <v>83</v>
      </c>
      <c r="B120" s="601"/>
      <c r="C120" s="601"/>
      <c r="D120" s="601"/>
      <c r="E120" s="914"/>
      <c r="F120" s="915"/>
      <c r="G120" s="1030"/>
      <c r="H120" s="915"/>
      <c r="I120" s="110">
        <f t="shared" si="20"/>
        <v>0</v>
      </c>
      <c r="J120" s="827"/>
      <c r="K120" s="640"/>
      <c r="L120" s="670"/>
      <c r="M120" s="640"/>
      <c r="N120" s="894"/>
      <c r="O120" s="912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4"/>
      <c r="F121" s="915"/>
      <c r="G121" s="1030"/>
      <c r="H121" s="915"/>
      <c r="I121" s="110">
        <f t="shared" si="20"/>
        <v>0</v>
      </c>
      <c r="J121" s="827"/>
      <c r="K121" s="640"/>
      <c r="L121" s="670"/>
      <c r="M121" s="640"/>
      <c r="N121" s="895"/>
      <c r="O121" s="912"/>
      <c r="P121" s="911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0">
        <v>85</v>
      </c>
      <c r="B122" s="601"/>
      <c r="C122" s="601"/>
      <c r="D122" s="601"/>
      <c r="E122" s="914"/>
      <c r="F122" s="915"/>
      <c r="G122" s="1030"/>
      <c r="H122" s="915"/>
      <c r="I122" s="110">
        <f t="shared" si="20"/>
        <v>0</v>
      </c>
      <c r="J122" s="581"/>
      <c r="K122" s="640"/>
      <c r="L122" s="670"/>
      <c r="M122" s="640"/>
      <c r="N122" s="896"/>
      <c r="O122" s="910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4"/>
      <c r="F123" s="915"/>
      <c r="G123" s="1030"/>
      <c r="H123" s="915"/>
      <c r="I123" s="110">
        <f t="shared" si="20"/>
        <v>0</v>
      </c>
      <c r="J123" s="811"/>
      <c r="K123" s="640"/>
      <c r="L123" s="670"/>
      <c r="M123" s="640"/>
      <c r="N123" s="891"/>
      <c r="O123" s="910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0">
        <v>87</v>
      </c>
      <c r="B124" s="601"/>
      <c r="C124" s="601"/>
      <c r="D124" s="601"/>
      <c r="E124" s="914"/>
      <c r="F124" s="915"/>
      <c r="G124" s="1030"/>
      <c r="H124" s="915"/>
      <c r="I124" s="110">
        <f t="shared" si="20"/>
        <v>0</v>
      </c>
      <c r="J124" s="811"/>
      <c r="K124" s="640"/>
      <c r="L124" s="670"/>
      <c r="M124" s="640"/>
      <c r="N124" s="891"/>
      <c r="O124" s="910"/>
      <c r="P124" s="640"/>
      <c r="Q124" s="640"/>
      <c r="R124" s="843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4"/>
      <c r="F125" s="915"/>
      <c r="G125" s="1030"/>
      <c r="H125" s="915"/>
      <c r="I125" s="110">
        <f t="shared" si="20"/>
        <v>0</v>
      </c>
      <c r="J125" s="581"/>
      <c r="K125" s="640"/>
      <c r="L125" s="670"/>
      <c r="M125" s="640"/>
      <c r="N125" s="891"/>
      <c r="O125" s="913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0">
        <v>89</v>
      </c>
      <c r="B126" s="601"/>
      <c r="C126" s="601"/>
      <c r="D126" s="601"/>
      <c r="E126" s="914"/>
      <c r="F126" s="915"/>
      <c r="G126" s="1030"/>
      <c r="H126" s="915"/>
      <c r="I126" s="110">
        <f t="shared" si="20"/>
        <v>0</v>
      </c>
      <c r="J126" s="601"/>
      <c r="K126" s="640"/>
      <c r="L126" s="670"/>
      <c r="M126" s="640"/>
      <c r="N126" s="891"/>
      <c r="O126" s="913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4"/>
      <c r="F127" s="915"/>
      <c r="G127" s="1030"/>
      <c r="H127" s="915"/>
      <c r="I127" s="110">
        <f t="shared" si="20"/>
        <v>0</v>
      </c>
      <c r="J127" s="601"/>
      <c r="K127" s="640"/>
      <c r="L127" s="670"/>
      <c r="M127" s="640"/>
      <c r="N127" s="891"/>
      <c r="O127" s="913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0">
        <v>91</v>
      </c>
      <c r="B128" s="827"/>
      <c r="C128" s="869"/>
      <c r="D128" s="868"/>
      <c r="E128" s="965"/>
      <c r="F128" s="966"/>
      <c r="G128" s="967"/>
      <c r="H128" s="968"/>
      <c r="I128" s="302">
        <f t="shared" si="20"/>
        <v>0</v>
      </c>
      <c r="J128" s="814"/>
      <c r="K128" s="815"/>
      <c r="L128" s="644"/>
      <c r="M128" s="815"/>
      <c r="N128" s="940"/>
      <c r="O128" s="975"/>
      <c r="P128" s="872"/>
      <c r="Q128" s="815"/>
      <c r="R128" s="873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39"/>
      <c r="F129" s="621"/>
      <c r="G129" s="622"/>
      <c r="H129" s="623"/>
      <c r="I129" s="302">
        <f t="shared" si="20"/>
        <v>0</v>
      </c>
      <c r="J129" s="814"/>
      <c r="K129" s="815"/>
      <c r="L129" s="644"/>
      <c r="M129" s="815"/>
      <c r="N129" s="940"/>
      <c r="O129" s="975"/>
      <c r="P129" s="971"/>
      <c r="Q129" s="815"/>
      <c r="R129" s="873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0">
        <v>93</v>
      </c>
      <c r="B130" s="624"/>
      <c r="C130" s="625"/>
      <c r="D130" s="620"/>
      <c r="E130" s="839"/>
      <c r="F130" s="621"/>
      <c r="G130" s="622"/>
      <c r="H130" s="623"/>
      <c r="I130" s="302">
        <f t="shared" si="20"/>
        <v>0</v>
      </c>
      <c r="J130" s="814"/>
      <c r="K130" s="815"/>
      <c r="L130" s="644"/>
      <c r="M130" s="815"/>
      <c r="N130" s="940"/>
      <c r="O130" s="975"/>
      <c r="P130" s="872"/>
      <c r="Q130" s="815"/>
      <c r="R130" s="873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39"/>
      <c r="F131" s="621"/>
      <c r="G131" s="622"/>
      <c r="H131" s="623"/>
      <c r="I131" s="302">
        <f t="shared" si="20"/>
        <v>0</v>
      </c>
      <c r="J131" s="814"/>
      <c r="K131" s="815"/>
      <c r="L131" s="644"/>
      <c r="M131" s="815"/>
      <c r="N131" s="940"/>
      <c r="O131" s="976"/>
      <c r="P131" s="872"/>
      <c r="Q131" s="815"/>
      <c r="R131" s="873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0">
        <v>95</v>
      </c>
      <c r="B132" s="601"/>
      <c r="C132" s="581"/>
      <c r="D132" s="620"/>
      <c r="E132" s="839"/>
      <c r="F132" s="621"/>
      <c r="G132" s="622"/>
      <c r="H132" s="623"/>
      <c r="I132" s="302">
        <f t="shared" si="20"/>
        <v>0</v>
      </c>
      <c r="J132" s="814"/>
      <c r="K132" s="815"/>
      <c r="L132" s="644"/>
      <c r="M132" s="815"/>
      <c r="N132" s="940"/>
      <c r="O132" s="976"/>
      <c r="P132" s="872"/>
      <c r="Q132" s="815"/>
      <c r="R132" s="873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39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5"/>
      <c r="P133" s="872"/>
      <c r="Q133" s="815"/>
      <c r="R133" s="873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39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5"/>
      <c r="P134" s="972"/>
      <c r="Q134" s="973"/>
      <c r="R134" s="974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39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5"/>
      <c r="P135" s="872"/>
      <c r="Q135" s="815"/>
      <c r="R135" s="873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39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5"/>
      <c r="P136" s="872"/>
      <c r="Q136" s="815"/>
      <c r="R136" s="873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39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5"/>
      <c r="P137" s="872"/>
      <c r="Q137" s="815"/>
      <c r="R137" s="873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39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5"/>
      <c r="P138" s="872"/>
      <c r="Q138" s="815"/>
      <c r="R138" s="873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39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5"/>
      <c r="P139" s="872"/>
      <c r="Q139" s="815"/>
      <c r="R139" s="873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39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5"/>
      <c r="P140" s="872"/>
      <c r="Q140" s="815"/>
      <c r="R140" s="873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39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5"/>
      <c r="P141" s="872"/>
      <c r="Q141" s="815"/>
      <c r="R141" s="873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39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5"/>
      <c r="P142" s="872"/>
      <c r="Q142" s="815"/>
      <c r="R142" s="873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39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5"/>
      <c r="P143" s="872"/>
      <c r="Q143" s="815"/>
      <c r="R143" s="873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39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5"/>
      <c r="P144" s="872"/>
      <c r="Q144" s="815"/>
      <c r="R144" s="873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39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5"/>
      <c r="P145" s="872"/>
      <c r="Q145" s="815"/>
      <c r="R145" s="873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39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5"/>
      <c r="P146" s="872"/>
      <c r="Q146" s="815"/>
      <c r="R146" s="873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39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5"/>
      <c r="P147" s="872"/>
      <c r="Q147" s="815"/>
      <c r="R147" s="873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6"/>
      <c r="F148" s="738"/>
      <c r="G148" s="739"/>
      <c r="H148" s="740"/>
      <c r="I148" s="302">
        <f t="shared" si="20"/>
        <v>0</v>
      </c>
      <c r="J148" s="282"/>
      <c r="K148" s="264"/>
      <c r="L148" s="322"/>
      <c r="M148" s="263"/>
      <c r="N148" s="602"/>
      <c r="O148" s="665"/>
      <c r="P148" s="872"/>
      <c r="Q148" s="815"/>
      <c r="R148" s="873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6"/>
      <c r="F149" s="738"/>
      <c r="G149" s="739"/>
      <c r="H149" s="740"/>
      <c r="I149" s="302">
        <f t="shared" si="20"/>
        <v>0</v>
      </c>
      <c r="J149" s="282"/>
      <c r="K149" s="264"/>
      <c r="L149" s="322"/>
      <c r="M149" s="263"/>
      <c r="N149" s="602"/>
      <c r="O149" s="665"/>
      <c r="P149" s="872"/>
      <c r="Q149" s="815"/>
      <c r="R149" s="873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6"/>
      <c r="F150" s="738"/>
      <c r="G150" s="739"/>
      <c r="H150" s="740"/>
      <c r="I150" s="302">
        <f t="shared" si="20"/>
        <v>0</v>
      </c>
      <c r="J150" s="282"/>
      <c r="K150" s="264"/>
      <c r="L150" s="322"/>
      <c r="M150" s="263"/>
      <c r="N150" s="602"/>
      <c r="O150" s="665"/>
      <c r="P150" s="872"/>
      <c r="Q150" s="815"/>
      <c r="R150" s="873"/>
      <c r="S150" s="68"/>
      <c r="T150" s="68"/>
    </row>
    <row r="151" spans="1:20" s="166" customFormat="1" x14ac:dyDescent="0.25">
      <c r="A151" s="104"/>
      <c r="B151" s="737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5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5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5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5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5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5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5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6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6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6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5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5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5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5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5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5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5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5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5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5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5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5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0"/>
      <c r="F173" s="825"/>
      <c r="G173" s="104"/>
      <c r="H173" s="593"/>
      <c r="I173" s="110">
        <f t="shared" si="20"/>
        <v>0</v>
      </c>
      <c r="J173" s="136"/>
      <c r="K173" s="180"/>
      <c r="L173" s="750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3" t="s">
        <v>31</v>
      </c>
      <c r="G174" s="75">
        <f>SUM(G5:G173)</f>
        <v>1867</v>
      </c>
      <c r="H174" s="595">
        <f>SUM(H3:H173)</f>
        <v>478371.75</v>
      </c>
      <c r="I174" s="884">
        <f>PIERNA!I37</f>
        <v>0</v>
      </c>
      <c r="J174" s="47"/>
      <c r="K174" s="182">
        <f>SUM(K5:K173)</f>
        <v>254251</v>
      </c>
      <c r="L174" s="751"/>
      <c r="M174" s="182">
        <f>SUM(M5:M173)</f>
        <v>693680</v>
      </c>
      <c r="N174" s="504"/>
      <c r="O174" s="667"/>
      <c r="P174" s="123"/>
      <c r="Q174" s="183">
        <f>SUM(Q5:Q173)</f>
        <v>22462494.328799997</v>
      </c>
      <c r="R174" s="161"/>
      <c r="S174" s="194">
        <f>Q174+M174+K174</f>
        <v>23410425.328799997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2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8">
    <mergeCell ref="R98:R99"/>
    <mergeCell ref="B98:B99"/>
    <mergeCell ref="E98:E99"/>
    <mergeCell ref="Q1:Q2"/>
    <mergeCell ref="K1:K2"/>
    <mergeCell ref="M1:M2"/>
    <mergeCell ref="P98:P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15" ht="16.5" thickBot="1" x14ac:dyDescent="0.3">
      <c r="K2" s="808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4">
        <f>E5+E6-F8+E4</f>
        <v>0</v>
      </c>
      <c r="J8" s="874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4">
        <f>I8-F9</f>
        <v>0</v>
      </c>
      <c r="J9" s="874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4">
        <f t="shared" ref="I10:I27" si="3">I9-F10</f>
        <v>0</v>
      </c>
      <c r="J10" s="874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4">
        <f t="shared" si="3"/>
        <v>0</v>
      </c>
      <c r="J11" s="874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4">
        <f t="shared" si="3"/>
        <v>0</v>
      </c>
      <c r="J12" s="874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6">
        <f t="shared" si="3"/>
        <v>0</v>
      </c>
      <c r="J13" s="874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6">
        <f t="shared" si="3"/>
        <v>0</v>
      </c>
      <c r="J14" s="874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6">
        <f t="shared" si="3"/>
        <v>0</v>
      </c>
      <c r="J15" s="874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7">
        <f t="shared" si="3"/>
        <v>0</v>
      </c>
      <c r="J16" s="84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7">
        <f t="shared" si="3"/>
        <v>0</v>
      </c>
      <c r="J17" s="84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7">
        <f t="shared" si="3"/>
        <v>0</v>
      </c>
      <c r="J18" s="84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7">
        <f t="shared" si="3"/>
        <v>0</v>
      </c>
      <c r="J19" s="84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7">
        <f t="shared" si="3"/>
        <v>0</v>
      </c>
      <c r="J20" s="84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7">
        <f t="shared" si="3"/>
        <v>0</v>
      </c>
      <c r="J21" s="84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7">
        <f t="shared" si="3"/>
        <v>0</v>
      </c>
      <c r="J22" s="84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7">
        <f t="shared" si="3"/>
        <v>0</v>
      </c>
      <c r="J23" s="84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7">
        <f t="shared" si="3"/>
        <v>0</v>
      </c>
      <c r="J24" s="84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7">
        <f t="shared" si="3"/>
        <v>0</v>
      </c>
      <c r="J25" s="84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7">
        <f t="shared" si="3"/>
        <v>0</v>
      </c>
      <c r="J26" s="84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48">
        <f t="shared" si="3"/>
        <v>0</v>
      </c>
      <c r="J27" s="845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49"/>
      <c r="J28" s="850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109" t="s">
        <v>21</v>
      </c>
      <c r="E31" s="1110"/>
      <c r="F31" s="150">
        <f>E4+E5-F29+E6</f>
        <v>0</v>
      </c>
    </row>
    <row r="32" spans="1:10" ht="15.75" thickBot="1" x14ac:dyDescent="0.3">
      <c r="A32" s="132"/>
      <c r="D32" s="695" t="s">
        <v>4</v>
      </c>
      <c r="E32" s="696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41"/>
    <col min="10" max="10" width="17.5703125" customWidth="1"/>
  </cols>
  <sheetData>
    <row r="1" spans="1:11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11" ht="16.5" thickBot="1" x14ac:dyDescent="0.3">
      <c r="K2" s="808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2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3">
        <f>E5+E6-F8+E4</f>
        <v>0</v>
      </c>
      <c r="J8" s="874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3">
        <f>I8-F9</f>
        <v>0</v>
      </c>
      <c r="J9" s="874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3">
        <f t="shared" ref="I10:I27" si="4">I9-F10</f>
        <v>0</v>
      </c>
      <c r="J10" s="874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3">
        <f t="shared" si="4"/>
        <v>0</v>
      </c>
      <c r="J11" s="874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3">
        <f t="shared" si="4"/>
        <v>0</v>
      </c>
      <c r="J12" s="874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3">
        <f t="shared" si="4"/>
        <v>0</v>
      </c>
      <c r="J13" s="874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3">
        <f t="shared" si="4"/>
        <v>0</v>
      </c>
      <c r="J14" s="874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3">
        <f t="shared" si="4"/>
        <v>0</v>
      </c>
      <c r="J15" s="874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4">
        <f t="shared" si="4"/>
        <v>0</v>
      </c>
      <c r="J16" s="84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4">
        <f t="shared" si="4"/>
        <v>0</v>
      </c>
      <c r="J17" s="84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4">
        <f t="shared" si="4"/>
        <v>0</v>
      </c>
      <c r="J18" s="84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4">
        <f t="shared" si="4"/>
        <v>0</v>
      </c>
      <c r="J19" s="84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4">
        <f t="shared" si="4"/>
        <v>0</v>
      </c>
      <c r="J20" s="84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4">
        <f t="shared" si="4"/>
        <v>0</v>
      </c>
      <c r="J21" s="84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4">
        <f t="shared" si="4"/>
        <v>0</v>
      </c>
      <c r="J22" s="84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4">
        <f t="shared" si="4"/>
        <v>0</v>
      </c>
      <c r="J23" s="84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4">
        <f t="shared" si="4"/>
        <v>0</v>
      </c>
      <c r="J24" s="84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4">
        <f t="shared" si="4"/>
        <v>0</v>
      </c>
      <c r="J25" s="84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4">
        <f t="shared" si="4"/>
        <v>0</v>
      </c>
      <c r="J26" s="84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4">
        <f t="shared" si="4"/>
        <v>0</v>
      </c>
      <c r="J27" s="845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5"/>
      <c r="J28" s="850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109" t="s">
        <v>21</v>
      </c>
      <c r="E31" s="1110"/>
      <c r="F31" s="150">
        <f>E4+E5-F29+E6</f>
        <v>0</v>
      </c>
    </row>
    <row r="32" spans="1:10" ht="16.5" thickBot="1" x14ac:dyDescent="0.3">
      <c r="A32" s="132"/>
      <c r="D32" s="938" t="s">
        <v>4</v>
      </c>
      <c r="E32" s="939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3"/>
      <c r="B1" s="1113"/>
      <c r="C1" s="1113"/>
      <c r="D1" s="1113"/>
      <c r="E1" s="1113"/>
      <c r="F1" s="1113"/>
      <c r="G1" s="1113"/>
      <c r="H1" s="394">
        <v>1</v>
      </c>
      <c r="I1" s="685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6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6"/>
    </row>
    <row r="4" spans="1:10" ht="15.75" thickTop="1" x14ac:dyDescent="0.25">
      <c r="A4" s="79"/>
      <c r="B4" s="79"/>
      <c r="C4" s="671"/>
      <c r="D4" s="273"/>
      <c r="E4" s="271"/>
      <c r="F4" s="268"/>
      <c r="G4" s="867"/>
      <c r="H4" s="162"/>
      <c r="I4" s="690"/>
    </row>
    <row r="5" spans="1:10" ht="18.75" customHeight="1" thickBot="1" x14ac:dyDescent="0.3">
      <c r="A5" s="864"/>
      <c r="B5" s="792" t="s">
        <v>103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7"/>
    </row>
    <row r="6" spans="1:10" ht="15.75" thickBot="1" x14ac:dyDescent="0.3">
      <c r="A6" s="275"/>
      <c r="B6" s="792"/>
      <c r="C6" s="676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6"/>
      <c r="C7" s="676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88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6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6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6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6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6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6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6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6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6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6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6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6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6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109" t="s">
        <v>21</v>
      </c>
      <c r="E32" s="1110"/>
      <c r="F32" s="150">
        <f>G5-F30</f>
        <v>0</v>
      </c>
    </row>
    <row r="33" spans="1:6" ht="15.75" thickBot="1" x14ac:dyDescent="0.3">
      <c r="A33" s="132"/>
      <c r="D33" s="865" t="s">
        <v>4</v>
      </c>
      <c r="E33" s="866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4" t="s">
        <v>266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140</v>
      </c>
      <c r="B5" s="669" t="s">
        <v>139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1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149</v>
      </c>
      <c r="H8" s="292">
        <v>260</v>
      </c>
      <c r="I8" s="48">
        <f>E4+E5+E6-F8</f>
        <v>65</v>
      </c>
    </row>
    <row r="9" spans="1:9" x14ac:dyDescent="0.25">
      <c r="B9" s="761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150</v>
      </c>
      <c r="H9" s="292">
        <v>250</v>
      </c>
      <c r="I9" s="48">
        <f>I8-F9</f>
        <v>50</v>
      </c>
    </row>
    <row r="10" spans="1:9" x14ac:dyDescent="0.25">
      <c r="B10" s="761">
        <f>B9-C10</f>
        <v>8</v>
      </c>
      <c r="C10" s="268">
        <v>2</v>
      </c>
      <c r="D10" s="1040">
        <v>10</v>
      </c>
      <c r="E10" s="1054">
        <v>44386</v>
      </c>
      <c r="F10" s="1055">
        <f t="shared" si="0"/>
        <v>10</v>
      </c>
      <c r="G10" s="546" t="s">
        <v>434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61">
        <f t="shared" ref="B11:B25" si="2">B10-C11</f>
        <v>5</v>
      </c>
      <c r="C11" s="268">
        <v>3</v>
      </c>
      <c r="D11" s="1040">
        <v>15</v>
      </c>
      <c r="E11" s="1054">
        <v>44385</v>
      </c>
      <c r="F11" s="1038">
        <f t="shared" si="0"/>
        <v>15</v>
      </c>
      <c r="G11" s="546" t="s">
        <v>439</v>
      </c>
      <c r="H11" s="634">
        <v>250</v>
      </c>
      <c r="I11" s="48">
        <f t="shared" si="1"/>
        <v>25</v>
      </c>
    </row>
    <row r="12" spans="1:9" x14ac:dyDescent="0.25">
      <c r="B12" s="761">
        <f t="shared" si="2"/>
        <v>4</v>
      </c>
      <c r="C12" s="268">
        <v>1</v>
      </c>
      <c r="D12" s="1040">
        <v>5</v>
      </c>
      <c r="E12" s="1054">
        <v>44387</v>
      </c>
      <c r="F12" s="1038">
        <f t="shared" si="0"/>
        <v>5</v>
      </c>
      <c r="G12" s="546" t="s">
        <v>449</v>
      </c>
      <c r="H12" s="634">
        <v>250</v>
      </c>
      <c r="I12" s="48">
        <f t="shared" si="1"/>
        <v>20</v>
      </c>
    </row>
    <row r="13" spans="1:9" x14ac:dyDescent="0.25">
      <c r="A13" s="19"/>
      <c r="B13" s="761">
        <f t="shared" si="2"/>
        <v>4</v>
      </c>
      <c r="C13" s="268"/>
      <c r="D13" s="1040"/>
      <c r="E13" s="1054"/>
      <c r="F13" s="1038">
        <f t="shared" si="0"/>
        <v>0</v>
      </c>
      <c r="G13" s="546"/>
      <c r="H13" s="634"/>
      <c r="I13" s="48">
        <f t="shared" si="1"/>
        <v>20</v>
      </c>
    </row>
    <row r="14" spans="1:9" x14ac:dyDescent="0.25">
      <c r="B14" s="761">
        <f>B13-C14</f>
        <v>4</v>
      </c>
      <c r="C14" s="268"/>
      <c r="D14" s="1040"/>
      <c r="E14" s="1054"/>
      <c r="F14" s="1038">
        <f t="shared" si="0"/>
        <v>0</v>
      </c>
      <c r="G14" s="546"/>
      <c r="H14" s="634"/>
      <c r="I14" s="48">
        <f t="shared" si="1"/>
        <v>20</v>
      </c>
    </row>
    <row r="15" spans="1:9" x14ac:dyDescent="0.25">
      <c r="B15" s="761">
        <f t="shared" ref="B15:B22" si="3">B14-C15</f>
        <v>4</v>
      </c>
      <c r="C15" s="268"/>
      <c r="D15" s="1040"/>
      <c r="E15" s="1054"/>
      <c r="F15" s="1038">
        <f t="shared" si="0"/>
        <v>0</v>
      </c>
      <c r="G15" s="546"/>
      <c r="H15" s="634"/>
      <c r="I15" s="48">
        <f t="shared" si="1"/>
        <v>20</v>
      </c>
    </row>
    <row r="16" spans="1:9" x14ac:dyDescent="0.25">
      <c r="B16" s="761">
        <f t="shared" si="3"/>
        <v>4</v>
      </c>
      <c r="C16" s="268"/>
      <c r="D16" s="756"/>
      <c r="E16" s="927"/>
      <c r="F16" s="923">
        <f t="shared" si="0"/>
        <v>0</v>
      </c>
      <c r="G16" s="758"/>
      <c r="H16" s="759"/>
      <c r="I16" s="48">
        <f t="shared" si="1"/>
        <v>20</v>
      </c>
    </row>
    <row r="17" spans="1:9" x14ac:dyDescent="0.25">
      <c r="B17" s="761">
        <f t="shared" si="3"/>
        <v>4</v>
      </c>
      <c r="C17" s="268"/>
      <c r="D17" s="756"/>
      <c r="E17" s="927"/>
      <c r="F17" s="923">
        <f t="shared" si="0"/>
        <v>0</v>
      </c>
      <c r="G17" s="758"/>
      <c r="H17" s="759"/>
      <c r="I17" s="48">
        <f t="shared" si="1"/>
        <v>20</v>
      </c>
    </row>
    <row r="18" spans="1:9" x14ac:dyDescent="0.25">
      <c r="B18" s="761">
        <f t="shared" si="3"/>
        <v>4</v>
      </c>
      <c r="C18" s="268"/>
      <c r="D18" s="756"/>
      <c r="E18" s="927"/>
      <c r="F18" s="923">
        <f t="shared" si="0"/>
        <v>0</v>
      </c>
      <c r="G18" s="758"/>
      <c r="H18" s="759"/>
      <c r="I18" s="48">
        <f t="shared" si="1"/>
        <v>20</v>
      </c>
    </row>
    <row r="19" spans="1:9" x14ac:dyDescent="0.25">
      <c r="B19" s="761">
        <f t="shared" si="3"/>
        <v>4</v>
      </c>
      <c r="C19" s="268"/>
      <c r="D19" s="756"/>
      <c r="E19" s="927"/>
      <c r="F19" s="923">
        <f t="shared" si="0"/>
        <v>0</v>
      </c>
      <c r="G19" s="758"/>
      <c r="H19" s="759"/>
      <c r="I19" s="48">
        <f t="shared" si="1"/>
        <v>20</v>
      </c>
    </row>
    <row r="20" spans="1:9" x14ac:dyDescent="0.25">
      <c r="B20" s="761">
        <f t="shared" si="3"/>
        <v>4</v>
      </c>
      <c r="C20" s="268"/>
      <c r="D20" s="756"/>
      <c r="E20" s="927"/>
      <c r="F20" s="923">
        <f t="shared" si="0"/>
        <v>0</v>
      </c>
      <c r="G20" s="758"/>
      <c r="H20" s="759"/>
      <c r="I20" s="48">
        <f t="shared" si="1"/>
        <v>20</v>
      </c>
    </row>
    <row r="21" spans="1:9" x14ac:dyDescent="0.25">
      <c r="B21" s="761">
        <f t="shared" si="3"/>
        <v>4</v>
      </c>
      <c r="C21" s="268"/>
      <c r="D21" s="756"/>
      <c r="E21" s="927"/>
      <c r="F21" s="923">
        <f t="shared" si="0"/>
        <v>0</v>
      </c>
      <c r="G21" s="758"/>
      <c r="H21" s="759"/>
      <c r="I21" s="48">
        <f t="shared" si="1"/>
        <v>20</v>
      </c>
    </row>
    <row r="22" spans="1:9" x14ac:dyDescent="0.25">
      <c r="B22" s="761">
        <f t="shared" si="3"/>
        <v>4</v>
      </c>
      <c r="C22" s="289"/>
      <c r="D22" s="756"/>
      <c r="E22" s="927"/>
      <c r="F22" s="923">
        <f t="shared" si="0"/>
        <v>0</v>
      </c>
      <c r="G22" s="758"/>
      <c r="H22" s="759"/>
      <c r="I22" s="48">
        <f t="shared" si="1"/>
        <v>20</v>
      </c>
    </row>
    <row r="23" spans="1:9" x14ac:dyDescent="0.25">
      <c r="B23" s="761">
        <f t="shared" si="2"/>
        <v>4</v>
      </c>
      <c r="C23" s="15"/>
      <c r="D23" s="777">
        <v>0</v>
      </c>
      <c r="E23" s="927"/>
      <c r="F23" s="923">
        <f t="shared" si="0"/>
        <v>0</v>
      </c>
      <c r="G23" s="758"/>
      <c r="H23" s="759"/>
      <c r="I23" s="288">
        <f t="shared" si="1"/>
        <v>20</v>
      </c>
    </row>
    <row r="24" spans="1:9" x14ac:dyDescent="0.25">
      <c r="B24" s="761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61">
        <f t="shared" si="2"/>
        <v>4</v>
      </c>
      <c r="C25" s="38"/>
      <c r="D25" s="72">
        <v>0</v>
      </c>
      <c r="E25" s="238"/>
      <c r="F25" s="816">
        <f t="shared" si="0"/>
        <v>0</v>
      </c>
      <c r="G25" s="817"/>
      <c r="H25" s="818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09" t="s">
        <v>21</v>
      </c>
      <c r="E28" s="1110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18" t="s">
        <v>282</v>
      </c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161</v>
      </c>
      <c r="B5" s="268"/>
      <c r="C5" s="304">
        <v>22</v>
      </c>
      <c r="D5" s="305">
        <v>44385</v>
      </c>
      <c r="E5" s="296">
        <v>1386.65</v>
      </c>
      <c r="F5" s="268">
        <v>2</v>
      </c>
      <c r="G5" s="92">
        <f>F30</f>
        <v>4119.12</v>
      </c>
      <c r="H5" s="168">
        <f>E5-G5+E6</f>
        <v>-821.4699999999998</v>
      </c>
    </row>
    <row r="6" spans="1:10" ht="15.75" x14ac:dyDescent="0.25">
      <c r="A6" s="275"/>
      <c r="B6" s="790" t="s">
        <v>109</v>
      </c>
      <c r="C6" s="304">
        <v>22.5</v>
      </c>
      <c r="D6" s="305">
        <v>44399</v>
      </c>
      <c r="E6" s="296">
        <v>1911</v>
      </c>
      <c r="F6" s="268">
        <v>2</v>
      </c>
      <c r="G6" s="489"/>
      <c r="H6" s="265"/>
      <c r="I6" s="267"/>
    </row>
    <row r="7" spans="1:10" ht="15.75" thickBot="1" x14ac:dyDescent="0.3">
      <c r="B7" s="76"/>
      <c r="C7" s="170">
        <v>22.5</v>
      </c>
      <c r="D7" s="163">
        <v>44405</v>
      </c>
      <c r="E7" s="296">
        <v>821.47</v>
      </c>
      <c r="F7" s="268">
        <v>1</v>
      </c>
      <c r="G7" s="265"/>
      <c r="H7" s="265"/>
      <c r="I7" s="267"/>
    </row>
    <row r="8" spans="1:10" ht="17.25" thickTop="1" thickBot="1" x14ac:dyDescent="0.3">
      <c r="B8" s="765" t="s">
        <v>7</v>
      </c>
      <c r="C8" s="766" t="s">
        <v>8</v>
      </c>
      <c r="D8" s="767" t="s">
        <v>17</v>
      </c>
      <c r="E8" s="768" t="s">
        <v>2</v>
      </c>
      <c r="F8" s="769" t="s">
        <v>18</v>
      </c>
      <c r="G8" s="764" t="s">
        <v>107</v>
      </c>
      <c r="H8" s="549"/>
      <c r="I8" s="267"/>
    </row>
    <row r="9" spans="1:10" ht="15.75" thickTop="1" x14ac:dyDescent="0.25">
      <c r="A9" s="58" t="s">
        <v>32</v>
      </c>
      <c r="B9" s="93"/>
      <c r="C9" s="770">
        <v>2</v>
      </c>
      <c r="D9" s="771">
        <v>1386.65</v>
      </c>
      <c r="E9" s="772">
        <v>44385</v>
      </c>
      <c r="F9" s="773">
        <f>D9</f>
        <v>1386.65</v>
      </c>
      <c r="G9" s="291" t="s">
        <v>431</v>
      </c>
      <c r="H9" s="292">
        <v>23</v>
      </c>
      <c r="I9" s="296">
        <f>E5+E6+E4+E7-F9</f>
        <v>2732.47</v>
      </c>
      <c r="J9" s="63">
        <f>H9*F9</f>
        <v>31892.95</v>
      </c>
    </row>
    <row r="10" spans="1:10" x14ac:dyDescent="0.25">
      <c r="B10" s="93"/>
      <c r="C10" s="480">
        <v>2</v>
      </c>
      <c r="D10" s="683">
        <v>1911</v>
      </c>
      <c r="E10" s="991">
        <v>44399</v>
      </c>
      <c r="F10" s="481">
        <f>D10</f>
        <v>1911</v>
      </c>
      <c r="G10" s="291" t="s">
        <v>526</v>
      </c>
      <c r="H10" s="292">
        <v>23.5</v>
      </c>
      <c r="I10" s="296">
        <f>I9-F10</f>
        <v>821.4699999999998</v>
      </c>
      <c r="J10" s="331">
        <f t="shared" ref="J10:J28" si="0">H10*F10</f>
        <v>44908.5</v>
      </c>
    </row>
    <row r="11" spans="1:10" x14ac:dyDescent="0.25">
      <c r="B11" s="93"/>
      <c r="C11" s="480">
        <v>1</v>
      </c>
      <c r="D11" s="683">
        <v>821.47</v>
      </c>
      <c r="E11" s="991">
        <v>44406</v>
      </c>
      <c r="F11" s="481">
        <f t="shared" ref="F11:F29" si="1">D11</f>
        <v>821.47</v>
      </c>
      <c r="G11" s="291" t="s">
        <v>556</v>
      </c>
      <c r="H11" s="292">
        <v>23.5</v>
      </c>
      <c r="I11" s="296">
        <f t="shared" ref="I11:I28" si="2">I10-F11</f>
        <v>0</v>
      </c>
      <c r="J11" s="331">
        <f t="shared" si="0"/>
        <v>19304.545000000002</v>
      </c>
    </row>
    <row r="12" spans="1:10" x14ac:dyDescent="0.25">
      <c r="A12" s="58" t="s">
        <v>33</v>
      </c>
      <c r="B12" s="93"/>
      <c r="C12" s="480"/>
      <c r="D12" s="683">
        <v>0</v>
      </c>
      <c r="E12" s="991"/>
      <c r="F12" s="481">
        <f t="shared" si="1"/>
        <v>0</v>
      </c>
      <c r="G12" s="1049"/>
      <c r="H12" s="1050"/>
      <c r="I12" s="1039">
        <f t="shared" si="2"/>
        <v>0</v>
      </c>
      <c r="J12" s="1061">
        <f t="shared" si="0"/>
        <v>0</v>
      </c>
    </row>
    <row r="13" spans="1:10" x14ac:dyDescent="0.25">
      <c r="B13" s="93"/>
      <c r="C13" s="480"/>
      <c r="D13" s="683">
        <v>0</v>
      </c>
      <c r="E13" s="991"/>
      <c r="F13" s="481">
        <f t="shared" si="1"/>
        <v>0</v>
      </c>
      <c r="G13" s="1049"/>
      <c r="H13" s="1050"/>
      <c r="I13" s="1039">
        <f t="shared" si="2"/>
        <v>0</v>
      </c>
      <c r="J13" s="1061">
        <f t="shared" si="0"/>
        <v>0</v>
      </c>
    </row>
    <row r="14" spans="1:10" x14ac:dyDescent="0.25">
      <c r="A14" s="19"/>
      <c r="B14" s="93"/>
      <c r="C14" s="480"/>
      <c r="D14" s="683">
        <v>0</v>
      </c>
      <c r="E14" s="991"/>
      <c r="F14" s="481">
        <f t="shared" si="1"/>
        <v>0</v>
      </c>
      <c r="G14" s="1049"/>
      <c r="H14" s="1050"/>
      <c r="I14" s="1039">
        <f t="shared" si="2"/>
        <v>0</v>
      </c>
      <c r="J14" s="1061">
        <f t="shared" si="0"/>
        <v>0</v>
      </c>
    </row>
    <row r="15" spans="1:10" x14ac:dyDescent="0.25">
      <c r="B15" s="93"/>
      <c r="C15" s="480"/>
      <c r="D15" s="683">
        <v>0</v>
      </c>
      <c r="E15" s="991"/>
      <c r="F15" s="481">
        <f t="shared" si="1"/>
        <v>0</v>
      </c>
      <c r="G15" s="1049"/>
      <c r="H15" s="1050"/>
      <c r="I15" s="1039">
        <f t="shared" si="2"/>
        <v>0</v>
      </c>
      <c r="J15" s="1061">
        <f t="shared" si="0"/>
        <v>0</v>
      </c>
    </row>
    <row r="16" spans="1:10" x14ac:dyDescent="0.25">
      <c r="B16" s="93"/>
      <c r="C16" s="480"/>
      <c r="D16" s="683">
        <v>0</v>
      </c>
      <c r="E16" s="991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3">
        <v>0</v>
      </c>
      <c r="E17" s="991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3">
        <v>0</v>
      </c>
      <c r="E18" s="532"/>
      <c r="F18" s="683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3">
        <v>0</v>
      </c>
      <c r="E19" s="532"/>
      <c r="F19" s="683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3">
        <v>0</v>
      </c>
      <c r="E20" s="532"/>
      <c r="F20" s="683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3">
        <v>0</v>
      </c>
      <c r="E21" s="532"/>
      <c r="F21" s="683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3">
        <v>0</v>
      </c>
      <c r="E22" s="532"/>
      <c r="F22" s="683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3">
        <v>0</v>
      </c>
      <c r="E23" s="532"/>
      <c r="F23" s="683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3">
        <v>0</v>
      </c>
      <c r="E24" s="532"/>
      <c r="F24" s="683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3">
        <v>0</v>
      </c>
      <c r="E25" s="532"/>
      <c r="F25" s="683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3">
        <v>0</v>
      </c>
      <c r="E26" s="532"/>
      <c r="F26" s="683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3">
        <f t="shared" ref="D27:D28" si="3">C27*B27</f>
        <v>0</v>
      </c>
      <c r="E27" s="532"/>
      <c r="F27" s="683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3">
        <f t="shared" si="3"/>
        <v>0</v>
      </c>
      <c r="E28" s="532"/>
      <c r="F28" s="683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4"/>
      <c r="D29" s="775">
        <f>B29*C29</f>
        <v>0</v>
      </c>
      <c r="E29" s="776"/>
      <c r="F29" s="683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5</v>
      </c>
      <c r="D30" s="110">
        <f>SUM(D9:D29)</f>
        <v>4119.12</v>
      </c>
      <c r="E30" s="79"/>
      <c r="F30" s="110">
        <f>SUM(F9:F29)</f>
        <v>4119.12</v>
      </c>
    </row>
    <row r="31" spans="1:10" ht="15.75" thickBot="1" x14ac:dyDescent="0.3">
      <c r="A31" s="48"/>
    </row>
    <row r="32" spans="1:10" x14ac:dyDescent="0.25">
      <c r="B32" s="5"/>
      <c r="D32" s="1109" t="s">
        <v>21</v>
      </c>
      <c r="E32" s="1110"/>
      <c r="F32" s="150">
        <f>E5-F30+E6+E7</f>
        <v>0</v>
      </c>
    </row>
    <row r="33" spans="1:6" ht="15.75" thickBot="1" x14ac:dyDescent="0.3">
      <c r="A33" s="132"/>
      <c r="D33" s="988" t="s">
        <v>4</v>
      </c>
      <c r="E33" s="989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171</v>
      </c>
      <c r="C5" s="590"/>
      <c r="D5" s="341"/>
      <c r="E5" s="564"/>
      <c r="F5" s="324"/>
      <c r="G5" s="980"/>
    </row>
    <row r="6" spans="1:8" ht="15.75" customHeight="1" x14ac:dyDescent="0.25">
      <c r="A6" s="1116"/>
      <c r="B6" s="1133" t="s">
        <v>86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16"/>
      <c r="B7" s="1134"/>
      <c r="C7" s="591"/>
      <c r="D7" s="341"/>
      <c r="E7" s="565"/>
      <c r="F7" s="268"/>
    </row>
    <row r="8" spans="1:8" ht="16.5" customHeight="1" thickBot="1" x14ac:dyDescent="0.3">
      <c r="A8" s="733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5"/>
      <c r="F10" s="876">
        <f>D10</f>
        <v>0</v>
      </c>
      <c r="G10" s="877"/>
      <c r="H10" s="878"/>
    </row>
    <row r="11" spans="1:8" x14ac:dyDescent="0.25">
      <c r="B11" s="568">
        <f>B10-C11</f>
        <v>0</v>
      </c>
      <c r="C11" s="15"/>
      <c r="D11" s="338">
        <v>0</v>
      </c>
      <c r="E11" s="875"/>
      <c r="F11" s="876">
        <f>D11</f>
        <v>0</v>
      </c>
      <c r="G11" s="877"/>
      <c r="H11" s="878"/>
    </row>
    <row r="12" spans="1:8" x14ac:dyDescent="0.25">
      <c r="B12" s="568">
        <f t="shared" ref="B12:B27" si="0">B11-C12</f>
        <v>0</v>
      </c>
      <c r="C12" s="15"/>
      <c r="D12" s="338">
        <v>0</v>
      </c>
      <c r="E12" s="875"/>
      <c r="F12" s="876">
        <f>D12</f>
        <v>0</v>
      </c>
      <c r="G12" s="877"/>
      <c r="H12" s="878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5"/>
      <c r="F13" s="876">
        <f>D13</f>
        <v>0</v>
      </c>
      <c r="G13" s="877"/>
      <c r="H13" s="878"/>
    </row>
    <row r="14" spans="1:8" x14ac:dyDescent="0.25">
      <c r="B14" s="568">
        <f t="shared" si="0"/>
        <v>0</v>
      </c>
      <c r="C14" s="15"/>
      <c r="D14" s="338">
        <v>0</v>
      </c>
      <c r="E14" s="875"/>
      <c r="F14" s="876">
        <f t="shared" ref="F14:F27" si="1">D14</f>
        <v>0</v>
      </c>
      <c r="G14" s="877"/>
      <c r="H14" s="878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5"/>
      <c r="F15" s="876">
        <f t="shared" si="1"/>
        <v>0</v>
      </c>
      <c r="G15" s="877"/>
      <c r="H15" s="878"/>
    </row>
    <row r="16" spans="1:8" x14ac:dyDescent="0.25">
      <c r="B16" s="568">
        <f t="shared" si="0"/>
        <v>0</v>
      </c>
      <c r="C16" s="15"/>
      <c r="D16" s="338">
        <v>0</v>
      </c>
      <c r="E16" s="875"/>
      <c r="F16" s="876">
        <f t="shared" si="1"/>
        <v>0</v>
      </c>
      <c r="G16" s="877"/>
      <c r="H16" s="878"/>
    </row>
    <row r="17" spans="1:8" x14ac:dyDescent="0.25">
      <c r="B17" s="568">
        <f t="shared" si="0"/>
        <v>0</v>
      </c>
      <c r="C17" s="15"/>
      <c r="D17" s="338">
        <v>0</v>
      </c>
      <c r="E17" s="875"/>
      <c r="F17" s="876">
        <f t="shared" si="1"/>
        <v>0</v>
      </c>
      <c r="G17" s="877"/>
      <c r="H17" s="878"/>
    </row>
    <row r="18" spans="1:8" x14ac:dyDescent="0.25">
      <c r="B18" s="568">
        <f t="shared" si="0"/>
        <v>0</v>
      </c>
      <c r="C18" s="15"/>
      <c r="D18" s="338">
        <v>0</v>
      </c>
      <c r="E18" s="875"/>
      <c r="F18" s="876">
        <f t="shared" si="1"/>
        <v>0</v>
      </c>
      <c r="G18" s="877"/>
      <c r="H18" s="878"/>
    </row>
    <row r="19" spans="1:8" x14ac:dyDescent="0.25">
      <c r="B19" s="568">
        <f t="shared" si="0"/>
        <v>0</v>
      </c>
      <c r="C19" s="15"/>
      <c r="D19" s="338">
        <v>0</v>
      </c>
      <c r="E19" s="875"/>
      <c r="F19" s="876">
        <f t="shared" si="1"/>
        <v>0</v>
      </c>
      <c r="G19" s="877"/>
      <c r="H19" s="878"/>
    </row>
    <row r="20" spans="1:8" x14ac:dyDescent="0.25">
      <c r="B20" s="568">
        <f t="shared" si="0"/>
        <v>0</v>
      </c>
      <c r="C20" s="15"/>
      <c r="D20" s="338">
        <v>0</v>
      </c>
      <c r="E20" s="875"/>
      <c r="F20" s="876">
        <f t="shared" si="1"/>
        <v>0</v>
      </c>
      <c r="G20" s="877"/>
      <c r="H20" s="878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109" t="s">
        <v>21</v>
      </c>
      <c r="E30" s="1110"/>
      <c r="F30" s="150">
        <f>E5+E6-F28+E7+E4+E8</f>
        <v>0</v>
      </c>
    </row>
    <row r="31" spans="1:8" ht="15.75" thickBot="1" x14ac:dyDescent="0.3">
      <c r="A31" s="132"/>
      <c r="D31" s="731" t="s">
        <v>4</v>
      </c>
      <c r="E31" s="732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P56" activePane="bottomRight" state="frozen"/>
      <selection activeCell="L1" sqref="L1"/>
      <selection pane="topRight" activeCell="M1" sqref="M1"/>
      <selection pane="bottomLeft" activeCell="L9" sqref="L9"/>
      <selection pane="bottomRight" activeCell="Z75" sqref="Z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x14ac:dyDescent="0.55000000000000004">
      <c r="A1" s="1124" t="s">
        <v>267</v>
      </c>
      <c r="B1" s="1124"/>
      <c r="C1" s="1124"/>
      <c r="D1" s="1124"/>
      <c r="E1" s="1124"/>
      <c r="F1" s="1124"/>
      <c r="G1" s="1124"/>
      <c r="H1" s="11">
        <v>1</v>
      </c>
      <c r="M1" s="1124" t="s">
        <v>268</v>
      </c>
      <c r="N1" s="1124"/>
      <c r="O1" s="1124"/>
      <c r="P1" s="1124"/>
      <c r="Q1" s="1124"/>
      <c r="R1" s="1124"/>
      <c r="S1" s="1124"/>
      <c r="T1" s="11">
        <v>3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</row>
    <row r="4" spans="1:23" ht="19.5" thickTop="1" x14ac:dyDescent="0.3">
      <c r="A4" s="1135" t="s">
        <v>106</v>
      </c>
      <c r="B4" s="352"/>
      <c r="C4" s="754"/>
      <c r="D4" s="270"/>
      <c r="E4" s="296"/>
      <c r="F4" s="268"/>
      <c r="G4" s="628"/>
      <c r="H4" s="265"/>
      <c r="I4" s="265"/>
      <c r="M4" s="1135" t="s">
        <v>68</v>
      </c>
      <c r="N4" s="352"/>
      <c r="O4" s="754"/>
      <c r="P4" s="270"/>
      <c r="Q4" s="296"/>
      <c r="R4" s="268"/>
      <c r="S4" s="628"/>
      <c r="T4" s="265"/>
      <c r="U4" s="265"/>
    </row>
    <row r="5" spans="1:23" ht="15.75" customHeight="1" x14ac:dyDescent="0.25">
      <c r="A5" s="1136"/>
      <c r="B5" s="12" t="s">
        <v>51</v>
      </c>
      <c r="C5" s="755">
        <v>56</v>
      </c>
      <c r="D5" s="144">
        <v>44343</v>
      </c>
      <c r="E5" s="139">
        <v>18291.84</v>
      </c>
      <c r="F5" s="76">
        <v>672</v>
      </c>
      <c r="G5" s="48">
        <f>F94</f>
        <v>18291.839999999997</v>
      </c>
      <c r="H5" s="168">
        <f>E5+E6-G5+E4</f>
        <v>3.637978807091713E-12</v>
      </c>
      <c r="M5" s="1136"/>
      <c r="N5" s="12" t="s">
        <v>51</v>
      </c>
      <c r="O5" s="755">
        <v>58.65</v>
      </c>
      <c r="P5" s="144">
        <v>44372</v>
      </c>
      <c r="Q5" s="139">
        <v>18155.740000000002</v>
      </c>
      <c r="R5" s="76">
        <v>667</v>
      </c>
      <c r="S5" s="48">
        <f>R94</f>
        <v>18237.399999999998</v>
      </c>
      <c r="T5" s="168">
        <f>Q5+Q6-S5+Q4</f>
        <v>108.88000000000466</v>
      </c>
    </row>
    <row r="6" spans="1:23" ht="15.75" customHeight="1" x14ac:dyDescent="0.25">
      <c r="A6" s="1136"/>
      <c r="B6" s="172" t="s">
        <v>42</v>
      </c>
      <c r="C6" s="170"/>
      <c r="D6" s="144"/>
      <c r="E6" s="82"/>
      <c r="F6" s="65"/>
      <c r="M6" s="1136"/>
      <c r="N6" s="172" t="s">
        <v>42</v>
      </c>
      <c r="O6" s="170"/>
      <c r="P6" s="144"/>
      <c r="Q6" s="82">
        <v>190.54</v>
      </c>
      <c r="R6" s="65">
        <v>7</v>
      </c>
    </row>
    <row r="7" spans="1:23" ht="15.75" customHeight="1" thickBot="1" x14ac:dyDescent="0.3">
      <c r="A7" s="930"/>
      <c r="B7" s="172"/>
      <c r="C7" s="826"/>
      <c r="D7" s="270"/>
      <c r="E7" s="82"/>
      <c r="F7" s="65"/>
      <c r="M7" s="982"/>
      <c r="N7" s="172"/>
      <c r="O7" s="826"/>
      <c r="P7" s="270"/>
      <c r="Q7" s="82"/>
      <c r="R7" s="65"/>
    </row>
    <row r="8" spans="1:23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4" t="s">
        <v>110</v>
      </c>
      <c r="I8" s="795" t="s">
        <v>111</v>
      </c>
      <c r="J8" s="795" t="s">
        <v>112</v>
      </c>
      <c r="K8" s="796" t="s">
        <v>113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4" t="s">
        <v>110</v>
      </c>
      <c r="U8" s="795" t="s">
        <v>111</v>
      </c>
      <c r="V8" s="795" t="s">
        <v>112</v>
      </c>
      <c r="W8" s="796" t="s">
        <v>113</v>
      </c>
    </row>
    <row r="9" spans="1:23" ht="15.75" thickTop="1" x14ac:dyDescent="0.25">
      <c r="A9" s="58" t="s">
        <v>32</v>
      </c>
      <c r="B9" s="2">
        <v>27.22</v>
      </c>
      <c r="C9" s="15">
        <v>5</v>
      </c>
      <c r="D9" s="428">
        <f t="shared" ref="D9:D93" si="0">C9*B9</f>
        <v>136.1</v>
      </c>
      <c r="E9" s="359">
        <v>44357</v>
      </c>
      <c r="F9" s="72">
        <f t="shared" ref="F9:F93" si="1">D9</f>
        <v>136.1</v>
      </c>
      <c r="G9" s="73" t="s">
        <v>177</v>
      </c>
      <c r="H9" s="74">
        <v>60</v>
      </c>
      <c r="I9" s="797">
        <f>E5-F9+E4+E6</f>
        <v>18155.740000000002</v>
      </c>
      <c r="J9" s="798">
        <f>F5-C9+F4+F6</f>
        <v>667</v>
      </c>
      <c r="K9" s="799">
        <f>F9*H9</f>
        <v>8166</v>
      </c>
      <c r="M9" s="58" t="s">
        <v>32</v>
      </c>
      <c r="N9" s="2">
        <v>27.22</v>
      </c>
      <c r="O9" s="15">
        <v>11</v>
      </c>
      <c r="P9" s="428">
        <f t="shared" ref="P9:P72" si="2">O9*N9</f>
        <v>299.41999999999996</v>
      </c>
      <c r="Q9" s="359">
        <v>44382</v>
      </c>
      <c r="R9" s="72">
        <f t="shared" ref="R9:R72" si="3">P9</f>
        <v>299.41999999999996</v>
      </c>
      <c r="S9" s="73" t="s">
        <v>402</v>
      </c>
      <c r="T9" s="74">
        <v>60</v>
      </c>
      <c r="U9" s="797">
        <f>Q5-R9+Q4+Q6</f>
        <v>18046.860000000004</v>
      </c>
      <c r="V9" s="798">
        <f>R5-O9+R4+R6</f>
        <v>663</v>
      </c>
      <c r="W9" s="799">
        <f>R9*T9</f>
        <v>17965.199999999997</v>
      </c>
    </row>
    <row r="10" spans="1:23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44358</v>
      </c>
      <c r="F10" s="72">
        <f t="shared" si="1"/>
        <v>27.22</v>
      </c>
      <c r="G10" s="73" t="s">
        <v>173</v>
      </c>
      <c r="H10" s="74">
        <v>60</v>
      </c>
      <c r="I10" s="800">
        <f>I9-F10</f>
        <v>18128.52</v>
      </c>
      <c r="J10" s="801">
        <f>J9-C10</f>
        <v>666</v>
      </c>
      <c r="K10" s="802">
        <f t="shared" ref="K10:K93" si="4">F10*H10</f>
        <v>1633.1999999999998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44382</v>
      </c>
      <c r="R10" s="72">
        <f t="shared" si="3"/>
        <v>27.22</v>
      </c>
      <c r="S10" s="73" t="s">
        <v>403</v>
      </c>
      <c r="T10" s="74">
        <v>60</v>
      </c>
      <c r="U10" s="800">
        <f>U9-R10</f>
        <v>18019.640000000003</v>
      </c>
      <c r="V10" s="801">
        <f>V9-O10</f>
        <v>662</v>
      </c>
      <c r="W10" s="802">
        <f t="shared" ref="W10:W73" si="5">R10*T10</f>
        <v>1633.1999999999998</v>
      </c>
    </row>
    <row r="11" spans="1:23" ht="15.75" x14ac:dyDescent="0.25">
      <c r="A11" s="141"/>
      <c r="B11" s="2">
        <v>27.22</v>
      </c>
      <c r="C11" s="15">
        <v>30</v>
      </c>
      <c r="D11" s="428">
        <f t="shared" si="0"/>
        <v>816.59999999999991</v>
      </c>
      <c r="E11" s="359">
        <v>44358</v>
      </c>
      <c r="F11" s="72">
        <f t="shared" si="1"/>
        <v>816.59999999999991</v>
      </c>
      <c r="G11" s="291" t="s">
        <v>178</v>
      </c>
      <c r="H11" s="292">
        <v>60</v>
      </c>
      <c r="I11" s="841">
        <f>I10-F11+E7</f>
        <v>17311.920000000002</v>
      </c>
      <c r="J11" s="801">
        <f t="shared" ref="J11" si="6">J10-C11</f>
        <v>636</v>
      </c>
      <c r="K11" s="802">
        <f t="shared" si="4"/>
        <v>48995.999999999993</v>
      </c>
      <c r="M11" s="141"/>
      <c r="N11" s="2">
        <v>27.22</v>
      </c>
      <c r="O11" s="15">
        <v>2</v>
      </c>
      <c r="P11" s="428">
        <f t="shared" si="2"/>
        <v>54.44</v>
      </c>
      <c r="Q11" s="359">
        <v>44382</v>
      </c>
      <c r="R11" s="72">
        <f t="shared" si="3"/>
        <v>54.44</v>
      </c>
      <c r="S11" s="291" t="s">
        <v>404</v>
      </c>
      <c r="T11" s="292">
        <v>60</v>
      </c>
      <c r="U11" s="841">
        <f>U10-R11+Q7</f>
        <v>17965.200000000004</v>
      </c>
      <c r="V11" s="801">
        <f t="shared" ref="V11" si="7">V10-O11</f>
        <v>660</v>
      </c>
      <c r="W11" s="802">
        <f t="shared" si="5"/>
        <v>3266.3999999999996</v>
      </c>
    </row>
    <row r="12" spans="1:23" x14ac:dyDescent="0.25">
      <c r="A12" s="58" t="s">
        <v>33</v>
      </c>
      <c r="B12" s="2">
        <v>27.22</v>
      </c>
      <c r="C12" s="15">
        <v>20</v>
      </c>
      <c r="D12" s="428">
        <f t="shared" si="0"/>
        <v>544.4</v>
      </c>
      <c r="E12" s="359">
        <v>44358</v>
      </c>
      <c r="F12" s="72">
        <f t="shared" si="1"/>
        <v>544.4</v>
      </c>
      <c r="G12" s="291" t="s">
        <v>179</v>
      </c>
      <c r="H12" s="292">
        <v>60</v>
      </c>
      <c r="I12" s="800">
        <f>I11-F12</f>
        <v>16767.52</v>
      </c>
      <c r="J12" s="801">
        <f>J11-C12</f>
        <v>616</v>
      </c>
      <c r="K12" s="802">
        <f t="shared" si="4"/>
        <v>32664</v>
      </c>
      <c r="M12" s="58" t="s">
        <v>33</v>
      </c>
      <c r="N12" s="2">
        <v>27.22</v>
      </c>
      <c r="O12" s="15">
        <v>5</v>
      </c>
      <c r="P12" s="428">
        <f t="shared" si="2"/>
        <v>136.1</v>
      </c>
      <c r="Q12" s="359">
        <v>44382</v>
      </c>
      <c r="R12" s="72">
        <f t="shared" si="3"/>
        <v>136.1</v>
      </c>
      <c r="S12" s="291" t="s">
        <v>407</v>
      </c>
      <c r="T12" s="292">
        <v>60</v>
      </c>
      <c r="U12" s="800">
        <f>U11-R12</f>
        <v>17829.100000000006</v>
      </c>
      <c r="V12" s="801">
        <f>V11-O12</f>
        <v>655</v>
      </c>
      <c r="W12" s="802">
        <f t="shared" si="5"/>
        <v>8166</v>
      </c>
    </row>
    <row r="13" spans="1:23" ht="15" customHeight="1" x14ac:dyDescent="0.25">
      <c r="A13" s="753"/>
      <c r="B13" s="348">
        <v>27.22</v>
      </c>
      <c r="C13" s="15">
        <v>32</v>
      </c>
      <c r="D13" s="428">
        <f t="shared" si="0"/>
        <v>871.04</v>
      </c>
      <c r="E13" s="359">
        <v>44358</v>
      </c>
      <c r="F13" s="72">
        <f t="shared" si="1"/>
        <v>871.04</v>
      </c>
      <c r="G13" s="73" t="s">
        <v>180</v>
      </c>
      <c r="H13" s="74">
        <v>60</v>
      </c>
      <c r="I13" s="800">
        <f t="shared" ref="I13:I76" si="8">I12-F13</f>
        <v>15896.48</v>
      </c>
      <c r="J13" s="801">
        <f t="shared" ref="J13:J76" si="9">J12-C13</f>
        <v>584</v>
      </c>
      <c r="K13" s="802">
        <f t="shared" si="4"/>
        <v>52262.399999999994</v>
      </c>
      <c r="M13" s="753"/>
      <c r="N13" s="348">
        <v>27.22</v>
      </c>
      <c r="O13" s="15">
        <v>2</v>
      </c>
      <c r="P13" s="1042">
        <f t="shared" si="2"/>
        <v>54.44</v>
      </c>
      <c r="Q13" s="1043">
        <v>44383</v>
      </c>
      <c r="R13" s="545">
        <f t="shared" si="3"/>
        <v>54.44</v>
      </c>
      <c r="S13" s="636" t="s">
        <v>411</v>
      </c>
      <c r="T13" s="637">
        <v>60</v>
      </c>
      <c r="U13" s="800">
        <f t="shared" ref="U13:U76" si="10">U12-R13</f>
        <v>17774.660000000007</v>
      </c>
      <c r="V13" s="801">
        <f t="shared" ref="V13:V76" si="11">V12-O13</f>
        <v>653</v>
      </c>
      <c r="W13" s="802">
        <f t="shared" si="5"/>
        <v>3266.3999999999996</v>
      </c>
    </row>
    <row r="14" spans="1:23" x14ac:dyDescent="0.25">
      <c r="A14" s="753"/>
      <c r="B14" s="348">
        <v>27.22</v>
      </c>
      <c r="C14" s="15">
        <v>2</v>
      </c>
      <c r="D14" s="428">
        <f t="shared" si="0"/>
        <v>54.44</v>
      </c>
      <c r="E14" s="359">
        <v>44358</v>
      </c>
      <c r="F14" s="72">
        <f t="shared" si="1"/>
        <v>54.44</v>
      </c>
      <c r="G14" s="73" t="s">
        <v>181</v>
      </c>
      <c r="H14" s="74">
        <v>60</v>
      </c>
      <c r="I14" s="800">
        <f t="shared" si="8"/>
        <v>15842.039999999999</v>
      </c>
      <c r="J14" s="801">
        <f t="shared" si="9"/>
        <v>582</v>
      </c>
      <c r="K14" s="802">
        <f t="shared" si="4"/>
        <v>3266.3999999999996</v>
      </c>
      <c r="M14" s="753"/>
      <c r="N14" s="348">
        <v>27.22</v>
      </c>
      <c r="O14" s="15">
        <v>6</v>
      </c>
      <c r="P14" s="1042">
        <f t="shared" si="2"/>
        <v>163.32</v>
      </c>
      <c r="Q14" s="1043">
        <v>44384</v>
      </c>
      <c r="R14" s="545">
        <f t="shared" si="3"/>
        <v>163.32</v>
      </c>
      <c r="S14" s="636" t="s">
        <v>414</v>
      </c>
      <c r="T14" s="637">
        <v>60</v>
      </c>
      <c r="U14" s="800">
        <f t="shared" si="10"/>
        <v>17611.340000000007</v>
      </c>
      <c r="V14" s="801">
        <f t="shared" si="11"/>
        <v>647</v>
      </c>
      <c r="W14" s="802">
        <f t="shared" si="5"/>
        <v>9799.1999999999989</v>
      </c>
    </row>
    <row r="15" spans="1:23" x14ac:dyDescent="0.25">
      <c r="A15" s="753"/>
      <c r="B15" s="348">
        <v>27.22</v>
      </c>
      <c r="C15" s="15">
        <v>1</v>
      </c>
      <c r="D15" s="428">
        <f t="shared" si="0"/>
        <v>27.22</v>
      </c>
      <c r="E15" s="359">
        <v>44358</v>
      </c>
      <c r="F15" s="72">
        <f t="shared" si="1"/>
        <v>27.22</v>
      </c>
      <c r="G15" s="73" t="s">
        <v>174</v>
      </c>
      <c r="H15" s="74">
        <v>60</v>
      </c>
      <c r="I15" s="800">
        <f t="shared" si="8"/>
        <v>15814.82</v>
      </c>
      <c r="J15" s="801">
        <f t="shared" si="9"/>
        <v>581</v>
      </c>
      <c r="K15" s="802">
        <f t="shared" si="4"/>
        <v>1633.1999999999998</v>
      </c>
      <c r="M15" s="753"/>
      <c r="N15" s="348">
        <v>27.22</v>
      </c>
      <c r="O15" s="15">
        <v>1</v>
      </c>
      <c r="P15" s="1042">
        <f t="shared" si="2"/>
        <v>27.22</v>
      </c>
      <c r="Q15" s="1043">
        <v>44384</v>
      </c>
      <c r="R15" s="545">
        <f t="shared" si="3"/>
        <v>27.22</v>
      </c>
      <c r="S15" s="636" t="s">
        <v>415</v>
      </c>
      <c r="T15" s="637">
        <v>60</v>
      </c>
      <c r="U15" s="800">
        <f t="shared" si="10"/>
        <v>17584.120000000006</v>
      </c>
      <c r="V15" s="801">
        <f t="shared" si="11"/>
        <v>646</v>
      </c>
      <c r="W15" s="802">
        <f t="shared" si="5"/>
        <v>1633.1999999999998</v>
      </c>
    </row>
    <row r="16" spans="1:23" x14ac:dyDescent="0.25">
      <c r="A16" s="753"/>
      <c r="B16" s="348">
        <v>27.22</v>
      </c>
      <c r="C16" s="15">
        <v>15</v>
      </c>
      <c r="D16" s="428">
        <f t="shared" si="0"/>
        <v>408.29999999999995</v>
      </c>
      <c r="E16" s="359">
        <v>44361</v>
      </c>
      <c r="F16" s="72">
        <f t="shared" si="1"/>
        <v>408.29999999999995</v>
      </c>
      <c r="G16" s="73" t="s">
        <v>183</v>
      </c>
      <c r="H16" s="74">
        <v>60</v>
      </c>
      <c r="I16" s="800">
        <f t="shared" si="8"/>
        <v>15406.52</v>
      </c>
      <c r="J16" s="801">
        <f t="shared" si="9"/>
        <v>566</v>
      </c>
      <c r="K16" s="802">
        <f t="shared" si="4"/>
        <v>24497.999999999996</v>
      </c>
      <c r="M16" s="753"/>
      <c r="N16" s="348">
        <v>27.22</v>
      </c>
      <c r="O16" s="15">
        <v>1</v>
      </c>
      <c r="P16" s="1042">
        <f t="shared" si="2"/>
        <v>27.22</v>
      </c>
      <c r="Q16" s="1043">
        <v>44384</v>
      </c>
      <c r="R16" s="545">
        <f t="shared" si="3"/>
        <v>27.22</v>
      </c>
      <c r="S16" s="636" t="s">
        <v>416</v>
      </c>
      <c r="T16" s="637">
        <v>60</v>
      </c>
      <c r="U16" s="800">
        <f t="shared" si="10"/>
        <v>17556.900000000005</v>
      </c>
      <c r="V16" s="801">
        <f t="shared" si="11"/>
        <v>645</v>
      </c>
      <c r="W16" s="802">
        <f t="shared" si="5"/>
        <v>1633.1999999999998</v>
      </c>
    </row>
    <row r="17" spans="1:23" x14ac:dyDescent="0.25">
      <c r="A17" s="753"/>
      <c r="B17" s="348">
        <v>27.22</v>
      </c>
      <c r="C17" s="15">
        <v>1</v>
      </c>
      <c r="D17" s="428">
        <f t="shared" si="0"/>
        <v>27.22</v>
      </c>
      <c r="E17" s="357">
        <v>44361</v>
      </c>
      <c r="F17" s="72">
        <f t="shared" si="1"/>
        <v>27.22</v>
      </c>
      <c r="G17" s="73" t="s">
        <v>184</v>
      </c>
      <c r="H17" s="74">
        <v>60</v>
      </c>
      <c r="I17" s="800">
        <f t="shared" si="8"/>
        <v>15379.300000000001</v>
      </c>
      <c r="J17" s="801">
        <f t="shared" si="9"/>
        <v>565</v>
      </c>
      <c r="K17" s="802">
        <f t="shared" si="4"/>
        <v>1633.1999999999998</v>
      </c>
      <c r="M17" s="753"/>
      <c r="N17" s="348">
        <v>27.22</v>
      </c>
      <c r="O17" s="15">
        <v>2</v>
      </c>
      <c r="P17" s="1042">
        <f t="shared" si="2"/>
        <v>54.44</v>
      </c>
      <c r="Q17" s="959">
        <v>44384</v>
      </c>
      <c r="R17" s="545">
        <f t="shared" si="3"/>
        <v>54.44</v>
      </c>
      <c r="S17" s="636" t="s">
        <v>417</v>
      </c>
      <c r="T17" s="637">
        <v>60</v>
      </c>
      <c r="U17" s="800">
        <f t="shared" si="10"/>
        <v>17502.460000000006</v>
      </c>
      <c r="V17" s="801">
        <f t="shared" si="11"/>
        <v>643</v>
      </c>
      <c r="W17" s="802">
        <f t="shared" si="5"/>
        <v>3266.3999999999996</v>
      </c>
    </row>
    <row r="18" spans="1:23" x14ac:dyDescent="0.25">
      <c r="B18" s="2">
        <v>27.22</v>
      </c>
      <c r="C18" s="15">
        <v>5</v>
      </c>
      <c r="D18" s="428">
        <f t="shared" si="0"/>
        <v>136.1</v>
      </c>
      <c r="E18" s="359">
        <v>44361</v>
      </c>
      <c r="F18" s="72">
        <f t="shared" si="1"/>
        <v>136.1</v>
      </c>
      <c r="G18" s="73" t="s">
        <v>186</v>
      </c>
      <c r="H18" s="74">
        <v>60</v>
      </c>
      <c r="I18" s="800">
        <f t="shared" si="8"/>
        <v>15243.2</v>
      </c>
      <c r="J18" s="801">
        <f t="shared" si="9"/>
        <v>560</v>
      </c>
      <c r="K18" s="802">
        <f t="shared" si="4"/>
        <v>8166</v>
      </c>
      <c r="N18" s="2">
        <v>27.22</v>
      </c>
      <c r="O18" s="15">
        <v>3</v>
      </c>
      <c r="P18" s="1042">
        <f t="shared" si="2"/>
        <v>81.66</v>
      </c>
      <c r="Q18" s="1043">
        <v>44384</v>
      </c>
      <c r="R18" s="545">
        <f t="shared" si="3"/>
        <v>81.66</v>
      </c>
      <c r="S18" s="636" t="s">
        <v>418</v>
      </c>
      <c r="T18" s="637">
        <v>60</v>
      </c>
      <c r="U18" s="800">
        <f t="shared" si="10"/>
        <v>17420.800000000007</v>
      </c>
      <c r="V18" s="801">
        <f t="shared" si="11"/>
        <v>640</v>
      </c>
      <c r="W18" s="802">
        <f t="shared" si="5"/>
        <v>4899.5999999999995</v>
      </c>
    </row>
    <row r="19" spans="1:23" x14ac:dyDescent="0.25">
      <c r="B19" s="2">
        <v>27.22</v>
      </c>
      <c r="C19" s="15">
        <v>1</v>
      </c>
      <c r="D19" s="428">
        <f t="shared" si="0"/>
        <v>27.22</v>
      </c>
      <c r="E19" s="359">
        <v>44361</v>
      </c>
      <c r="F19" s="72">
        <f t="shared" si="1"/>
        <v>27.22</v>
      </c>
      <c r="G19" s="73" t="s">
        <v>185</v>
      </c>
      <c r="H19" s="74">
        <v>60</v>
      </c>
      <c r="I19" s="800">
        <f t="shared" si="8"/>
        <v>15215.980000000001</v>
      </c>
      <c r="J19" s="801">
        <f t="shared" si="9"/>
        <v>559</v>
      </c>
      <c r="K19" s="802">
        <f t="shared" si="4"/>
        <v>1633.1999999999998</v>
      </c>
      <c r="N19" s="2">
        <v>27.22</v>
      </c>
      <c r="O19" s="15">
        <v>1</v>
      </c>
      <c r="P19" s="1042">
        <f t="shared" si="2"/>
        <v>27.22</v>
      </c>
      <c r="Q19" s="1043">
        <v>44385</v>
      </c>
      <c r="R19" s="545">
        <f t="shared" si="3"/>
        <v>27.22</v>
      </c>
      <c r="S19" s="636" t="s">
        <v>423</v>
      </c>
      <c r="T19" s="637">
        <v>60</v>
      </c>
      <c r="U19" s="800">
        <f t="shared" si="10"/>
        <v>17393.580000000005</v>
      </c>
      <c r="V19" s="801">
        <f t="shared" si="11"/>
        <v>639</v>
      </c>
      <c r="W19" s="802">
        <f t="shared" si="5"/>
        <v>1633.1999999999998</v>
      </c>
    </row>
    <row r="20" spans="1:23" x14ac:dyDescent="0.25">
      <c r="B20" s="2">
        <v>27.22</v>
      </c>
      <c r="C20" s="15">
        <v>28</v>
      </c>
      <c r="D20" s="428">
        <f t="shared" si="0"/>
        <v>762.16</v>
      </c>
      <c r="E20" s="357">
        <v>44361</v>
      </c>
      <c r="F20" s="72">
        <f t="shared" si="1"/>
        <v>762.16</v>
      </c>
      <c r="G20" s="73" t="s">
        <v>187</v>
      </c>
      <c r="H20" s="74">
        <v>60</v>
      </c>
      <c r="I20" s="800">
        <f t="shared" si="8"/>
        <v>14453.820000000002</v>
      </c>
      <c r="J20" s="801">
        <f t="shared" si="9"/>
        <v>531</v>
      </c>
      <c r="K20" s="802">
        <f t="shared" si="4"/>
        <v>45729.599999999999</v>
      </c>
      <c r="N20" s="2">
        <v>27.22</v>
      </c>
      <c r="O20" s="15">
        <v>24</v>
      </c>
      <c r="P20" s="1042">
        <f t="shared" si="2"/>
        <v>653.28</v>
      </c>
      <c r="Q20" s="959">
        <v>44385</v>
      </c>
      <c r="R20" s="545">
        <f t="shared" si="3"/>
        <v>653.28</v>
      </c>
      <c r="S20" s="636" t="s">
        <v>430</v>
      </c>
      <c r="T20" s="637">
        <v>60</v>
      </c>
      <c r="U20" s="800">
        <f t="shared" si="10"/>
        <v>16740.300000000007</v>
      </c>
      <c r="V20" s="801">
        <f t="shared" si="11"/>
        <v>615</v>
      </c>
      <c r="W20" s="802">
        <f t="shared" si="5"/>
        <v>39196.799999999996</v>
      </c>
    </row>
    <row r="21" spans="1:23" x14ac:dyDescent="0.25">
      <c r="B21" s="2">
        <v>27.22</v>
      </c>
      <c r="C21" s="15">
        <v>2</v>
      </c>
      <c r="D21" s="428">
        <f t="shared" si="0"/>
        <v>54.44</v>
      </c>
      <c r="E21" s="357">
        <v>44362</v>
      </c>
      <c r="F21" s="72">
        <f t="shared" si="1"/>
        <v>54.44</v>
      </c>
      <c r="G21" s="73" t="s">
        <v>188</v>
      </c>
      <c r="H21" s="74">
        <v>60</v>
      </c>
      <c r="I21" s="800">
        <f t="shared" si="8"/>
        <v>14399.380000000001</v>
      </c>
      <c r="J21" s="801">
        <f t="shared" si="9"/>
        <v>529</v>
      </c>
      <c r="K21" s="802">
        <f t="shared" si="4"/>
        <v>3266.3999999999996</v>
      </c>
      <c r="N21" s="2">
        <v>27.22</v>
      </c>
      <c r="O21" s="15">
        <v>5</v>
      </c>
      <c r="P21" s="1042">
        <f t="shared" si="2"/>
        <v>136.1</v>
      </c>
      <c r="Q21" s="959">
        <v>44385</v>
      </c>
      <c r="R21" s="545">
        <f t="shared" si="3"/>
        <v>136.1</v>
      </c>
      <c r="S21" s="636" t="s">
        <v>421</v>
      </c>
      <c r="T21" s="637">
        <v>60</v>
      </c>
      <c r="U21" s="800">
        <f t="shared" si="10"/>
        <v>16604.200000000008</v>
      </c>
      <c r="V21" s="801">
        <f t="shared" si="11"/>
        <v>610</v>
      </c>
      <c r="W21" s="802">
        <f t="shared" si="5"/>
        <v>8166</v>
      </c>
    </row>
    <row r="22" spans="1:23" x14ac:dyDescent="0.25">
      <c r="A22" t="s">
        <v>22</v>
      </c>
      <c r="B22" s="2">
        <v>27.22</v>
      </c>
      <c r="C22" s="15">
        <v>2</v>
      </c>
      <c r="D22" s="428">
        <f t="shared" si="0"/>
        <v>54.44</v>
      </c>
      <c r="E22" s="357">
        <v>44363</v>
      </c>
      <c r="F22" s="72">
        <f t="shared" si="1"/>
        <v>54.44</v>
      </c>
      <c r="G22" s="73" t="s">
        <v>190</v>
      </c>
      <c r="H22" s="74">
        <v>60</v>
      </c>
      <c r="I22" s="800">
        <f t="shared" si="8"/>
        <v>14344.94</v>
      </c>
      <c r="J22" s="801">
        <f t="shared" si="9"/>
        <v>527</v>
      </c>
      <c r="K22" s="802">
        <f t="shared" si="4"/>
        <v>3266.3999999999996</v>
      </c>
      <c r="M22" t="s">
        <v>22</v>
      </c>
      <c r="N22" s="2">
        <v>27.22</v>
      </c>
      <c r="O22" s="15">
        <v>29</v>
      </c>
      <c r="P22" s="1042">
        <f t="shared" si="2"/>
        <v>789.38</v>
      </c>
      <c r="Q22" s="959">
        <v>44385</v>
      </c>
      <c r="R22" s="545">
        <f t="shared" si="3"/>
        <v>789.38</v>
      </c>
      <c r="S22" s="636" t="s">
        <v>432</v>
      </c>
      <c r="T22" s="637">
        <v>60</v>
      </c>
      <c r="U22" s="800">
        <f t="shared" si="10"/>
        <v>15814.820000000009</v>
      </c>
      <c r="V22" s="801">
        <f t="shared" si="11"/>
        <v>581</v>
      </c>
      <c r="W22" s="802">
        <f t="shared" si="5"/>
        <v>47362.8</v>
      </c>
    </row>
    <row r="23" spans="1:23" x14ac:dyDescent="0.25">
      <c r="B23" s="2">
        <v>27.22</v>
      </c>
      <c r="C23" s="15">
        <v>3</v>
      </c>
      <c r="D23" s="428">
        <f t="shared" si="0"/>
        <v>81.66</v>
      </c>
      <c r="E23" s="359">
        <v>44363</v>
      </c>
      <c r="F23" s="72">
        <f t="shared" si="1"/>
        <v>81.66</v>
      </c>
      <c r="G23" s="73" t="s">
        <v>191</v>
      </c>
      <c r="H23" s="74">
        <v>60</v>
      </c>
      <c r="I23" s="800">
        <f t="shared" si="8"/>
        <v>14263.28</v>
      </c>
      <c r="J23" s="801">
        <f t="shared" si="9"/>
        <v>524</v>
      </c>
      <c r="K23" s="802">
        <f t="shared" si="4"/>
        <v>4899.5999999999995</v>
      </c>
      <c r="N23" s="2">
        <v>27.22</v>
      </c>
      <c r="O23" s="15">
        <v>29</v>
      </c>
      <c r="P23" s="1042">
        <f t="shared" si="2"/>
        <v>789.38</v>
      </c>
      <c r="Q23" s="1043">
        <v>44385</v>
      </c>
      <c r="R23" s="545">
        <f t="shared" si="3"/>
        <v>789.38</v>
      </c>
      <c r="S23" s="636" t="s">
        <v>432</v>
      </c>
      <c r="T23" s="637">
        <v>60</v>
      </c>
      <c r="U23" s="800">
        <f t="shared" si="10"/>
        <v>15025.44000000001</v>
      </c>
      <c r="V23" s="801">
        <f t="shared" si="11"/>
        <v>552</v>
      </c>
      <c r="W23" s="802">
        <f t="shared" si="5"/>
        <v>47362.8</v>
      </c>
    </row>
    <row r="24" spans="1:23" x14ac:dyDescent="0.25">
      <c r="B24" s="2">
        <v>27.22</v>
      </c>
      <c r="C24" s="15">
        <v>5</v>
      </c>
      <c r="D24" s="428">
        <f t="shared" si="0"/>
        <v>136.1</v>
      </c>
      <c r="E24" s="357">
        <v>44363</v>
      </c>
      <c r="F24" s="72">
        <f t="shared" si="1"/>
        <v>136.1</v>
      </c>
      <c r="G24" s="73" t="s">
        <v>192</v>
      </c>
      <c r="H24" s="74">
        <v>60</v>
      </c>
      <c r="I24" s="800">
        <f t="shared" si="8"/>
        <v>14127.18</v>
      </c>
      <c r="J24" s="801">
        <f t="shared" si="9"/>
        <v>519</v>
      </c>
      <c r="K24" s="802">
        <f t="shared" si="4"/>
        <v>8166</v>
      </c>
      <c r="N24" s="2">
        <v>27.22</v>
      </c>
      <c r="O24" s="15">
        <v>3</v>
      </c>
      <c r="P24" s="1042">
        <f t="shared" si="2"/>
        <v>81.66</v>
      </c>
      <c r="Q24" s="959">
        <v>44386</v>
      </c>
      <c r="R24" s="545">
        <f t="shared" si="3"/>
        <v>81.66</v>
      </c>
      <c r="S24" s="636" t="s">
        <v>433</v>
      </c>
      <c r="T24" s="637">
        <v>60</v>
      </c>
      <c r="U24" s="800">
        <f t="shared" si="10"/>
        <v>14943.78000000001</v>
      </c>
      <c r="V24" s="801">
        <f t="shared" si="11"/>
        <v>549</v>
      </c>
      <c r="W24" s="802">
        <f t="shared" si="5"/>
        <v>4899.5999999999995</v>
      </c>
    </row>
    <row r="25" spans="1:23" x14ac:dyDescent="0.25">
      <c r="B25" s="2">
        <v>27.22</v>
      </c>
      <c r="C25" s="15">
        <v>58</v>
      </c>
      <c r="D25" s="428">
        <f t="shared" si="0"/>
        <v>1578.76</v>
      </c>
      <c r="E25" s="359">
        <v>44365</v>
      </c>
      <c r="F25" s="72">
        <f t="shared" si="1"/>
        <v>1578.76</v>
      </c>
      <c r="G25" s="73" t="s">
        <v>195</v>
      </c>
      <c r="H25" s="74">
        <v>60</v>
      </c>
      <c r="I25" s="800">
        <f t="shared" si="8"/>
        <v>12548.42</v>
      </c>
      <c r="J25" s="801">
        <f t="shared" si="9"/>
        <v>461</v>
      </c>
      <c r="K25" s="802">
        <f t="shared" si="4"/>
        <v>94725.6</v>
      </c>
      <c r="N25" s="2">
        <v>27.22</v>
      </c>
      <c r="O25" s="15">
        <v>32</v>
      </c>
      <c r="P25" s="1042">
        <f t="shared" si="2"/>
        <v>871.04</v>
      </c>
      <c r="Q25" s="1043">
        <v>44386</v>
      </c>
      <c r="R25" s="545">
        <f t="shared" si="3"/>
        <v>871.04</v>
      </c>
      <c r="S25" s="636" t="s">
        <v>442</v>
      </c>
      <c r="T25" s="637">
        <v>60</v>
      </c>
      <c r="U25" s="800">
        <f t="shared" si="10"/>
        <v>14072.740000000009</v>
      </c>
      <c r="V25" s="801">
        <f t="shared" si="11"/>
        <v>517</v>
      </c>
      <c r="W25" s="802">
        <f t="shared" si="5"/>
        <v>52262.399999999994</v>
      </c>
    </row>
    <row r="26" spans="1:23" x14ac:dyDescent="0.25">
      <c r="B26" s="2">
        <v>27.22</v>
      </c>
      <c r="C26" s="15">
        <v>32</v>
      </c>
      <c r="D26" s="428">
        <f t="shared" si="0"/>
        <v>871.04</v>
      </c>
      <c r="E26" s="359">
        <v>44365</v>
      </c>
      <c r="F26" s="72">
        <f t="shared" si="1"/>
        <v>871.04</v>
      </c>
      <c r="G26" s="73" t="s">
        <v>197</v>
      </c>
      <c r="H26" s="74">
        <v>60</v>
      </c>
      <c r="I26" s="800">
        <f t="shared" si="8"/>
        <v>11677.380000000001</v>
      </c>
      <c r="J26" s="801">
        <f t="shared" si="9"/>
        <v>429</v>
      </c>
      <c r="K26" s="802">
        <f t="shared" si="4"/>
        <v>52262.399999999994</v>
      </c>
      <c r="N26" s="2">
        <v>27.22</v>
      </c>
      <c r="O26" s="15">
        <v>4</v>
      </c>
      <c r="P26" s="1042">
        <f t="shared" si="2"/>
        <v>108.88</v>
      </c>
      <c r="Q26" s="1043">
        <v>44387</v>
      </c>
      <c r="R26" s="545">
        <f t="shared" si="3"/>
        <v>108.88</v>
      </c>
      <c r="S26" s="636" t="s">
        <v>446</v>
      </c>
      <c r="T26" s="637">
        <v>60</v>
      </c>
      <c r="U26" s="800">
        <f t="shared" si="10"/>
        <v>13963.86000000001</v>
      </c>
      <c r="V26" s="801">
        <f t="shared" si="11"/>
        <v>513</v>
      </c>
      <c r="W26" s="802">
        <f t="shared" si="5"/>
        <v>6532.7999999999993</v>
      </c>
    </row>
    <row r="27" spans="1:23" x14ac:dyDescent="0.25">
      <c r="B27" s="2">
        <v>27.22</v>
      </c>
      <c r="C27" s="15">
        <v>3</v>
      </c>
      <c r="D27" s="428">
        <f t="shared" si="0"/>
        <v>81.66</v>
      </c>
      <c r="E27" s="359">
        <v>44365</v>
      </c>
      <c r="F27" s="72">
        <f t="shared" si="1"/>
        <v>81.66</v>
      </c>
      <c r="G27" s="73" t="s">
        <v>198</v>
      </c>
      <c r="H27" s="74">
        <v>60</v>
      </c>
      <c r="I27" s="800">
        <f t="shared" si="8"/>
        <v>11595.720000000001</v>
      </c>
      <c r="J27" s="801">
        <f t="shared" si="9"/>
        <v>426</v>
      </c>
      <c r="K27" s="802">
        <f t="shared" si="4"/>
        <v>4899.5999999999995</v>
      </c>
      <c r="N27" s="2">
        <v>27.22</v>
      </c>
      <c r="O27" s="15">
        <v>23</v>
      </c>
      <c r="P27" s="1042">
        <f t="shared" si="2"/>
        <v>626.05999999999995</v>
      </c>
      <c r="Q27" s="1043">
        <v>44389</v>
      </c>
      <c r="R27" s="545">
        <f t="shared" si="3"/>
        <v>626.05999999999995</v>
      </c>
      <c r="S27" s="636" t="s">
        <v>450</v>
      </c>
      <c r="T27" s="637">
        <v>60</v>
      </c>
      <c r="U27" s="800">
        <f t="shared" si="10"/>
        <v>13337.80000000001</v>
      </c>
      <c r="V27" s="801">
        <f t="shared" si="11"/>
        <v>490</v>
      </c>
      <c r="W27" s="802">
        <f t="shared" si="5"/>
        <v>37563.599999999999</v>
      </c>
    </row>
    <row r="28" spans="1:23" x14ac:dyDescent="0.25">
      <c r="B28" s="2">
        <v>27.22</v>
      </c>
      <c r="C28" s="15">
        <v>2</v>
      </c>
      <c r="D28" s="428">
        <f t="shared" si="0"/>
        <v>54.44</v>
      </c>
      <c r="E28" s="359">
        <v>44365</v>
      </c>
      <c r="F28" s="72">
        <f t="shared" si="1"/>
        <v>54.44</v>
      </c>
      <c r="G28" s="73" t="s">
        <v>199</v>
      </c>
      <c r="H28" s="74">
        <v>60</v>
      </c>
      <c r="I28" s="800">
        <f t="shared" si="8"/>
        <v>11541.28</v>
      </c>
      <c r="J28" s="801">
        <f t="shared" si="9"/>
        <v>424</v>
      </c>
      <c r="K28" s="802">
        <f t="shared" si="4"/>
        <v>3266.3999999999996</v>
      </c>
      <c r="N28" s="2">
        <v>27.22</v>
      </c>
      <c r="O28" s="15">
        <v>1</v>
      </c>
      <c r="P28" s="1042">
        <f t="shared" si="2"/>
        <v>27.22</v>
      </c>
      <c r="Q28" s="1043">
        <v>44389</v>
      </c>
      <c r="R28" s="545">
        <f t="shared" si="3"/>
        <v>27.22</v>
      </c>
      <c r="S28" s="636" t="s">
        <v>451</v>
      </c>
      <c r="T28" s="637">
        <v>60</v>
      </c>
      <c r="U28" s="800">
        <f t="shared" si="10"/>
        <v>13310.580000000011</v>
      </c>
      <c r="V28" s="801">
        <f t="shared" si="11"/>
        <v>489</v>
      </c>
      <c r="W28" s="802">
        <f t="shared" si="5"/>
        <v>1633.1999999999998</v>
      </c>
    </row>
    <row r="29" spans="1:23" x14ac:dyDescent="0.25">
      <c r="B29" s="2">
        <v>27.22</v>
      </c>
      <c r="C29" s="15">
        <v>3</v>
      </c>
      <c r="D29" s="428">
        <f t="shared" si="0"/>
        <v>81.66</v>
      </c>
      <c r="E29" s="359">
        <v>44365</v>
      </c>
      <c r="F29" s="72">
        <f t="shared" si="1"/>
        <v>81.66</v>
      </c>
      <c r="G29" s="291" t="s">
        <v>200</v>
      </c>
      <c r="H29" s="292">
        <v>60</v>
      </c>
      <c r="I29" s="803">
        <f t="shared" si="8"/>
        <v>11459.62</v>
      </c>
      <c r="J29" s="804">
        <f t="shared" si="9"/>
        <v>421</v>
      </c>
      <c r="K29" s="802">
        <f t="shared" si="4"/>
        <v>4899.5999999999995</v>
      </c>
      <c r="N29" s="2">
        <v>27.22</v>
      </c>
      <c r="O29" s="15">
        <v>28</v>
      </c>
      <c r="P29" s="1042">
        <f t="shared" si="2"/>
        <v>762.16</v>
      </c>
      <c r="Q29" s="1043">
        <v>44389</v>
      </c>
      <c r="R29" s="545">
        <f t="shared" si="3"/>
        <v>762.16</v>
      </c>
      <c r="S29" s="546" t="s">
        <v>452</v>
      </c>
      <c r="T29" s="634">
        <v>60</v>
      </c>
      <c r="U29" s="803">
        <f t="shared" si="10"/>
        <v>12548.420000000011</v>
      </c>
      <c r="V29" s="804">
        <f t="shared" si="11"/>
        <v>461</v>
      </c>
      <c r="W29" s="802">
        <f t="shared" si="5"/>
        <v>45729.599999999999</v>
      </c>
    </row>
    <row r="30" spans="1:23" x14ac:dyDescent="0.25">
      <c r="B30" s="2">
        <v>27.22</v>
      </c>
      <c r="C30" s="15">
        <v>1</v>
      </c>
      <c r="D30" s="428">
        <f t="shared" si="0"/>
        <v>27.22</v>
      </c>
      <c r="E30" s="359">
        <v>44366</v>
      </c>
      <c r="F30" s="72">
        <f t="shared" si="1"/>
        <v>27.22</v>
      </c>
      <c r="G30" s="291" t="s">
        <v>201</v>
      </c>
      <c r="H30" s="292">
        <v>60</v>
      </c>
      <c r="I30" s="803">
        <f t="shared" si="8"/>
        <v>11432.400000000001</v>
      </c>
      <c r="J30" s="804">
        <f t="shared" si="9"/>
        <v>420</v>
      </c>
      <c r="K30" s="802">
        <f t="shared" si="4"/>
        <v>1633.1999999999998</v>
      </c>
      <c r="N30" s="2">
        <v>27.22</v>
      </c>
      <c r="O30" s="15">
        <v>1</v>
      </c>
      <c r="P30" s="1042">
        <f t="shared" si="2"/>
        <v>27.22</v>
      </c>
      <c r="Q30" s="1043">
        <v>44389</v>
      </c>
      <c r="R30" s="545">
        <f t="shared" si="3"/>
        <v>27.22</v>
      </c>
      <c r="S30" s="546" t="s">
        <v>453</v>
      </c>
      <c r="T30" s="634">
        <v>60</v>
      </c>
      <c r="U30" s="803">
        <f t="shared" si="10"/>
        <v>12521.200000000012</v>
      </c>
      <c r="V30" s="804">
        <f t="shared" si="11"/>
        <v>460</v>
      </c>
      <c r="W30" s="802">
        <f t="shared" si="5"/>
        <v>1633.1999999999998</v>
      </c>
    </row>
    <row r="31" spans="1:23" x14ac:dyDescent="0.25">
      <c r="B31" s="2">
        <v>27.22</v>
      </c>
      <c r="C31" s="15">
        <v>5</v>
      </c>
      <c r="D31" s="428">
        <f t="shared" si="0"/>
        <v>136.1</v>
      </c>
      <c r="E31" s="359">
        <v>44366</v>
      </c>
      <c r="F31" s="72">
        <f t="shared" si="1"/>
        <v>136.1</v>
      </c>
      <c r="G31" s="291" t="s">
        <v>202</v>
      </c>
      <c r="H31" s="292">
        <v>60</v>
      </c>
      <c r="I31" s="803">
        <f t="shared" si="8"/>
        <v>11296.300000000001</v>
      </c>
      <c r="J31" s="804">
        <f t="shared" si="9"/>
        <v>415</v>
      </c>
      <c r="K31" s="802">
        <f t="shared" si="4"/>
        <v>8166</v>
      </c>
      <c r="N31" s="2">
        <v>27.22</v>
      </c>
      <c r="O31" s="15">
        <v>6</v>
      </c>
      <c r="P31" s="1042">
        <f t="shared" si="2"/>
        <v>163.32</v>
      </c>
      <c r="Q31" s="1043">
        <v>44389</v>
      </c>
      <c r="R31" s="545">
        <f t="shared" si="3"/>
        <v>163.32</v>
      </c>
      <c r="S31" s="546" t="s">
        <v>454</v>
      </c>
      <c r="T31" s="634">
        <v>60</v>
      </c>
      <c r="U31" s="803">
        <f t="shared" si="10"/>
        <v>12357.880000000012</v>
      </c>
      <c r="V31" s="804">
        <f t="shared" si="11"/>
        <v>454</v>
      </c>
      <c r="W31" s="802">
        <f t="shared" si="5"/>
        <v>9799.1999999999989</v>
      </c>
    </row>
    <row r="32" spans="1:23" x14ac:dyDescent="0.25">
      <c r="B32" s="2">
        <v>27.22</v>
      </c>
      <c r="C32" s="15">
        <v>28</v>
      </c>
      <c r="D32" s="428">
        <f t="shared" si="0"/>
        <v>762.16</v>
      </c>
      <c r="E32" s="359">
        <v>44366</v>
      </c>
      <c r="F32" s="72">
        <f t="shared" si="1"/>
        <v>762.16</v>
      </c>
      <c r="G32" s="291" t="s">
        <v>203</v>
      </c>
      <c r="H32" s="292">
        <v>60</v>
      </c>
      <c r="I32" s="803">
        <f t="shared" si="8"/>
        <v>10534.140000000001</v>
      </c>
      <c r="J32" s="804">
        <f t="shared" si="9"/>
        <v>387</v>
      </c>
      <c r="K32" s="802">
        <f t="shared" si="4"/>
        <v>45729.599999999999</v>
      </c>
      <c r="N32" s="2">
        <v>27.22</v>
      </c>
      <c r="O32" s="15">
        <v>1</v>
      </c>
      <c r="P32" s="1042">
        <f t="shared" si="2"/>
        <v>27.22</v>
      </c>
      <c r="Q32" s="1043">
        <v>44390</v>
      </c>
      <c r="R32" s="545">
        <f t="shared" si="3"/>
        <v>27.22</v>
      </c>
      <c r="S32" s="546" t="s">
        <v>460</v>
      </c>
      <c r="T32" s="634">
        <v>60</v>
      </c>
      <c r="U32" s="803">
        <f t="shared" si="10"/>
        <v>12330.660000000013</v>
      </c>
      <c r="V32" s="804">
        <f t="shared" si="11"/>
        <v>453</v>
      </c>
      <c r="W32" s="802">
        <f t="shared" si="5"/>
        <v>1633.1999999999998</v>
      </c>
    </row>
    <row r="33" spans="2:23" x14ac:dyDescent="0.25">
      <c r="B33" s="2">
        <v>27.22</v>
      </c>
      <c r="C33" s="15">
        <v>21</v>
      </c>
      <c r="D33" s="428">
        <f t="shared" si="0"/>
        <v>571.62</v>
      </c>
      <c r="E33" s="359">
        <v>44368</v>
      </c>
      <c r="F33" s="72">
        <f t="shared" si="1"/>
        <v>571.62</v>
      </c>
      <c r="G33" s="291" t="s">
        <v>204</v>
      </c>
      <c r="H33" s="292">
        <v>60</v>
      </c>
      <c r="I33" s="803">
        <f t="shared" si="8"/>
        <v>9962.52</v>
      </c>
      <c r="J33" s="804">
        <f t="shared" si="9"/>
        <v>366</v>
      </c>
      <c r="K33" s="802">
        <f t="shared" si="4"/>
        <v>34297.199999999997</v>
      </c>
      <c r="N33" s="2">
        <v>27.22</v>
      </c>
      <c r="O33" s="15">
        <v>1</v>
      </c>
      <c r="P33" s="1042">
        <f t="shared" si="2"/>
        <v>27.22</v>
      </c>
      <c r="Q33" s="1043">
        <v>44390</v>
      </c>
      <c r="R33" s="545">
        <f t="shared" si="3"/>
        <v>27.22</v>
      </c>
      <c r="S33" s="546" t="s">
        <v>461</v>
      </c>
      <c r="T33" s="634">
        <v>60</v>
      </c>
      <c r="U33" s="803">
        <f t="shared" si="10"/>
        <v>12303.440000000013</v>
      </c>
      <c r="V33" s="804">
        <f t="shared" si="11"/>
        <v>452</v>
      </c>
      <c r="W33" s="802">
        <f t="shared" si="5"/>
        <v>1633.1999999999998</v>
      </c>
    </row>
    <row r="34" spans="2:23" x14ac:dyDescent="0.25">
      <c r="B34" s="2">
        <v>27.22</v>
      </c>
      <c r="C34" s="15">
        <v>1</v>
      </c>
      <c r="D34" s="428">
        <f t="shared" si="0"/>
        <v>27.22</v>
      </c>
      <c r="E34" s="359">
        <v>44368</v>
      </c>
      <c r="F34" s="72">
        <f t="shared" si="1"/>
        <v>27.22</v>
      </c>
      <c r="G34" s="73" t="s">
        <v>205</v>
      </c>
      <c r="H34" s="74">
        <v>60</v>
      </c>
      <c r="I34" s="800">
        <f t="shared" si="8"/>
        <v>9935.3000000000011</v>
      </c>
      <c r="J34" s="801">
        <f t="shared" si="9"/>
        <v>365</v>
      </c>
      <c r="K34" s="802">
        <f t="shared" si="4"/>
        <v>1633.1999999999998</v>
      </c>
      <c r="N34" s="2">
        <v>27.22</v>
      </c>
      <c r="O34" s="15">
        <v>20</v>
      </c>
      <c r="P34" s="1042">
        <f t="shared" si="2"/>
        <v>544.4</v>
      </c>
      <c r="Q34" s="1043">
        <v>44391</v>
      </c>
      <c r="R34" s="545">
        <f t="shared" si="3"/>
        <v>544.4</v>
      </c>
      <c r="S34" s="636" t="s">
        <v>464</v>
      </c>
      <c r="T34" s="637">
        <v>60</v>
      </c>
      <c r="U34" s="800">
        <f t="shared" si="10"/>
        <v>11759.040000000014</v>
      </c>
      <c r="V34" s="801">
        <f t="shared" si="11"/>
        <v>432</v>
      </c>
      <c r="W34" s="802">
        <f t="shared" si="5"/>
        <v>32664</v>
      </c>
    </row>
    <row r="35" spans="2:23" x14ac:dyDescent="0.25">
      <c r="B35" s="2">
        <v>27.22</v>
      </c>
      <c r="C35" s="15">
        <v>32</v>
      </c>
      <c r="D35" s="428">
        <f t="shared" si="0"/>
        <v>871.04</v>
      </c>
      <c r="E35" s="359">
        <v>44368</v>
      </c>
      <c r="F35" s="72">
        <f t="shared" si="1"/>
        <v>871.04</v>
      </c>
      <c r="G35" s="73" t="s">
        <v>206</v>
      </c>
      <c r="H35" s="74">
        <v>60</v>
      </c>
      <c r="I35" s="800">
        <f t="shared" si="8"/>
        <v>9064.260000000002</v>
      </c>
      <c r="J35" s="801">
        <f t="shared" si="9"/>
        <v>333</v>
      </c>
      <c r="K35" s="802">
        <f t="shared" si="4"/>
        <v>52262.399999999994</v>
      </c>
      <c r="N35" s="2">
        <v>27.22</v>
      </c>
      <c r="O35" s="15">
        <v>2</v>
      </c>
      <c r="P35" s="1042">
        <f t="shared" si="2"/>
        <v>54.44</v>
      </c>
      <c r="Q35" s="1043">
        <v>44391</v>
      </c>
      <c r="R35" s="545">
        <f t="shared" si="3"/>
        <v>54.44</v>
      </c>
      <c r="S35" s="636" t="s">
        <v>465</v>
      </c>
      <c r="T35" s="637">
        <v>60</v>
      </c>
      <c r="U35" s="800">
        <f t="shared" si="10"/>
        <v>11704.600000000013</v>
      </c>
      <c r="V35" s="801">
        <f t="shared" si="11"/>
        <v>430</v>
      </c>
      <c r="W35" s="802">
        <f t="shared" si="5"/>
        <v>3266.3999999999996</v>
      </c>
    </row>
    <row r="36" spans="2:23" x14ac:dyDescent="0.25">
      <c r="B36" s="2">
        <v>27.22</v>
      </c>
      <c r="C36" s="15">
        <v>5</v>
      </c>
      <c r="D36" s="428">
        <f t="shared" si="0"/>
        <v>136.1</v>
      </c>
      <c r="E36" s="359">
        <v>44370</v>
      </c>
      <c r="F36" s="72">
        <f t="shared" si="1"/>
        <v>136.1</v>
      </c>
      <c r="G36" s="73" t="s">
        <v>208</v>
      </c>
      <c r="H36" s="74">
        <v>60</v>
      </c>
      <c r="I36" s="800">
        <f t="shared" si="8"/>
        <v>8928.1600000000017</v>
      </c>
      <c r="J36" s="801">
        <f t="shared" si="9"/>
        <v>328</v>
      </c>
      <c r="K36" s="802">
        <f t="shared" si="4"/>
        <v>8166</v>
      </c>
      <c r="N36" s="2">
        <v>27.22</v>
      </c>
      <c r="O36" s="15">
        <v>1</v>
      </c>
      <c r="P36" s="1042">
        <f t="shared" si="2"/>
        <v>27.22</v>
      </c>
      <c r="Q36" s="1043">
        <v>44391</v>
      </c>
      <c r="R36" s="545">
        <f t="shared" si="3"/>
        <v>27.22</v>
      </c>
      <c r="S36" s="636" t="s">
        <v>466</v>
      </c>
      <c r="T36" s="637">
        <v>60</v>
      </c>
      <c r="U36" s="800">
        <f t="shared" si="10"/>
        <v>11677.380000000014</v>
      </c>
      <c r="V36" s="801">
        <f t="shared" si="11"/>
        <v>429</v>
      </c>
      <c r="W36" s="802">
        <f t="shared" si="5"/>
        <v>1633.1999999999998</v>
      </c>
    </row>
    <row r="37" spans="2:23" x14ac:dyDescent="0.25">
      <c r="B37" s="2">
        <v>27.22</v>
      </c>
      <c r="C37" s="15">
        <v>3</v>
      </c>
      <c r="D37" s="72">
        <f t="shared" si="0"/>
        <v>81.66</v>
      </c>
      <c r="E37" s="358">
        <v>44370</v>
      </c>
      <c r="F37" s="72">
        <f t="shared" si="1"/>
        <v>81.66</v>
      </c>
      <c r="G37" s="73" t="s">
        <v>210</v>
      </c>
      <c r="H37" s="74">
        <v>60</v>
      </c>
      <c r="I37" s="800">
        <f t="shared" si="8"/>
        <v>8846.5000000000018</v>
      </c>
      <c r="J37" s="801">
        <f t="shared" si="9"/>
        <v>325</v>
      </c>
      <c r="K37" s="802">
        <f t="shared" si="4"/>
        <v>4899.5999999999995</v>
      </c>
      <c r="N37" s="2">
        <v>27.22</v>
      </c>
      <c r="O37" s="15">
        <v>3</v>
      </c>
      <c r="P37" s="545">
        <f t="shared" si="2"/>
        <v>81.66</v>
      </c>
      <c r="Q37" s="548">
        <v>44391</v>
      </c>
      <c r="R37" s="545">
        <f t="shared" si="3"/>
        <v>81.66</v>
      </c>
      <c r="S37" s="636" t="s">
        <v>468</v>
      </c>
      <c r="T37" s="637">
        <v>60</v>
      </c>
      <c r="U37" s="800">
        <f t="shared" si="10"/>
        <v>11595.720000000014</v>
      </c>
      <c r="V37" s="801">
        <f t="shared" si="11"/>
        <v>426</v>
      </c>
      <c r="W37" s="802">
        <f t="shared" si="5"/>
        <v>4899.5999999999995</v>
      </c>
    </row>
    <row r="38" spans="2:23" x14ac:dyDescent="0.25">
      <c r="B38" s="2">
        <v>27.22</v>
      </c>
      <c r="C38" s="15">
        <v>5</v>
      </c>
      <c r="D38" s="72">
        <f t="shared" si="0"/>
        <v>136.1</v>
      </c>
      <c r="E38" s="358">
        <v>44370</v>
      </c>
      <c r="F38" s="72">
        <f t="shared" si="1"/>
        <v>136.1</v>
      </c>
      <c r="G38" s="73" t="s">
        <v>211</v>
      </c>
      <c r="H38" s="74">
        <v>60</v>
      </c>
      <c r="I38" s="800">
        <f t="shared" si="8"/>
        <v>8710.4000000000015</v>
      </c>
      <c r="J38" s="801">
        <f t="shared" si="9"/>
        <v>320</v>
      </c>
      <c r="K38" s="802">
        <f t="shared" si="4"/>
        <v>8166</v>
      </c>
      <c r="N38" s="2">
        <v>27.22</v>
      </c>
      <c r="O38" s="15">
        <v>1</v>
      </c>
      <c r="P38" s="545">
        <f t="shared" si="2"/>
        <v>27.22</v>
      </c>
      <c r="Q38" s="548">
        <v>44392</v>
      </c>
      <c r="R38" s="545">
        <f t="shared" si="3"/>
        <v>27.22</v>
      </c>
      <c r="S38" s="636" t="s">
        <v>471</v>
      </c>
      <c r="T38" s="637">
        <v>60</v>
      </c>
      <c r="U38" s="800">
        <f t="shared" si="10"/>
        <v>11568.500000000015</v>
      </c>
      <c r="V38" s="801">
        <f t="shared" si="11"/>
        <v>425</v>
      </c>
      <c r="W38" s="802">
        <f t="shared" si="5"/>
        <v>1633.1999999999998</v>
      </c>
    </row>
    <row r="39" spans="2:23" x14ac:dyDescent="0.25">
      <c r="B39" s="2">
        <v>27.22</v>
      </c>
      <c r="C39" s="15">
        <v>2</v>
      </c>
      <c r="D39" s="72">
        <f t="shared" si="0"/>
        <v>54.44</v>
      </c>
      <c r="E39" s="358">
        <v>44371</v>
      </c>
      <c r="F39" s="72">
        <f t="shared" si="1"/>
        <v>54.44</v>
      </c>
      <c r="G39" s="73" t="s">
        <v>214</v>
      </c>
      <c r="H39" s="74">
        <v>60</v>
      </c>
      <c r="I39" s="800">
        <f t="shared" si="8"/>
        <v>8655.9600000000009</v>
      </c>
      <c r="J39" s="801">
        <f t="shared" si="9"/>
        <v>318</v>
      </c>
      <c r="K39" s="802">
        <f t="shared" si="4"/>
        <v>3266.3999999999996</v>
      </c>
      <c r="N39" s="2">
        <v>27.22</v>
      </c>
      <c r="O39" s="15">
        <v>1</v>
      </c>
      <c r="P39" s="545">
        <f t="shared" si="2"/>
        <v>27.22</v>
      </c>
      <c r="Q39" s="548">
        <v>44392</v>
      </c>
      <c r="R39" s="545">
        <f t="shared" si="3"/>
        <v>27.22</v>
      </c>
      <c r="S39" s="636" t="s">
        <v>472</v>
      </c>
      <c r="T39" s="637">
        <v>60</v>
      </c>
      <c r="U39" s="800">
        <f t="shared" si="10"/>
        <v>11541.280000000015</v>
      </c>
      <c r="V39" s="801">
        <f t="shared" si="11"/>
        <v>424</v>
      </c>
      <c r="W39" s="802">
        <f t="shared" si="5"/>
        <v>1633.1999999999998</v>
      </c>
    </row>
    <row r="40" spans="2:23" x14ac:dyDescent="0.25">
      <c r="B40" s="2">
        <v>27.22</v>
      </c>
      <c r="C40" s="15">
        <v>32</v>
      </c>
      <c r="D40" s="72">
        <f t="shared" si="0"/>
        <v>871.04</v>
      </c>
      <c r="E40" s="358">
        <v>44372</v>
      </c>
      <c r="F40" s="72">
        <f t="shared" si="1"/>
        <v>871.04</v>
      </c>
      <c r="G40" s="73" t="s">
        <v>216</v>
      </c>
      <c r="H40" s="74">
        <v>60</v>
      </c>
      <c r="I40" s="800">
        <f t="shared" si="8"/>
        <v>7784.920000000001</v>
      </c>
      <c r="J40" s="801">
        <f t="shared" si="9"/>
        <v>286</v>
      </c>
      <c r="K40" s="802">
        <f t="shared" si="4"/>
        <v>52262.399999999994</v>
      </c>
      <c r="N40" s="2">
        <v>27.22</v>
      </c>
      <c r="O40" s="15">
        <v>20</v>
      </c>
      <c r="P40" s="545">
        <f t="shared" si="2"/>
        <v>544.4</v>
      </c>
      <c r="Q40" s="548">
        <v>44392</v>
      </c>
      <c r="R40" s="545">
        <f t="shared" si="3"/>
        <v>544.4</v>
      </c>
      <c r="S40" s="636" t="s">
        <v>475</v>
      </c>
      <c r="T40" s="637">
        <v>60</v>
      </c>
      <c r="U40" s="800">
        <f t="shared" si="10"/>
        <v>10996.880000000016</v>
      </c>
      <c r="V40" s="801">
        <f t="shared" si="11"/>
        <v>404</v>
      </c>
      <c r="W40" s="802">
        <f t="shared" si="5"/>
        <v>32664</v>
      </c>
    </row>
    <row r="41" spans="2:23" x14ac:dyDescent="0.25">
      <c r="B41" s="2">
        <v>27.22</v>
      </c>
      <c r="C41" s="15">
        <v>1</v>
      </c>
      <c r="D41" s="72">
        <f t="shared" si="0"/>
        <v>27.22</v>
      </c>
      <c r="E41" s="358">
        <v>44372</v>
      </c>
      <c r="F41" s="72">
        <f t="shared" si="1"/>
        <v>27.22</v>
      </c>
      <c r="G41" s="73" t="s">
        <v>212</v>
      </c>
      <c r="H41" s="74">
        <v>60</v>
      </c>
      <c r="I41" s="800">
        <f t="shared" si="8"/>
        <v>7757.7000000000007</v>
      </c>
      <c r="J41" s="801">
        <f t="shared" si="9"/>
        <v>285</v>
      </c>
      <c r="K41" s="802">
        <f t="shared" si="4"/>
        <v>1633.1999999999998</v>
      </c>
      <c r="N41" s="2">
        <v>27.22</v>
      </c>
      <c r="O41" s="15">
        <v>30</v>
      </c>
      <c r="P41" s="545">
        <f t="shared" si="2"/>
        <v>816.59999999999991</v>
      </c>
      <c r="Q41" s="548">
        <v>44392</v>
      </c>
      <c r="R41" s="545">
        <f t="shared" si="3"/>
        <v>816.59999999999991</v>
      </c>
      <c r="S41" s="636" t="s">
        <v>476</v>
      </c>
      <c r="T41" s="637">
        <v>60</v>
      </c>
      <c r="U41" s="800">
        <f t="shared" si="10"/>
        <v>10180.280000000015</v>
      </c>
      <c r="V41" s="801">
        <f t="shared" si="11"/>
        <v>374</v>
      </c>
      <c r="W41" s="802">
        <f t="shared" si="5"/>
        <v>48995.999999999993</v>
      </c>
    </row>
    <row r="42" spans="2:23" x14ac:dyDescent="0.25">
      <c r="B42" s="2">
        <v>27.22</v>
      </c>
      <c r="C42" s="15">
        <v>55</v>
      </c>
      <c r="D42" s="72">
        <f t="shared" si="0"/>
        <v>1497.1</v>
      </c>
      <c r="E42" s="358">
        <v>44372</v>
      </c>
      <c r="F42" s="72">
        <f t="shared" si="1"/>
        <v>1497.1</v>
      </c>
      <c r="G42" s="73" t="s">
        <v>218</v>
      </c>
      <c r="H42" s="74">
        <v>60</v>
      </c>
      <c r="I42" s="800">
        <f t="shared" si="8"/>
        <v>6260.6</v>
      </c>
      <c r="J42" s="801">
        <f t="shared" si="9"/>
        <v>230</v>
      </c>
      <c r="K42" s="802">
        <f t="shared" si="4"/>
        <v>89826</v>
      </c>
      <c r="N42" s="2">
        <v>27.22</v>
      </c>
      <c r="O42" s="15">
        <v>4</v>
      </c>
      <c r="P42" s="545">
        <f t="shared" si="2"/>
        <v>108.88</v>
      </c>
      <c r="Q42" s="548">
        <v>44392</v>
      </c>
      <c r="R42" s="545">
        <f t="shared" si="3"/>
        <v>108.88</v>
      </c>
      <c r="S42" s="636" t="s">
        <v>477</v>
      </c>
      <c r="T42" s="637">
        <v>60</v>
      </c>
      <c r="U42" s="800">
        <f t="shared" si="10"/>
        <v>10071.400000000016</v>
      </c>
      <c r="V42" s="801">
        <f t="shared" si="11"/>
        <v>370</v>
      </c>
      <c r="W42" s="802">
        <f t="shared" si="5"/>
        <v>6532.7999999999993</v>
      </c>
    </row>
    <row r="43" spans="2:23" x14ac:dyDescent="0.25">
      <c r="B43" s="2">
        <v>27.22</v>
      </c>
      <c r="C43" s="15">
        <v>1</v>
      </c>
      <c r="D43" s="72">
        <f t="shared" si="0"/>
        <v>27.22</v>
      </c>
      <c r="E43" s="358">
        <v>44372</v>
      </c>
      <c r="F43" s="72">
        <f t="shared" si="1"/>
        <v>27.22</v>
      </c>
      <c r="G43" s="73" t="s">
        <v>219</v>
      </c>
      <c r="H43" s="74">
        <v>60</v>
      </c>
      <c r="I43" s="800">
        <f t="shared" si="8"/>
        <v>6233.38</v>
      </c>
      <c r="J43" s="801">
        <f t="shared" si="9"/>
        <v>229</v>
      </c>
      <c r="K43" s="802">
        <f t="shared" si="4"/>
        <v>1633.1999999999998</v>
      </c>
      <c r="N43" s="2">
        <v>27.22</v>
      </c>
      <c r="O43" s="15">
        <v>4</v>
      </c>
      <c r="P43" s="545">
        <f t="shared" si="2"/>
        <v>108.88</v>
      </c>
      <c r="Q43" s="548">
        <v>44393</v>
      </c>
      <c r="R43" s="545">
        <f t="shared" si="3"/>
        <v>108.88</v>
      </c>
      <c r="S43" s="636" t="s">
        <v>478</v>
      </c>
      <c r="T43" s="637">
        <v>60</v>
      </c>
      <c r="U43" s="800">
        <f t="shared" si="10"/>
        <v>9962.5200000000168</v>
      </c>
      <c r="V43" s="801">
        <f t="shared" si="11"/>
        <v>366</v>
      </c>
      <c r="W43" s="802">
        <f t="shared" si="5"/>
        <v>6532.7999999999993</v>
      </c>
    </row>
    <row r="44" spans="2:23" x14ac:dyDescent="0.25">
      <c r="B44" s="2">
        <v>27.22</v>
      </c>
      <c r="C44" s="15">
        <v>4</v>
      </c>
      <c r="D44" s="72">
        <f t="shared" si="0"/>
        <v>108.88</v>
      </c>
      <c r="E44" s="358">
        <v>44372</v>
      </c>
      <c r="F44" s="72">
        <f t="shared" si="1"/>
        <v>108.88</v>
      </c>
      <c r="G44" s="73" t="s">
        <v>221</v>
      </c>
      <c r="H44" s="74">
        <v>60</v>
      </c>
      <c r="I44" s="800">
        <f t="shared" si="8"/>
        <v>6124.5</v>
      </c>
      <c r="J44" s="801">
        <f t="shared" si="9"/>
        <v>225</v>
      </c>
      <c r="K44" s="802">
        <f t="shared" si="4"/>
        <v>6532.7999999999993</v>
      </c>
      <c r="N44" s="2">
        <v>27.22</v>
      </c>
      <c r="O44" s="15">
        <v>5</v>
      </c>
      <c r="P44" s="545">
        <f t="shared" si="2"/>
        <v>136.1</v>
      </c>
      <c r="Q44" s="548">
        <v>44393</v>
      </c>
      <c r="R44" s="545">
        <f t="shared" si="3"/>
        <v>136.1</v>
      </c>
      <c r="S44" s="636" t="s">
        <v>479</v>
      </c>
      <c r="T44" s="637">
        <v>60</v>
      </c>
      <c r="U44" s="800">
        <f t="shared" si="10"/>
        <v>9826.4200000000164</v>
      </c>
      <c r="V44" s="801">
        <f t="shared" si="11"/>
        <v>361</v>
      </c>
      <c r="W44" s="802">
        <f t="shared" si="5"/>
        <v>8166</v>
      </c>
    </row>
    <row r="45" spans="2:23" x14ac:dyDescent="0.25">
      <c r="B45" s="2">
        <v>27.22</v>
      </c>
      <c r="C45" s="15">
        <v>1</v>
      </c>
      <c r="D45" s="72">
        <f t="shared" si="0"/>
        <v>27.22</v>
      </c>
      <c r="E45" s="358">
        <v>44372</v>
      </c>
      <c r="F45" s="72">
        <f t="shared" si="1"/>
        <v>27.22</v>
      </c>
      <c r="G45" s="73" t="s">
        <v>222</v>
      </c>
      <c r="H45" s="74">
        <v>60</v>
      </c>
      <c r="I45" s="800">
        <f t="shared" si="8"/>
        <v>6097.28</v>
      </c>
      <c r="J45" s="801">
        <f t="shared" si="9"/>
        <v>224</v>
      </c>
      <c r="K45" s="802">
        <f t="shared" si="4"/>
        <v>1633.1999999999998</v>
      </c>
      <c r="N45" s="2">
        <v>27.22</v>
      </c>
      <c r="O45" s="15">
        <v>1</v>
      </c>
      <c r="P45" s="545">
        <f t="shared" si="2"/>
        <v>27.22</v>
      </c>
      <c r="Q45" s="548">
        <v>44393</v>
      </c>
      <c r="R45" s="545">
        <f t="shared" si="3"/>
        <v>27.22</v>
      </c>
      <c r="S45" s="636" t="s">
        <v>480</v>
      </c>
      <c r="T45" s="637">
        <v>60</v>
      </c>
      <c r="U45" s="800">
        <f t="shared" si="10"/>
        <v>9799.2000000000171</v>
      </c>
      <c r="V45" s="801">
        <f t="shared" si="11"/>
        <v>360</v>
      </c>
      <c r="W45" s="802">
        <f t="shared" si="5"/>
        <v>1633.1999999999998</v>
      </c>
    </row>
    <row r="46" spans="2:23" x14ac:dyDescent="0.25">
      <c r="B46" s="2">
        <v>27.22</v>
      </c>
      <c r="C46" s="15">
        <v>1</v>
      </c>
      <c r="D46" s="72">
        <f t="shared" si="0"/>
        <v>27.22</v>
      </c>
      <c r="E46" s="358">
        <v>44373</v>
      </c>
      <c r="F46" s="72">
        <f t="shared" si="1"/>
        <v>27.22</v>
      </c>
      <c r="G46" s="73" t="s">
        <v>224</v>
      </c>
      <c r="H46" s="74">
        <v>60</v>
      </c>
      <c r="I46" s="800">
        <f t="shared" si="8"/>
        <v>6070.0599999999995</v>
      </c>
      <c r="J46" s="801">
        <f t="shared" si="9"/>
        <v>223</v>
      </c>
      <c r="K46" s="802">
        <f t="shared" si="4"/>
        <v>1633.1999999999998</v>
      </c>
      <c r="N46" s="2">
        <v>27.22</v>
      </c>
      <c r="O46" s="15">
        <v>32</v>
      </c>
      <c r="P46" s="545">
        <f t="shared" si="2"/>
        <v>871.04</v>
      </c>
      <c r="Q46" s="548">
        <v>44393</v>
      </c>
      <c r="R46" s="545">
        <f t="shared" si="3"/>
        <v>871.04</v>
      </c>
      <c r="S46" s="636" t="s">
        <v>485</v>
      </c>
      <c r="T46" s="637">
        <v>60</v>
      </c>
      <c r="U46" s="800">
        <f t="shared" si="10"/>
        <v>8928.160000000018</v>
      </c>
      <c r="V46" s="801">
        <f t="shared" si="11"/>
        <v>328</v>
      </c>
      <c r="W46" s="802">
        <f t="shared" si="5"/>
        <v>52262.399999999994</v>
      </c>
    </row>
    <row r="47" spans="2:23" x14ac:dyDescent="0.25">
      <c r="B47" s="2">
        <v>27.22</v>
      </c>
      <c r="C47" s="15">
        <v>5</v>
      </c>
      <c r="D47" s="72">
        <f t="shared" si="0"/>
        <v>136.1</v>
      </c>
      <c r="E47" s="358">
        <v>44373</v>
      </c>
      <c r="F47" s="72">
        <f t="shared" si="1"/>
        <v>136.1</v>
      </c>
      <c r="G47" s="73" t="s">
        <v>228</v>
      </c>
      <c r="H47" s="74">
        <v>60</v>
      </c>
      <c r="I47" s="800">
        <f t="shared" si="8"/>
        <v>5933.9599999999991</v>
      </c>
      <c r="J47" s="801">
        <f t="shared" si="9"/>
        <v>218</v>
      </c>
      <c r="K47" s="802">
        <f t="shared" si="4"/>
        <v>8166</v>
      </c>
      <c r="N47" s="2">
        <v>27.22</v>
      </c>
      <c r="O47" s="15">
        <v>2</v>
      </c>
      <c r="P47" s="545">
        <f t="shared" si="2"/>
        <v>54.44</v>
      </c>
      <c r="Q47" s="548">
        <v>44393</v>
      </c>
      <c r="R47" s="545">
        <f t="shared" si="3"/>
        <v>54.44</v>
      </c>
      <c r="S47" s="636" t="s">
        <v>486</v>
      </c>
      <c r="T47" s="637">
        <v>60</v>
      </c>
      <c r="U47" s="800">
        <f t="shared" si="10"/>
        <v>8873.7200000000175</v>
      </c>
      <c r="V47" s="801">
        <f t="shared" si="11"/>
        <v>326</v>
      </c>
      <c r="W47" s="802">
        <f t="shared" si="5"/>
        <v>3266.3999999999996</v>
      </c>
    </row>
    <row r="48" spans="2:23" x14ac:dyDescent="0.25">
      <c r="B48" s="2">
        <v>27.22</v>
      </c>
      <c r="C48" s="15">
        <v>16</v>
      </c>
      <c r="D48" s="72">
        <f t="shared" si="0"/>
        <v>435.52</v>
      </c>
      <c r="E48" s="358">
        <v>44375</v>
      </c>
      <c r="F48" s="72">
        <f t="shared" si="1"/>
        <v>435.52</v>
      </c>
      <c r="G48" s="73" t="s">
        <v>229</v>
      </c>
      <c r="H48" s="74">
        <v>60</v>
      </c>
      <c r="I48" s="800">
        <f t="shared" si="8"/>
        <v>5498.4399999999987</v>
      </c>
      <c r="J48" s="801">
        <f t="shared" si="9"/>
        <v>202</v>
      </c>
      <c r="K48" s="802">
        <f t="shared" si="4"/>
        <v>26131.199999999997</v>
      </c>
      <c r="N48" s="2">
        <v>27.22</v>
      </c>
      <c r="O48" s="15">
        <v>1</v>
      </c>
      <c r="P48" s="545">
        <f t="shared" si="2"/>
        <v>27.22</v>
      </c>
      <c r="Q48" s="548">
        <v>44394</v>
      </c>
      <c r="R48" s="545">
        <f t="shared" si="3"/>
        <v>27.22</v>
      </c>
      <c r="S48" s="636" t="s">
        <v>490</v>
      </c>
      <c r="T48" s="637">
        <v>60</v>
      </c>
      <c r="U48" s="800">
        <f t="shared" si="10"/>
        <v>8846.5000000000182</v>
      </c>
      <c r="V48" s="801">
        <f t="shared" si="11"/>
        <v>325</v>
      </c>
      <c r="W48" s="802">
        <f t="shared" si="5"/>
        <v>1633.1999999999998</v>
      </c>
    </row>
    <row r="49" spans="1:23" x14ac:dyDescent="0.25">
      <c r="B49" s="2">
        <v>27.22</v>
      </c>
      <c r="C49" s="15">
        <v>32</v>
      </c>
      <c r="D49" s="72">
        <f t="shared" si="0"/>
        <v>871.04</v>
      </c>
      <c r="E49" s="358">
        <v>44375</v>
      </c>
      <c r="F49" s="72">
        <f t="shared" si="1"/>
        <v>871.04</v>
      </c>
      <c r="G49" s="73" t="s">
        <v>230</v>
      </c>
      <c r="H49" s="74">
        <v>60</v>
      </c>
      <c r="I49" s="800">
        <f t="shared" si="8"/>
        <v>4627.3999999999987</v>
      </c>
      <c r="J49" s="801">
        <f t="shared" si="9"/>
        <v>170</v>
      </c>
      <c r="K49" s="802">
        <f t="shared" si="4"/>
        <v>52262.399999999994</v>
      </c>
      <c r="N49" s="2">
        <v>27.22</v>
      </c>
      <c r="O49" s="15">
        <v>1</v>
      </c>
      <c r="P49" s="545">
        <f t="shared" si="2"/>
        <v>27.22</v>
      </c>
      <c r="Q49" s="548">
        <v>44394</v>
      </c>
      <c r="R49" s="545">
        <f t="shared" si="3"/>
        <v>27.22</v>
      </c>
      <c r="S49" s="636" t="s">
        <v>492</v>
      </c>
      <c r="T49" s="637">
        <v>60</v>
      </c>
      <c r="U49" s="800">
        <f t="shared" si="10"/>
        <v>8819.2800000000188</v>
      </c>
      <c r="V49" s="801">
        <f t="shared" si="11"/>
        <v>324</v>
      </c>
      <c r="W49" s="802">
        <f t="shared" si="5"/>
        <v>1633.1999999999998</v>
      </c>
    </row>
    <row r="50" spans="1:23" x14ac:dyDescent="0.25">
      <c r="B50" s="2">
        <v>27.22</v>
      </c>
      <c r="C50" s="15">
        <v>2</v>
      </c>
      <c r="D50" s="72">
        <f t="shared" si="0"/>
        <v>54.44</v>
      </c>
      <c r="E50" s="358">
        <v>44375</v>
      </c>
      <c r="F50" s="72">
        <f t="shared" si="1"/>
        <v>54.44</v>
      </c>
      <c r="G50" s="73" t="s">
        <v>231</v>
      </c>
      <c r="H50" s="74">
        <v>60</v>
      </c>
      <c r="I50" s="800">
        <f t="shared" si="8"/>
        <v>4572.9599999999991</v>
      </c>
      <c r="J50" s="801">
        <f t="shared" si="9"/>
        <v>168</v>
      </c>
      <c r="K50" s="802">
        <f t="shared" si="4"/>
        <v>3266.3999999999996</v>
      </c>
      <c r="N50" s="2">
        <v>27.22</v>
      </c>
      <c r="O50" s="15">
        <v>20</v>
      </c>
      <c r="P50" s="545">
        <f t="shared" si="2"/>
        <v>544.4</v>
      </c>
      <c r="Q50" s="548">
        <v>44394</v>
      </c>
      <c r="R50" s="545">
        <f t="shared" si="3"/>
        <v>544.4</v>
      </c>
      <c r="S50" s="636" t="s">
        <v>493</v>
      </c>
      <c r="T50" s="637">
        <v>60</v>
      </c>
      <c r="U50" s="800">
        <f t="shared" si="10"/>
        <v>8274.8800000000192</v>
      </c>
      <c r="V50" s="801">
        <f t="shared" si="11"/>
        <v>304</v>
      </c>
      <c r="W50" s="802">
        <f t="shared" si="5"/>
        <v>32664</v>
      </c>
    </row>
    <row r="51" spans="1:23" x14ac:dyDescent="0.25">
      <c r="B51" s="2">
        <v>27.22</v>
      </c>
      <c r="C51" s="15">
        <v>1</v>
      </c>
      <c r="D51" s="72">
        <f t="shared" si="0"/>
        <v>27.22</v>
      </c>
      <c r="E51" s="358">
        <v>44376</v>
      </c>
      <c r="F51" s="72">
        <f t="shared" si="1"/>
        <v>27.22</v>
      </c>
      <c r="G51" s="73" t="s">
        <v>232</v>
      </c>
      <c r="H51" s="74">
        <v>60</v>
      </c>
      <c r="I51" s="800">
        <f t="shared" si="8"/>
        <v>4545.7399999999989</v>
      </c>
      <c r="J51" s="801">
        <f t="shared" si="9"/>
        <v>167</v>
      </c>
      <c r="K51" s="802">
        <f t="shared" si="4"/>
        <v>1633.1999999999998</v>
      </c>
      <c r="N51" s="2">
        <v>27.22</v>
      </c>
      <c r="O51" s="15"/>
      <c r="P51" s="545">
        <f t="shared" si="2"/>
        <v>0</v>
      </c>
      <c r="Q51" s="548">
        <v>44394</v>
      </c>
      <c r="R51" s="545">
        <f t="shared" si="3"/>
        <v>0</v>
      </c>
      <c r="S51" s="636"/>
      <c r="T51" s="637"/>
      <c r="U51" s="800">
        <f t="shared" si="10"/>
        <v>8274.8800000000192</v>
      </c>
      <c r="V51" s="801">
        <f t="shared" si="11"/>
        <v>304</v>
      </c>
      <c r="W51" s="802">
        <f t="shared" si="5"/>
        <v>0</v>
      </c>
    </row>
    <row r="52" spans="1:23" x14ac:dyDescent="0.25">
      <c r="B52" s="2">
        <v>27.22</v>
      </c>
      <c r="C52" s="15">
        <v>10</v>
      </c>
      <c r="D52" s="72">
        <f t="shared" si="0"/>
        <v>272.2</v>
      </c>
      <c r="E52" s="358">
        <v>44376</v>
      </c>
      <c r="F52" s="72">
        <f t="shared" si="1"/>
        <v>272.2</v>
      </c>
      <c r="G52" s="73" t="s">
        <v>233</v>
      </c>
      <c r="H52" s="74">
        <v>60</v>
      </c>
      <c r="I52" s="800">
        <f t="shared" si="8"/>
        <v>4273.5399999999991</v>
      </c>
      <c r="J52" s="801">
        <f t="shared" si="9"/>
        <v>157</v>
      </c>
      <c r="K52" s="802">
        <f t="shared" si="4"/>
        <v>16332</v>
      </c>
      <c r="N52" s="2">
        <v>27.22</v>
      </c>
      <c r="O52" s="15">
        <v>18</v>
      </c>
      <c r="P52" s="545">
        <f t="shared" si="2"/>
        <v>489.96</v>
      </c>
      <c r="Q52" s="548">
        <v>44396</v>
      </c>
      <c r="R52" s="545">
        <f t="shared" si="3"/>
        <v>489.96</v>
      </c>
      <c r="S52" s="636" t="s">
        <v>495</v>
      </c>
      <c r="T52" s="637">
        <v>60</v>
      </c>
      <c r="U52" s="800">
        <f t="shared" si="10"/>
        <v>7784.9200000000192</v>
      </c>
      <c r="V52" s="801">
        <f t="shared" si="11"/>
        <v>286</v>
      </c>
      <c r="W52" s="802">
        <f t="shared" si="5"/>
        <v>29397.599999999999</v>
      </c>
    </row>
    <row r="53" spans="1:23" x14ac:dyDescent="0.25">
      <c r="B53" s="2">
        <v>27.22</v>
      </c>
      <c r="C53" s="15">
        <v>1</v>
      </c>
      <c r="D53" s="72">
        <f t="shared" si="0"/>
        <v>27.22</v>
      </c>
      <c r="E53" s="358">
        <v>44368</v>
      </c>
      <c r="F53" s="72">
        <f t="shared" si="1"/>
        <v>27.22</v>
      </c>
      <c r="G53" s="73" t="s">
        <v>234</v>
      </c>
      <c r="H53" s="74">
        <v>60</v>
      </c>
      <c r="I53" s="800">
        <f t="shared" si="8"/>
        <v>4246.3199999999988</v>
      </c>
      <c r="J53" s="801">
        <f t="shared" si="9"/>
        <v>156</v>
      </c>
      <c r="K53" s="802">
        <f t="shared" si="4"/>
        <v>1633.1999999999998</v>
      </c>
      <c r="N53" s="2">
        <v>27.22</v>
      </c>
      <c r="O53" s="15">
        <v>3</v>
      </c>
      <c r="P53" s="545">
        <f t="shared" si="2"/>
        <v>81.66</v>
      </c>
      <c r="Q53" s="548">
        <v>44396</v>
      </c>
      <c r="R53" s="545">
        <f t="shared" si="3"/>
        <v>81.66</v>
      </c>
      <c r="S53" s="636" t="s">
        <v>496</v>
      </c>
      <c r="T53" s="637">
        <v>60</v>
      </c>
      <c r="U53" s="800">
        <f t="shared" si="10"/>
        <v>7703.2600000000193</v>
      </c>
      <c r="V53" s="801">
        <f t="shared" si="11"/>
        <v>283</v>
      </c>
      <c r="W53" s="802">
        <f t="shared" si="5"/>
        <v>4899.5999999999995</v>
      </c>
    </row>
    <row r="54" spans="1:23" x14ac:dyDescent="0.25">
      <c r="B54" s="2">
        <v>27.22</v>
      </c>
      <c r="C54" s="15">
        <v>1</v>
      </c>
      <c r="D54" s="72">
        <f t="shared" si="0"/>
        <v>27.22</v>
      </c>
      <c r="E54" s="358">
        <v>44376</v>
      </c>
      <c r="F54" s="72">
        <f t="shared" si="1"/>
        <v>27.22</v>
      </c>
      <c r="G54" s="73" t="s">
        <v>236</v>
      </c>
      <c r="H54" s="74">
        <v>60</v>
      </c>
      <c r="I54" s="800">
        <f t="shared" si="8"/>
        <v>4219.0999999999985</v>
      </c>
      <c r="J54" s="801">
        <f t="shared" si="9"/>
        <v>155</v>
      </c>
      <c r="K54" s="802">
        <f t="shared" si="4"/>
        <v>1633.1999999999998</v>
      </c>
      <c r="N54" s="2">
        <v>27.22</v>
      </c>
      <c r="O54" s="15">
        <v>3</v>
      </c>
      <c r="P54" s="545">
        <f t="shared" si="2"/>
        <v>81.66</v>
      </c>
      <c r="Q54" s="548">
        <v>44396</v>
      </c>
      <c r="R54" s="545">
        <f t="shared" si="3"/>
        <v>81.66</v>
      </c>
      <c r="S54" s="636" t="s">
        <v>497</v>
      </c>
      <c r="T54" s="637">
        <v>60</v>
      </c>
      <c r="U54" s="800">
        <f t="shared" si="10"/>
        <v>7621.6000000000195</v>
      </c>
      <c r="V54" s="801">
        <f t="shared" si="11"/>
        <v>280</v>
      </c>
      <c r="W54" s="802">
        <f t="shared" si="5"/>
        <v>4899.5999999999995</v>
      </c>
    </row>
    <row r="55" spans="1:23" x14ac:dyDescent="0.25">
      <c r="B55" s="2">
        <v>27.22</v>
      </c>
      <c r="C55" s="15">
        <v>1</v>
      </c>
      <c r="D55" s="72">
        <f t="shared" si="0"/>
        <v>27.22</v>
      </c>
      <c r="E55" s="358">
        <v>44376</v>
      </c>
      <c r="F55" s="72">
        <f t="shared" si="1"/>
        <v>27.22</v>
      </c>
      <c r="G55" s="73" t="s">
        <v>238</v>
      </c>
      <c r="H55" s="74">
        <v>60</v>
      </c>
      <c r="I55" s="800">
        <f t="shared" si="8"/>
        <v>4191.8799999999983</v>
      </c>
      <c r="J55" s="801">
        <f t="shared" si="9"/>
        <v>154</v>
      </c>
      <c r="K55" s="802">
        <f t="shared" si="4"/>
        <v>1633.1999999999998</v>
      </c>
      <c r="N55" s="2">
        <v>27.22</v>
      </c>
      <c r="O55" s="15">
        <v>7</v>
      </c>
      <c r="P55" s="545">
        <f t="shared" si="2"/>
        <v>190.54</v>
      </c>
      <c r="Q55" s="548">
        <v>44396</v>
      </c>
      <c r="R55" s="545">
        <f t="shared" si="3"/>
        <v>190.54</v>
      </c>
      <c r="S55" s="636" t="s">
        <v>498</v>
      </c>
      <c r="T55" s="637">
        <v>60</v>
      </c>
      <c r="U55" s="800">
        <f t="shared" si="10"/>
        <v>7431.0600000000195</v>
      </c>
      <c r="V55" s="801">
        <f t="shared" si="11"/>
        <v>273</v>
      </c>
      <c r="W55" s="802">
        <f t="shared" si="5"/>
        <v>11432.4</v>
      </c>
    </row>
    <row r="56" spans="1:23" x14ac:dyDescent="0.25">
      <c r="B56" s="2">
        <v>27.22</v>
      </c>
      <c r="C56" s="15">
        <v>1</v>
      </c>
      <c r="D56" s="72">
        <f t="shared" si="0"/>
        <v>27.22</v>
      </c>
      <c r="E56" s="358">
        <v>44377</v>
      </c>
      <c r="F56" s="72">
        <f t="shared" si="1"/>
        <v>27.22</v>
      </c>
      <c r="G56" s="73" t="s">
        <v>240</v>
      </c>
      <c r="H56" s="74">
        <v>60</v>
      </c>
      <c r="I56" s="800">
        <f t="shared" si="8"/>
        <v>4164.659999999998</v>
      </c>
      <c r="J56" s="801">
        <f t="shared" si="9"/>
        <v>153</v>
      </c>
      <c r="K56" s="802">
        <f t="shared" si="4"/>
        <v>1633.1999999999998</v>
      </c>
      <c r="N56" s="2">
        <v>27.22</v>
      </c>
      <c r="O56" s="15">
        <v>1</v>
      </c>
      <c r="P56" s="545">
        <f t="shared" si="2"/>
        <v>27.22</v>
      </c>
      <c r="Q56" s="548">
        <v>44396</v>
      </c>
      <c r="R56" s="545">
        <f t="shared" si="3"/>
        <v>27.22</v>
      </c>
      <c r="S56" s="636" t="s">
        <v>500</v>
      </c>
      <c r="T56" s="637">
        <v>60</v>
      </c>
      <c r="U56" s="800">
        <f t="shared" si="10"/>
        <v>7403.8400000000192</v>
      </c>
      <c r="V56" s="801">
        <f t="shared" si="11"/>
        <v>272</v>
      </c>
      <c r="W56" s="802">
        <f t="shared" si="5"/>
        <v>1633.1999999999998</v>
      </c>
    </row>
    <row r="57" spans="1:23" x14ac:dyDescent="0.25">
      <c r="B57" s="2">
        <v>27.22</v>
      </c>
      <c r="C57" s="15">
        <v>2</v>
      </c>
      <c r="D57" s="72">
        <f t="shared" si="0"/>
        <v>54.44</v>
      </c>
      <c r="E57" s="358">
        <v>44377</v>
      </c>
      <c r="F57" s="72">
        <f t="shared" si="1"/>
        <v>54.44</v>
      </c>
      <c r="G57" s="73" t="s">
        <v>241</v>
      </c>
      <c r="H57" s="74">
        <v>60</v>
      </c>
      <c r="I57" s="800">
        <f t="shared" si="8"/>
        <v>4110.2199999999984</v>
      </c>
      <c r="J57" s="801">
        <f t="shared" si="9"/>
        <v>151</v>
      </c>
      <c r="K57" s="802">
        <f t="shared" si="4"/>
        <v>3266.3999999999996</v>
      </c>
      <c r="N57" s="2">
        <v>27.22</v>
      </c>
      <c r="O57" s="15">
        <v>1</v>
      </c>
      <c r="P57" s="545">
        <f t="shared" si="2"/>
        <v>27.22</v>
      </c>
      <c r="Q57" s="548">
        <v>44397</v>
      </c>
      <c r="R57" s="545">
        <f t="shared" si="3"/>
        <v>27.22</v>
      </c>
      <c r="S57" s="636" t="s">
        <v>502</v>
      </c>
      <c r="T57" s="637">
        <v>60</v>
      </c>
      <c r="U57" s="800">
        <f t="shared" si="10"/>
        <v>7376.620000000019</v>
      </c>
      <c r="V57" s="801">
        <f t="shared" si="11"/>
        <v>271</v>
      </c>
      <c r="W57" s="802">
        <f t="shared" si="5"/>
        <v>1633.1999999999998</v>
      </c>
    </row>
    <row r="58" spans="1:23" x14ac:dyDescent="0.25">
      <c r="B58" s="2">
        <v>27.22</v>
      </c>
      <c r="C58" s="15">
        <v>5</v>
      </c>
      <c r="D58" s="72">
        <f t="shared" si="0"/>
        <v>136.1</v>
      </c>
      <c r="E58" s="358">
        <v>44377</v>
      </c>
      <c r="F58" s="72">
        <f t="shared" si="1"/>
        <v>136.1</v>
      </c>
      <c r="G58" s="73" t="s">
        <v>242</v>
      </c>
      <c r="H58" s="74">
        <v>60</v>
      </c>
      <c r="I58" s="800">
        <f t="shared" si="8"/>
        <v>3974.1199999999985</v>
      </c>
      <c r="J58" s="801">
        <f t="shared" si="9"/>
        <v>146</v>
      </c>
      <c r="K58" s="802">
        <f t="shared" si="4"/>
        <v>8166</v>
      </c>
      <c r="N58" s="2">
        <v>27.22</v>
      </c>
      <c r="O58" s="15">
        <v>32</v>
      </c>
      <c r="P58" s="545">
        <f t="shared" si="2"/>
        <v>871.04</v>
      </c>
      <c r="Q58" s="548">
        <v>44398</v>
      </c>
      <c r="R58" s="545">
        <f t="shared" si="3"/>
        <v>871.04</v>
      </c>
      <c r="S58" s="636" t="s">
        <v>507</v>
      </c>
      <c r="T58" s="637">
        <v>60</v>
      </c>
      <c r="U58" s="800">
        <f t="shared" si="10"/>
        <v>6505.580000000019</v>
      </c>
      <c r="V58" s="801">
        <f t="shared" si="11"/>
        <v>239</v>
      </c>
      <c r="W58" s="802">
        <f t="shared" si="5"/>
        <v>52262.399999999994</v>
      </c>
    </row>
    <row r="59" spans="1:23" x14ac:dyDescent="0.25">
      <c r="B59" s="2">
        <v>27.22</v>
      </c>
      <c r="C59" s="15">
        <v>4</v>
      </c>
      <c r="D59" s="72">
        <f t="shared" si="0"/>
        <v>108.88</v>
      </c>
      <c r="E59" s="358">
        <v>44377</v>
      </c>
      <c r="F59" s="72">
        <f t="shared" si="1"/>
        <v>108.88</v>
      </c>
      <c r="G59" s="73" t="s">
        <v>243</v>
      </c>
      <c r="H59" s="74">
        <v>60</v>
      </c>
      <c r="I59" s="800">
        <f t="shared" si="8"/>
        <v>3865.2399999999984</v>
      </c>
      <c r="J59" s="801">
        <f t="shared" si="9"/>
        <v>142</v>
      </c>
      <c r="K59" s="802">
        <f t="shared" si="4"/>
        <v>6532.7999999999993</v>
      </c>
      <c r="N59" s="2">
        <v>27.22</v>
      </c>
      <c r="O59" s="15">
        <v>1</v>
      </c>
      <c r="P59" s="545">
        <f t="shared" si="2"/>
        <v>27.22</v>
      </c>
      <c r="Q59" s="548">
        <v>44398</v>
      </c>
      <c r="R59" s="545">
        <f t="shared" si="3"/>
        <v>27.22</v>
      </c>
      <c r="S59" s="636" t="s">
        <v>509</v>
      </c>
      <c r="T59" s="637">
        <v>60</v>
      </c>
      <c r="U59" s="800">
        <f t="shared" si="10"/>
        <v>6478.3600000000188</v>
      </c>
      <c r="V59" s="801">
        <f t="shared" si="11"/>
        <v>238</v>
      </c>
      <c r="W59" s="802">
        <f t="shared" si="5"/>
        <v>1633.1999999999998</v>
      </c>
    </row>
    <row r="60" spans="1:23" ht="15.75" thickBot="1" x14ac:dyDescent="0.3">
      <c r="A60" s="127"/>
      <c r="B60" s="2">
        <v>27.22</v>
      </c>
      <c r="C60" s="15">
        <v>2</v>
      </c>
      <c r="D60" s="72">
        <f t="shared" si="0"/>
        <v>54.44</v>
      </c>
      <c r="E60" s="358">
        <v>44378</v>
      </c>
      <c r="F60" s="72">
        <f t="shared" si="1"/>
        <v>54.44</v>
      </c>
      <c r="G60" s="73" t="s">
        <v>244</v>
      </c>
      <c r="H60" s="74">
        <v>60</v>
      </c>
      <c r="I60" s="800">
        <f t="shared" si="8"/>
        <v>3810.7999999999984</v>
      </c>
      <c r="J60" s="801">
        <f t="shared" si="9"/>
        <v>140</v>
      </c>
      <c r="K60" s="802">
        <f t="shared" si="4"/>
        <v>3266.3999999999996</v>
      </c>
      <c r="M60" s="127"/>
      <c r="N60" s="2">
        <v>27.22</v>
      </c>
      <c r="O60" s="15">
        <v>1</v>
      </c>
      <c r="P60" s="545">
        <f t="shared" si="2"/>
        <v>27.22</v>
      </c>
      <c r="Q60" s="548">
        <v>44398</v>
      </c>
      <c r="R60" s="545">
        <f t="shared" si="3"/>
        <v>27.22</v>
      </c>
      <c r="S60" s="636" t="s">
        <v>508</v>
      </c>
      <c r="T60" s="637">
        <v>60</v>
      </c>
      <c r="U60" s="800">
        <f t="shared" si="10"/>
        <v>6451.1400000000185</v>
      </c>
      <c r="V60" s="801">
        <f t="shared" si="11"/>
        <v>237</v>
      </c>
      <c r="W60" s="802">
        <f t="shared" si="5"/>
        <v>1633.1999999999998</v>
      </c>
    </row>
    <row r="61" spans="1:23" ht="15.75" thickTop="1" x14ac:dyDescent="0.25">
      <c r="A61" s="348"/>
      <c r="B61" s="2">
        <v>27.22</v>
      </c>
      <c r="C61" s="15">
        <v>28</v>
      </c>
      <c r="D61" s="72">
        <f t="shared" si="0"/>
        <v>762.16</v>
      </c>
      <c r="E61" s="358">
        <v>44378</v>
      </c>
      <c r="F61" s="72">
        <f t="shared" si="1"/>
        <v>762.16</v>
      </c>
      <c r="G61" s="73" t="s">
        <v>248</v>
      </c>
      <c r="H61" s="74">
        <v>60</v>
      </c>
      <c r="I61" s="800">
        <f t="shared" si="8"/>
        <v>3048.6399999999985</v>
      </c>
      <c r="J61" s="801">
        <f t="shared" si="9"/>
        <v>112</v>
      </c>
      <c r="K61" s="802">
        <f t="shared" si="4"/>
        <v>45729.599999999999</v>
      </c>
      <c r="M61" s="348"/>
      <c r="N61" s="2">
        <v>27.22</v>
      </c>
      <c r="O61" s="15">
        <v>1</v>
      </c>
      <c r="P61" s="545">
        <f t="shared" si="2"/>
        <v>27.22</v>
      </c>
      <c r="Q61" s="548">
        <v>44398</v>
      </c>
      <c r="R61" s="545">
        <f t="shared" si="3"/>
        <v>27.22</v>
      </c>
      <c r="S61" s="636" t="s">
        <v>516</v>
      </c>
      <c r="T61" s="637">
        <v>60</v>
      </c>
      <c r="U61" s="800">
        <f t="shared" si="10"/>
        <v>6423.9200000000183</v>
      </c>
      <c r="V61" s="801">
        <f t="shared" si="11"/>
        <v>236</v>
      </c>
      <c r="W61" s="802">
        <f t="shared" si="5"/>
        <v>1633.1999999999998</v>
      </c>
    </row>
    <row r="62" spans="1:23" x14ac:dyDescent="0.25">
      <c r="A62" s="348"/>
      <c r="B62" s="2">
        <v>27.22</v>
      </c>
      <c r="C62" s="15">
        <v>33</v>
      </c>
      <c r="D62" s="72">
        <f t="shared" si="0"/>
        <v>898.26</v>
      </c>
      <c r="E62" s="358">
        <v>44379</v>
      </c>
      <c r="F62" s="72">
        <f t="shared" si="1"/>
        <v>898.26</v>
      </c>
      <c r="G62" s="73" t="s">
        <v>249</v>
      </c>
      <c r="H62" s="74">
        <v>60</v>
      </c>
      <c r="I62" s="800">
        <f t="shared" si="8"/>
        <v>2150.3799999999983</v>
      </c>
      <c r="J62" s="801">
        <f t="shared" si="9"/>
        <v>79</v>
      </c>
      <c r="K62" s="802">
        <f t="shared" si="4"/>
        <v>53895.6</v>
      </c>
      <c r="M62" s="348"/>
      <c r="N62" s="2">
        <v>27.22</v>
      </c>
      <c r="O62" s="15">
        <v>3</v>
      </c>
      <c r="P62" s="545">
        <f t="shared" si="2"/>
        <v>81.66</v>
      </c>
      <c r="Q62" s="548">
        <v>44398</v>
      </c>
      <c r="R62" s="545">
        <f t="shared" si="3"/>
        <v>81.66</v>
      </c>
      <c r="S62" s="636" t="s">
        <v>517</v>
      </c>
      <c r="T62" s="637">
        <v>60</v>
      </c>
      <c r="U62" s="800">
        <f t="shared" si="10"/>
        <v>6342.2600000000184</v>
      </c>
      <c r="V62" s="801">
        <f t="shared" si="11"/>
        <v>233</v>
      </c>
      <c r="W62" s="802">
        <f t="shared" si="5"/>
        <v>4899.5999999999995</v>
      </c>
    </row>
    <row r="63" spans="1:23" x14ac:dyDescent="0.25">
      <c r="A63" s="348"/>
      <c r="B63" s="2">
        <v>27.22</v>
      </c>
      <c r="C63" s="15">
        <v>30</v>
      </c>
      <c r="D63" s="72">
        <f t="shared" si="0"/>
        <v>816.59999999999991</v>
      </c>
      <c r="E63" s="358">
        <v>44379</v>
      </c>
      <c r="F63" s="72">
        <f t="shared" si="1"/>
        <v>816.59999999999991</v>
      </c>
      <c r="G63" s="73" t="s">
        <v>251</v>
      </c>
      <c r="H63" s="74">
        <v>60</v>
      </c>
      <c r="I63" s="800">
        <f t="shared" si="8"/>
        <v>1333.7799999999984</v>
      </c>
      <c r="J63" s="801">
        <f t="shared" si="9"/>
        <v>49</v>
      </c>
      <c r="K63" s="802">
        <f t="shared" si="4"/>
        <v>48995.999999999993</v>
      </c>
      <c r="M63" s="348"/>
      <c r="N63" s="2">
        <v>27.22</v>
      </c>
      <c r="O63" s="15">
        <v>20</v>
      </c>
      <c r="P63" s="545">
        <f t="shared" si="2"/>
        <v>544.4</v>
      </c>
      <c r="Q63" s="548">
        <v>44398</v>
      </c>
      <c r="R63" s="545">
        <f t="shared" si="3"/>
        <v>544.4</v>
      </c>
      <c r="S63" s="636" t="s">
        <v>518</v>
      </c>
      <c r="T63" s="637">
        <v>60</v>
      </c>
      <c r="U63" s="800">
        <f t="shared" si="10"/>
        <v>5797.8600000000188</v>
      </c>
      <c r="V63" s="801">
        <f t="shared" si="11"/>
        <v>213</v>
      </c>
      <c r="W63" s="802">
        <f t="shared" si="5"/>
        <v>32664</v>
      </c>
    </row>
    <row r="64" spans="1:23" x14ac:dyDescent="0.25">
      <c r="A64" s="348"/>
      <c r="B64" s="2">
        <v>27.22</v>
      </c>
      <c r="C64" s="15">
        <v>2</v>
      </c>
      <c r="D64" s="72">
        <f t="shared" si="0"/>
        <v>54.44</v>
      </c>
      <c r="E64" s="358">
        <v>44379</v>
      </c>
      <c r="F64" s="72">
        <f t="shared" si="1"/>
        <v>54.44</v>
      </c>
      <c r="G64" s="73" t="s">
        <v>255</v>
      </c>
      <c r="H64" s="74">
        <v>60</v>
      </c>
      <c r="I64" s="800">
        <f t="shared" si="8"/>
        <v>1279.3399999999983</v>
      </c>
      <c r="J64" s="801">
        <f t="shared" si="9"/>
        <v>47</v>
      </c>
      <c r="K64" s="802">
        <f t="shared" si="4"/>
        <v>3266.3999999999996</v>
      </c>
      <c r="M64" s="348"/>
      <c r="N64" s="2">
        <v>27.22</v>
      </c>
      <c r="O64" s="15">
        <v>33</v>
      </c>
      <c r="P64" s="545">
        <f t="shared" si="2"/>
        <v>898.26</v>
      </c>
      <c r="Q64" s="548">
        <v>44399</v>
      </c>
      <c r="R64" s="545">
        <f t="shared" si="3"/>
        <v>898.26</v>
      </c>
      <c r="S64" s="636" t="s">
        <v>524</v>
      </c>
      <c r="T64" s="637">
        <v>60</v>
      </c>
      <c r="U64" s="800">
        <f t="shared" si="10"/>
        <v>4899.6000000000186</v>
      </c>
      <c r="V64" s="801">
        <f t="shared" si="11"/>
        <v>180</v>
      </c>
      <c r="W64" s="802">
        <f t="shared" si="5"/>
        <v>53895.6</v>
      </c>
    </row>
    <row r="65" spans="1:23" x14ac:dyDescent="0.25">
      <c r="A65" s="348"/>
      <c r="B65" s="2">
        <v>27.22</v>
      </c>
      <c r="C65" s="15">
        <v>1</v>
      </c>
      <c r="D65" s="72">
        <f t="shared" si="0"/>
        <v>27.22</v>
      </c>
      <c r="E65" s="358">
        <v>44380</v>
      </c>
      <c r="F65" s="72">
        <f t="shared" si="1"/>
        <v>27.22</v>
      </c>
      <c r="G65" s="73" t="s">
        <v>256</v>
      </c>
      <c r="H65" s="74">
        <v>60</v>
      </c>
      <c r="I65" s="800">
        <f t="shared" si="8"/>
        <v>1252.1199999999983</v>
      </c>
      <c r="J65" s="801">
        <f t="shared" si="9"/>
        <v>46</v>
      </c>
      <c r="K65" s="802">
        <f t="shared" si="4"/>
        <v>1633.1999999999998</v>
      </c>
      <c r="M65" s="348"/>
      <c r="N65" s="2">
        <v>27.22</v>
      </c>
      <c r="O65" s="15">
        <v>33</v>
      </c>
      <c r="P65" s="545">
        <f t="shared" si="2"/>
        <v>898.26</v>
      </c>
      <c r="Q65" s="548">
        <v>44399</v>
      </c>
      <c r="R65" s="545">
        <f t="shared" si="3"/>
        <v>898.26</v>
      </c>
      <c r="S65" s="636" t="s">
        <v>524</v>
      </c>
      <c r="T65" s="637">
        <v>60</v>
      </c>
      <c r="U65" s="800">
        <f t="shared" si="10"/>
        <v>4001.3400000000183</v>
      </c>
      <c r="V65" s="801">
        <f t="shared" si="11"/>
        <v>147</v>
      </c>
      <c r="W65" s="802">
        <f t="shared" si="5"/>
        <v>53895.6</v>
      </c>
    </row>
    <row r="66" spans="1:23" x14ac:dyDescent="0.25">
      <c r="A66" s="348"/>
      <c r="B66" s="2">
        <v>27.22</v>
      </c>
      <c r="C66" s="15">
        <v>32</v>
      </c>
      <c r="D66" s="72">
        <f t="shared" si="0"/>
        <v>871.04</v>
      </c>
      <c r="E66" s="358">
        <v>44380</v>
      </c>
      <c r="F66" s="72">
        <f t="shared" si="1"/>
        <v>871.04</v>
      </c>
      <c r="G66" s="73" t="s">
        <v>257</v>
      </c>
      <c r="H66" s="74">
        <v>60</v>
      </c>
      <c r="I66" s="800">
        <f t="shared" si="8"/>
        <v>381.07999999999834</v>
      </c>
      <c r="J66" s="801">
        <f t="shared" si="9"/>
        <v>14</v>
      </c>
      <c r="K66" s="802">
        <f t="shared" si="4"/>
        <v>52262.399999999994</v>
      </c>
      <c r="M66" s="348"/>
      <c r="N66" s="2">
        <v>27.22</v>
      </c>
      <c r="O66" s="15">
        <v>15</v>
      </c>
      <c r="P66" s="545">
        <f t="shared" si="2"/>
        <v>408.29999999999995</v>
      </c>
      <c r="Q66" s="548">
        <v>44400</v>
      </c>
      <c r="R66" s="545">
        <f t="shared" si="3"/>
        <v>408.29999999999995</v>
      </c>
      <c r="S66" s="636" t="s">
        <v>532</v>
      </c>
      <c r="T66" s="637">
        <v>60</v>
      </c>
      <c r="U66" s="800">
        <f t="shared" si="10"/>
        <v>3593.0400000000182</v>
      </c>
      <c r="V66" s="801">
        <f t="shared" si="11"/>
        <v>132</v>
      </c>
      <c r="W66" s="802">
        <f t="shared" si="5"/>
        <v>24497.999999999996</v>
      </c>
    </row>
    <row r="67" spans="1:23" x14ac:dyDescent="0.25">
      <c r="A67" s="348"/>
      <c r="B67" s="2">
        <v>27.22</v>
      </c>
      <c r="C67" s="15">
        <v>1</v>
      </c>
      <c r="D67" s="72">
        <f t="shared" si="0"/>
        <v>27.22</v>
      </c>
      <c r="E67" s="358">
        <v>44380</v>
      </c>
      <c r="F67" s="72">
        <f t="shared" si="1"/>
        <v>27.22</v>
      </c>
      <c r="G67" s="73" t="s">
        <v>258</v>
      </c>
      <c r="H67" s="74">
        <v>60</v>
      </c>
      <c r="I67" s="800">
        <f t="shared" si="8"/>
        <v>353.85999999999831</v>
      </c>
      <c r="J67" s="801">
        <f t="shared" si="9"/>
        <v>13</v>
      </c>
      <c r="K67" s="802">
        <f t="shared" si="4"/>
        <v>1633.1999999999998</v>
      </c>
      <c r="M67" s="348"/>
      <c r="N67" s="2">
        <v>27.22</v>
      </c>
      <c r="O67" s="15">
        <v>32</v>
      </c>
      <c r="P67" s="545">
        <f t="shared" si="2"/>
        <v>871.04</v>
      </c>
      <c r="Q67" s="548">
        <v>44403</v>
      </c>
      <c r="R67" s="545">
        <f t="shared" si="3"/>
        <v>871.04</v>
      </c>
      <c r="S67" s="636" t="s">
        <v>514</v>
      </c>
      <c r="T67" s="637">
        <v>60</v>
      </c>
      <c r="U67" s="800">
        <f t="shared" si="10"/>
        <v>2722.0000000000182</v>
      </c>
      <c r="V67" s="801">
        <f t="shared" si="11"/>
        <v>100</v>
      </c>
      <c r="W67" s="802">
        <f t="shared" si="5"/>
        <v>52262.399999999994</v>
      </c>
    </row>
    <row r="68" spans="1:23" x14ac:dyDescent="0.25">
      <c r="A68" s="348"/>
      <c r="B68" s="2">
        <v>27.22</v>
      </c>
      <c r="C68" s="15">
        <v>6</v>
      </c>
      <c r="D68" s="72">
        <f t="shared" si="0"/>
        <v>163.32</v>
      </c>
      <c r="E68" s="358">
        <v>44380</v>
      </c>
      <c r="F68" s="72">
        <f t="shared" si="1"/>
        <v>163.32</v>
      </c>
      <c r="G68" s="73" t="s">
        <v>260</v>
      </c>
      <c r="H68" s="74">
        <v>60</v>
      </c>
      <c r="I68" s="800">
        <f t="shared" si="8"/>
        <v>190.53999999999832</v>
      </c>
      <c r="J68" s="801">
        <f t="shared" si="9"/>
        <v>7</v>
      </c>
      <c r="K68" s="802">
        <f t="shared" si="4"/>
        <v>9799.1999999999989</v>
      </c>
      <c r="M68" s="348"/>
      <c r="N68" s="2">
        <v>27.22</v>
      </c>
      <c r="O68" s="15">
        <v>32</v>
      </c>
      <c r="P68" s="545">
        <f t="shared" si="2"/>
        <v>871.04</v>
      </c>
      <c r="Q68" s="548">
        <v>44403</v>
      </c>
      <c r="R68" s="545">
        <f t="shared" si="3"/>
        <v>871.04</v>
      </c>
      <c r="S68" s="636" t="s">
        <v>541</v>
      </c>
      <c r="T68" s="637">
        <v>60</v>
      </c>
      <c r="U68" s="800">
        <f t="shared" si="10"/>
        <v>1850.9600000000182</v>
      </c>
      <c r="V68" s="801">
        <f t="shared" si="11"/>
        <v>68</v>
      </c>
      <c r="W68" s="802">
        <f t="shared" si="5"/>
        <v>52262.399999999994</v>
      </c>
    </row>
    <row r="69" spans="1:23" x14ac:dyDescent="0.25">
      <c r="A69" s="348"/>
      <c r="B69" s="2">
        <v>27.22</v>
      </c>
      <c r="C69" s="15"/>
      <c r="D69" s="545">
        <f t="shared" si="0"/>
        <v>0</v>
      </c>
      <c r="E69" s="548"/>
      <c r="F69" s="545">
        <f t="shared" si="1"/>
        <v>0</v>
      </c>
      <c r="G69" s="636"/>
      <c r="H69" s="637"/>
      <c r="I69" s="800">
        <f t="shared" si="8"/>
        <v>190.53999999999832</v>
      </c>
      <c r="J69" s="801">
        <f t="shared" si="9"/>
        <v>7</v>
      </c>
      <c r="K69" s="802">
        <f t="shared" si="4"/>
        <v>0</v>
      </c>
      <c r="M69" s="348"/>
      <c r="N69" s="2">
        <v>27.22</v>
      </c>
      <c r="O69" s="15">
        <v>32</v>
      </c>
      <c r="P69" s="545">
        <f t="shared" si="2"/>
        <v>871.04</v>
      </c>
      <c r="Q69" s="548">
        <v>44403</v>
      </c>
      <c r="R69" s="545">
        <f t="shared" si="3"/>
        <v>871.04</v>
      </c>
      <c r="S69" s="636" t="s">
        <v>542</v>
      </c>
      <c r="T69" s="637">
        <v>60</v>
      </c>
      <c r="U69" s="800">
        <f t="shared" si="10"/>
        <v>979.92000000001826</v>
      </c>
      <c r="V69" s="801">
        <f t="shared" si="11"/>
        <v>36</v>
      </c>
      <c r="W69" s="802">
        <f t="shared" si="5"/>
        <v>52262.399999999994</v>
      </c>
    </row>
    <row r="70" spans="1:23" x14ac:dyDescent="0.25">
      <c r="A70" s="348"/>
      <c r="B70" s="2">
        <v>27.22</v>
      </c>
      <c r="C70" s="15">
        <v>7</v>
      </c>
      <c r="D70" s="545">
        <f t="shared" si="0"/>
        <v>190.54</v>
      </c>
      <c r="E70" s="548"/>
      <c r="F70" s="545">
        <f t="shared" si="1"/>
        <v>190.54</v>
      </c>
      <c r="G70" s="636"/>
      <c r="H70" s="1033"/>
      <c r="I70" s="1034">
        <f t="shared" si="8"/>
        <v>-1.6768808563938364E-12</v>
      </c>
      <c r="J70" s="1035">
        <f t="shared" si="9"/>
        <v>0</v>
      </c>
      <c r="K70" s="1036">
        <f t="shared" si="4"/>
        <v>0</v>
      </c>
      <c r="M70" s="348"/>
      <c r="N70" s="2">
        <v>27.22</v>
      </c>
      <c r="O70" s="15">
        <v>32</v>
      </c>
      <c r="P70" s="545">
        <f t="shared" si="2"/>
        <v>871.04</v>
      </c>
      <c r="Q70" s="548">
        <v>44406</v>
      </c>
      <c r="R70" s="545">
        <f t="shared" si="3"/>
        <v>871.04</v>
      </c>
      <c r="S70" s="636" t="s">
        <v>554</v>
      </c>
      <c r="T70" s="637">
        <v>60</v>
      </c>
      <c r="U70" s="800">
        <f t="shared" si="10"/>
        <v>108.8800000000183</v>
      </c>
      <c r="V70" s="801">
        <f t="shared" si="11"/>
        <v>4</v>
      </c>
      <c r="W70" s="802">
        <f t="shared" si="5"/>
        <v>52262.399999999994</v>
      </c>
    </row>
    <row r="71" spans="1:23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636"/>
      <c r="H71" s="1033"/>
      <c r="I71" s="1034">
        <f t="shared" si="8"/>
        <v>-1.6768808563938364E-12</v>
      </c>
      <c r="J71" s="1035">
        <f t="shared" si="9"/>
        <v>0</v>
      </c>
      <c r="K71" s="1036">
        <f t="shared" si="4"/>
        <v>0</v>
      </c>
      <c r="M71" s="348"/>
      <c r="N71" s="2">
        <v>27.22</v>
      </c>
      <c r="O71" s="15"/>
      <c r="P71" s="545">
        <f t="shared" si="2"/>
        <v>0</v>
      </c>
      <c r="Q71" s="548"/>
      <c r="R71" s="545">
        <f t="shared" si="3"/>
        <v>0</v>
      </c>
      <c r="S71" s="1069"/>
      <c r="T71" s="1070"/>
      <c r="U71" s="1071">
        <f t="shared" si="10"/>
        <v>108.8800000000183</v>
      </c>
      <c r="V71" s="1072">
        <f t="shared" si="11"/>
        <v>4</v>
      </c>
      <c r="W71" s="802">
        <f t="shared" si="5"/>
        <v>0</v>
      </c>
    </row>
    <row r="72" spans="1:23" x14ac:dyDescent="0.25">
      <c r="A72" s="348"/>
      <c r="B72" s="2">
        <v>27.22</v>
      </c>
      <c r="C72" s="15"/>
      <c r="D72" s="545">
        <f t="shared" si="0"/>
        <v>0</v>
      </c>
      <c r="E72" s="548"/>
      <c r="F72" s="545">
        <f t="shared" si="1"/>
        <v>0</v>
      </c>
      <c r="G72" s="636"/>
      <c r="H72" s="1033"/>
      <c r="I72" s="1034">
        <f t="shared" si="8"/>
        <v>-1.6768808563938364E-12</v>
      </c>
      <c r="J72" s="1035">
        <f t="shared" si="9"/>
        <v>0</v>
      </c>
      <c r="K72" s="1036">
        <f t="shared" si="4"/>
        <v>0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861"/>
      <c r="T72" s="862"/>
      <c r="U72" s="1071">
        <f t="shared" si="10"/>
        <v>108.8800000000183</v>
      </c>
      <c r="V72" s="1072">
        <f t="shared" si="11"/>
        <v>4</v>
      </c>
      <c r="W72" s="802">
        <f t="shared" si="5"/>
        <v>0</v>
      </c>
    </row>
    <row r="73" spans="1:23" x14ac:dyDescent="0.25">
      <c r="A73" s="348"/>
      <c r="B73" s="2">
        <v>27.22</v>
      </c>
      <c r="C73" s="15"/>
      <c r="D73" s="545">
        <f t="shared" si="0"/>
        <v>0</v>
      </c>
      <c r="E73" s="548"/>
      <c r="F73" s="545">
        <f t="shared" si="1"/>
        <v>0</v>
      </c>
      <c r="G73" s="636"/>
      <c r="H73" s="1033"/>
      <c r="I73" s="1034">
        <f t="shared" si="8"/>
        <v>-1.6768808563938364E-12</v>
      </c>
      <c r="J73" s="1035">
        <f t="shared" si="9"/>
        <v>0</v>
      </c>
      <c r="K73" s="1036">
        <f t="shared" si="4"/>
        <v>0</v>
      </c>
      <c r="M73" s="348"/>
      <c r="N73" s="2">
        <v>27.22</v>
      </c>
      <c r="O73" s="15"/>
      <c r="P73" s="72">
        <f t="shared" ref="P73:P93" si="12">O73*N73</f>
        <v>0</v>
      </c>
      <c r="Q73" s="358"/>
      <c r="R73" s="72">
        <f t="shared" ref="R73:R91" si="13">P73</f>
        <v>0</v>
      </c>
      <c r="S73" s="861"/>
      <c r="T73" s="862"/>
      <c r="U73" s="1071">
        <f t="shared" si="10"/>
        <v>108.8800000000183</v>
      </c>
      <c r="V73" s="1072">
        <f t="shared" si="11"/>
        <v>4</v>
      </c>
      <c r="W73" s="802">
        <f t="shared" si="5"/>
        <v>0</v>
      </c>
    </row>
    <row r="74" spans="1:23" x14ac:dyDescent="0.25">
      <c r="A74" s="348"/>
      <c r="B74" s="2"/>
      <c r="C74" s="15"/>
      <c r="D74" s="545">
        <f t="shared" si="0"/>
        <v>0</v>
      </c>
      <c r="E74" s="548"/>
      <c r="F74" s="545">
        <f t="shared" si="1"/>
        <v>0</v>
      </c>
      <c r="G74" s="636"/>
      <c r="H74" s="1033"/>
      <c r="I74" s="1034">
        <f t="shared" si="8"/>
        <v>-1.6768808563938364E-12</v>
      </c>
      <c r="J74" s="1035">
        <f t="shared" si="9"/>
        <v>0</v>
      </c>
      <c r="K74" s="1036">
        <f t="shared" si="4"/>
        <v>0</v>
      </c>
      <c r="M74" s="348"/>
      <c r="N74" s="2">
        <v>27.22</v>
      </c>
      <c r="O74" s="15"/>
      <c r="P74" s="72">
        <f t="shared" si="12"/>
        <v>0</v>
      </c>
      <c r="Q74" s="358"/>
      <c r="R74" s="72">
        <f t="shared" si="13"/>
        <v>0</v>
      </c>
      <c r="S74" s="861"/>
      <c r="T74" s="862"/>
      <c r="U74" s="1071">
        <f t="shared" si="10"/>
        <v>108.8800000000183</v>
      </c>
      <c r="V74" s="1072">
        <f t="shared" si="11"/>
        <v>4</v>
      </c>
      <c r="W74" s="802">
        <f t="shared" ref="W74:W91" si="14">R74*T74</f>
        <v>0</v>
      </c>
    </row>
    <row r="75" spans="1:23" x14ac:dyDescent="0.25">
      <c r="A75" s="348"/>
      <c r="B75" s="2"/>
      <c r="C75" s="15"/>
      <c r="D75" s="72">
        <f t="shared" si="0"/>
        <v>0</v>
      </c>
      <c r="E75" s="358"/>
      <c r="F75" s="72">
        <f t="shared" si="1"/>
        <v>0</v>
      </c>
      <c r="G75" s="73"/>
      <c r="H75" s="1037"/>
      <c r="I75" s="1034">
        <f t="shared" si="8"/>
        <v>-1.6768808563938364E-12</v>
      </c>
      <c r="J75" s="1035">
        <f t="shared" si="9"/>
        <v>0</v>
      </c>
      <c r="K75" s="1036">
        <f t="shared" si="4"/>
        <v>0</v>
      </c>
      <c r="M75" s="348"/>
      <c r="N75" s="2">
        <v>27.22</v>
      </c>
      <c r="O75" s="15"/>
      <c r="P75" s="72">
        <f t="shared" si="12"/>
        <v>0</v>
      </c>
      <c r="Q75" s="358"/>
      <c r="R75" s="72">
        <f t="shared" si="13"/>
        <v>0</v>
      </c>
      <c r="S75" s="73"/>
      <c r="T75" s="74"/>
      <c r="U75" s="800">
        <f t="shared" si="10"/>
        <v>108.8800000000183</v>
      </c>
      <c r="V75" s="801">
        <f t="shared" si="11"/>
        <v>4</v>
      </c>
      <c r="W75" s="802">
        <f t="shared" si="14"/>
        <v>0</v>
      </c>
    </row>
    <row r="76" spans="1:23" x14ac:dyDescent="0.25">
      <c r="A76" s="348"/>
      <c r="B76" s="2"/>
      <c r="C76" s="15"/>
      <c r="D76" s="72">
        <f t="shared" si="0"/>
        <v>0</v>
      </c>
      <c r="E76" s="358"/>
      <c r="F76" s="72">
        <f t="shared" si="1"/>
        <v>0</v>
      </c>
      <c r="G76" s="73"/>
      <c r="H76" s="74"/>
      <c r="I76" s="800">
        <f t="shared" si="8"/>
        <v>-1.6768808563938364E-12</v>
      </c>
      <c r="J76" s="801">
        <f t="shared" si="9"/>
        <v>0</v>
      </c>
      <c r="K76" s="802">
        <f t="shared" si="4"/>
        <v>0</v>
      </c>
      <c r="M76" s="348"/>
      <c r="N76" s="2">
        <v>27.22</v>
      </c>
      <c r="O76" s="15"/>
      <c r="P76" s="72">
        <f t="shared" si="12"/>
        <v>0</v>
      </c>
      <c r="Q76" s="358"/>
      <c r="R76" s="72">
        <f t="shared" si="13"/>
        <v>0</v>
      </c>
      <c r="S76" s="73"/>
      <c r="T76" s="74"/>
      <c r="U76" s="800">
        <f t="shared" si="10"/>
        <v>108.8800000000183</v>
      </c>
      <c r="V76" s="801">
        <f t="shared" si="11"/>
        <v>4</v>
      </c>
      <c r="W76" s="802">
        <f t="shared" si="14"/>
        <v>0</v>
      </c>
    </row>
    <row r="77" spans="1:23" x14ac:dyDescent="0.25">
      <c r="A77" s="348"/>
      <c r="B77" s="2"/>
      <c r="C77" s="15"/>
      <c r="D77" s="72">
        <f t="shared" si="0"/>
        <v>0</v>
      </c>
      <c r="E77" s="358"/>
      <c r="F77" s="72">
        <f t="shared" si="1"/>
        <v>0</v>
      </c>
      <c r="G77" s="73"/>
      <c r="H77" s="74"/>
      <c r="I77" s="800">
        <f t="shared" ref="I77:I91" si="15">I76-F77</f>
        <v>-1.6768808563938364E-12</v>
      </c>
      <c r="J77" s="801">
        <f t="shared" ref="J77:J91" si="16">J76-C77</f>
        <v>0</v>
      </c>
      <c r="K77" s="802">
        <f t="shared" si="4"/>
        <v>0</v>
      </c>
      <c r="M77" s="348"/>
      <c r="N77" s="2">
        <v>27.22</v>
      </c>
      <c r="O77" s="15"/>
      <c r="P77" s="72">
        <f t="shared" si="12"/>
        <v>0</v>
      </c>
      <c r="Q77" s="358"/>
      <c r="R77" s="72">
        <f t="shared" si="13"/>
        <v>0</v>
      </c>
      <c r="S77" s="73"/>
      <c r="T77" s="74"/>
      <c r="U77" s="800">
        <f t="shared" ref="U77:U91" si="17">U76-R77</f>
        <v>108.8800000000183</v>
      </c>
      <c r="V77" s="801">
        <f t="shared" ref="V77:V91" si="18">V76-O77</f>
        <v>4</v>
      </c>
      <c r="W77" s="802">
        <f t="shared" si="14"/>
        <v>0</v>
      </c>
    </row>
    <row r="78" spans="1:23" x14ac:dyDescent="0.25">
      <c r="A78" s="348"/>
      <c r="B78" s="2"/>
      <c r="C78" s="15"/>
      <c r="D78" s="72">
        <f t="shared" si="0"/>
        <v>0</v>
      </c>
      <c r="E78" s="358"/>
      <c r="F78" s="72">
        <f t="shared" si="1"/>
        <v>0</v>
      </c>
      <c r="G78" s="73"/>
      <c r="H78" s="74"/>
      <c r="I78" s="800">
        <f t="shared" si="15"/>
        <v>-1.6768808563938364E-12</v>
      </c>
      <c r="J78" s="801">
        <f t="shared" si="16"/>
        <v>0</v>
      </c>
      <c r="K78" s="802">
        <f t="shared" si="4"/>
        <v>0</v>
      </c>
      <c r="M78" s="348"/>
      <c r="N78" s="2">
        <v>27.22</v>
      </c>
      <c r="O78" s="15"/>
      <c r="P78" s="72">
        <f t="shared" si="12"/>
        <v>0</v>
      </c>
      <c r="Q78" s="358"/>
      <c r="R78" s="72">
        <f t="shared" si="13"/>
        <v>0</v>
      </c>
      <c r="S78" s="73"/>
      <c r="T78" s="74"/>
      <c r="U78" s="800">
        <f t="shared" si="17"/>
        <v>108.8800000000183</v>
      </c>
      <c r="V78" s="801">
        <f t="shared" si="18"/>
        <v>4</v>
      </c>
      <c r="W78" s="802">
        <f t="shared" si="14"/>
        <v>0</v>
      </c>
    </row>
    <row r="79" spans="1:23" x14ac:dyDescent="0.25">
      <c r="A79" s="348"/>
      <c r="B79" s="2"/>
      <c r="C79" s="15"/>
      <c r="D79" s="72">
        <f t="shared" si="0"/>
        <v>0</v>
      </c>
      <c r="E79" s="358"/>
      <c r="F79" s="72">
        <f t="shared" si="1"/>
        <v>0</v>
      </c>
      <c r="G79" s="73"/>
      <c r="H79" s="74"/>
      <c r="I79" s="800">
        <f t="shared" si="15"/>
        <v>-1.6768808563938364E-12</v>
      </c>
      <c r="J79" s="801">
        <f t="shared" si="16"/>
        <v>0</v>
      </c>
      <c r="K79" s="802">
        <f t="shared" si="4"/>
        <v>0</v>
      </c>
      <c r="M79" s="348"/>
      <c r="N79" s="2">
        <v>27.22</v>
      </c>
      <c r="O79" s="15"/>
      <c r="P79" s="72">
        <f t="shared" si="12"/>
        <v>0</v>
      </c>
      <c r="Q79" s="358"/>
      <c r="R79" s="72">
        <f t="shared" si="13"/>
        <v>0</v>
      </c>
      <c r="S79" s="73"/>
      <c r="T79" s="74"/>
      <c r="U79" s="800">
        <f t="shared" si="17"/>
        <v>108.8800000000183</v>
      </c>
      <c r="V79" s="801">
        <f t="shared" si="18"/>
        <v>4</v>
      </c>
      <c r="W79" s="802">
        <f t="shared" si="14"/>
        <v>0</v>
      </c>
    </row>
    <row r="80" spans="1:23" x14ac:dyDescent="0.25">
      <c r="A80" s="348"/>
      <c r="B80" s="2"/>
      <c r="C80" s="15"/>
      <c r="D80" s="72">
        <f t="shared" si="0"/>
        <v>0</v>
      </c>
      <c r="E80" s="358"/>
      <c r="F80" s="72">
        <f t="shared" si="1"/>
        <v>0</v>
      </c>
      <c r="G80" s="73"/>
      <c r="H80" s="74"/>
      <c r="I80" s="800">
        <f t="shared" si="15"/>
        <v>-1.6768808563938364E-12</v>
      </c>
      <c r="J80" s="801">
        <f t="shared" si="16"/>
        <v>0</v>
      </c>
      <c r="K80" s="802">
        <f t="shared" si="4"/>
        <v>0</v>
      </c>
      <c r="M80" s="348"/>
      <c r="N80" s="2">
        <v>27.22</v>
      </c>
      <c r="O80" s="15"/>
      <c r="P80" s="72">
        <f t="shared" si="12"/>
        <v>0</v>
      </c>
      <c r="Q80" s="358"/>
      <c r="R80" s="72">
        <f t="shared" si="13"/>
        <v>0</v>
      </c>
      <c r="S80" s="73"/>
      <c r="T80" s="74"/>
      <c r="U80" s="800">
        <f t="shared" si="17"/>
        <v>108.8800000000183</v>
      </c>
      <c r="V80" s="801">
        <f t="shared" si="18"/>
        <v>4</v>
      </c>
      <c r="W80" s="802">
        <f t="shared" si="14"/>
        <v>0</v>
      </c>
    </row>
    <row r="81" spans="1:23" x14ac:dyDescent="0.25">
      <c r="A81" s="348"/>
      <c r="B81" s="2"/>
      <c r="C81" s="15"/>
      <c r="D81" s="72">
        <f t="shared" si="0"/>
        <v>0</v>
      </c>
      <c r="E81" s="358"/>
      <c r="F81" s="72">
        <f t="shared" si="1"/>
        <v>0</v>
      </c>
      <c r="G81" s="73"/>
      <c r="H81" s="74"/>
      <c r="I81" s="800">
        <f t="shared" si="15"/>
        <v>-1.6768808563938364E-12</v>
      </c>
      <c r="J81" s="801">
        <f t="shared" si="16"/>
        <v>0</v>
      </c>
      <c r="K81" s="802">
        <f t="shared" si="4"/>
        <v>0</v>
      </c>
      <c r="M81" s="348"/>
      <c r="N81" s="2">
        <v>27.22</v>
      </c>
      <c r="O81" s="15"/>
      <c r="P81" s="72">
        <f t="shared" si="12"/>
        <v>0</v>
      </c>
      <c r="Q81" s="358"/>
      <c r="R81" s="72">
        <f t="shared" si="13"/>
        <v>0</v>
      </c>
      <c r="S81" s="73"/>
      <c r="T81" s="74"/>
      <c r="U81" s="800">
        <f t="shared" si="17"/>
        <v>108.8800000000183</v>
      </c>
      <c r="V81" s="801">
        <f t="shared" si="18"/>
        <v>4</v>
      </c>
      <c r="W81" s="802">
        <f t="shared" si="14"/>
        <v>0</v>
      </c>
    </row>
    <row r="82" spans="1:23" x14ac:dyDescent="0.25">
      <c r="A82" s="348"/>
      <c r="B82" s="2"/>
      <c r="C82" s="15"/>
      <c r="D82" s="72">
        <f t="shared" si="0"/>
        <v>0</v>
      </c>
      <c r="E82" s="358"/>
      <c r="F82" s="72">
        <f t="shared" si="1"/>
        <v>0</v>
      </c>
      <c r="G82" s="73"/>
      <c r="H82" s="74"/>
      <c r="I82" s="800">
        <f t="shared" si="15"/>
        <v>-1.6768808563938364E-12</v>
      </c>
      <c r="J82" s="801">
        <f t="shared" si="16"/>
        <v>0</v>
      </c>
      <c r="K82" s="802">
        <f t="shared" si="4"/>
        <v>0</v>
      </c>
      <c r="M82" s="348"/>
      <c r="N82" s="2">
        <v>27.22</v>
      </c>
      <c r="O82" s="15"/>
      <c r="P82" s="72">
        <f t="shared" si="12"/>
        <v>0</v>
      </c>
      <c r="Q82" s="358"/>
      <c r="R82" s="72">
        <f t="shared" si="13"/>
        <v>0</v>
      </c>
      <c r="S82" s="73"/>
      <c r="T82" s="74"/>
      <c r="U82" s="800">
        <f t="shared" si="17"/>
        <v>108.8800000000183</v>
      </c>
      <c r="V82" s="801">
        <f t="shared" si="18"/>
        <v>4</v>
      </c>
      <c r="W82" s="802">
        <f t="shared" si="14"/>
        <v>0</v>
      </c>
    </row>
    <row r="83" spans="1:23" x14ac:dyDescent="0.25">
      <c r="A83" s="348"/>
      <c r="B83" s="2"/>
      <c r="C83" s="15"/>
      <c r="D83" s="72">
        <f t="shared" si="0"/>
        <v>0</v>
      </c>
      <c r="E83" s="358"/>
      <c r="F83" s="72">
        <f t="shared" si="1"/>
        <v>0</v>
      </c>
      <c r="G83" s="73"/>
      <c r="H83" s="74"/>
      <c r="I83" s="800">
        <f t="shared" si="15"/>
        <v>-1.6768808563938364E-12</v>
      </c>
      <c r="J83" s="801">
        <f t="shared" si="16"/>
        <v>0</v>
      </c>
      <c r="K83" s="802">
        <f t="shared" si="4"/>
        <v>0</v>
      </c>
      <c r="M83" s="348"/>
      <c r="N83" s="2">
        <v>27.22</v>
      </c>
      <c r="O83" s="15"/>
      <c r="P83" s="72">
        <f t="shared" si="12"/>
        <v>0</v>
      </c>
      <c r="Q83" s="358"/>
      <c r="R83" s="72">
        <f t="shared" si="13"/>
        <v>0</v>
      </c>
      <c r="S83" s="73"/>
      <c r="T83" s="74"/>
      <c r="U83" s="800">
        <f t="shared" si="17"/>
        <v>108.8800000000183</v>
      </c>
      <c r="V83" s="801">
        <f t="shared" si="18"/>
        <v>4</v>
      </c>
      <c r="W83" s="802">
        <f t="shared" si="14"/>
        <v>0</v>
      </c>
    </row>
    <row r="84" spans="1:23" x14ac:dyDescent="0.25">
      <c r="A84" s="348"/>
      <c r="B84" s="2"/>
      <c r="C84" s="15"/>
      <c r="D84" s="72">
        <f t="shared" si="0"/>
        <v>0</v>
      </c>
      <c r="E84" s="358"/>
      <c r="F84" s="72">
        <f t="shared" si="1"/>
        <v>0</v>
      </c>
      <c r="G84" s="73"/>
      <c r="H84" s="74"/>
      <c r="I84" s="800">
        <f t="shared" si="15"/>
        <v>-1.6768808563938364E-12</v>
      </c>
      <c r="J84" s="801">
        <f t="shared" si="16"/>
        <v>0</v>
      </c>
      <c r="K84" s="802">
        <f t="shared" si="4"/>
        <v>0</v>
      </c>
      <c r="M84" s="348"/>
      <c r="N84" s="2">
        <v>27.22</v>
      </c>
      <c r="O84" s="15"/>
      <c r="P84" s="72">
        <f t="shared" si="12"/>
        <v>0</v>
      </c>
      <c r="Q84" s="358"/>
      <c r="R84" s="72">
        <f t="shared" si="13"/>
        <v>0</v>
      </c>
      <c r="S84" s="73"/>
      <c r="T84" s="74"/>
      <c r="U84" s="800">
        <f t="shared" si="17"/>
        <v>108.8800000000183</v>
      </c>
      <c r="V84" s="801">
        <f t="shared" si="18"/>
        <v>4</v>
      </c>
      <c r="W84" s="802">
        <f t="shared" si="14"/>
        <v>0</v>
      </c>
    </row>
    <row r="85" spans="1:23" x14ac:dyDescent="0.25">
      <c r="A85" s="348"/>
      <c r="B85" s="2"/>
      <c r="C85" s="15"/>
      <c r="D85" s="72">
        <f t="shared" si="0"/>
        <v>0</v>
      </c>
      <c r="E85" s="358"/>
      <c r="F85" s="72">
        <f t="shared" si="1"/>
        <v>0</v>
      </c>
      <c r="G85" s="73"/>
      <c r="H85" s="74"/>
      <c r="I85" s="800">
        <f t="shared" si="15"/>
        <v>-1.6768808563938364E-12</v>
      </c>
      <c r="J85" s="801">
        <f t="shared" si="16"/>
        <v>0</v>
      </c>
      <c r="K85" s="802">
        <f t="shared" si="4"/>
        <v>0</v>
      </c>
      <c r="M85" s="348"/>
      <c r="N85" s="2">
        <v>27.22</v>
      </c>
      <c r="O85" s="15"/>
      <c r="P85" s="72">
        <f t="shared" si="12"/>
        <v>0</v>
      </c>
      <c r="Q85" s="358"/>
      <c r="R85" s="72">
        <f t="shared" si="13"/>
        <v>0</v>
      </c>
      <c r="S85" s="73"/>
      <c r="T85" s="74"/>
      <c r="U85" s="800">
        <f t="shared" si="17"/>
        <v>108.8800000000183</v>
      </c>
      <c r="V85" s="801">
        <f t="shared" si="18"/>
        <v>4</v>
      </c>
      <c r="W85" s="802">
        <f t="shared" si="14"/>
        <v>0</v>
      </c>
    </row>
    <row r="86" spans="1:23" x14ac:dyDescent="0.25">
      <c r="A86" s="348"/>
      <c r="B86" s="2"/>
      <c r="C86" s="15"/>
      <c r="D86" s="72">
        <f t="shared" si="0"/>
        <v>0</v>
      </c>
      <c r="E86" s="358"/>
      <c r="F86" s="72">
        <f t="shared" si="1"/>
        <v>0</v>
      </c>
      <c r="G86" s="73"/>
      <c r="H86" s="74"/>
      <c r="I86" s="800">
        <f t="shared" si="15"/>
        <v>-1.6768808563938364E-12</v>
      </c>
      <c r="J86" s="801">
        <f t="shared" si="16"/>
        <v>0</v>
      </c>
      <c r="K86" s="802">
        <f t="shared" si="4"/>
        <v>0</v>
      </c>
      <c r="M86" s="348"/>
      <c r="N86" s="2">
        <v>27.22</v>
      </c>
      <c r="O86" s="15"/>
      <c r="P86" s="72">
        <f t="shared" si="12"/>
        <v>0</v>
      </c>
      <c r="Q86" s="358"/>
      <c r="R86" s="72">
        <f t="shared" si="13"/>
        <v>0</v>
      </c>
      <c r="S86" s="73"/>
      <c r="T86" s="74"/>
      <c r="U86" s="800">
        <f t="shared" si="17"/>
        <v>108.8800000000183</v>
      </c>
      <c r="V86" s="801">
        <f t="shared" si="18"/>
        <v>4</v>
      </c>
      <c r="W86" s="802">
        <f t="shared" si="14"/>
        <v>0</v>
      </c>
    </row>
    <row r="87" spans="1:23" x14ac:dyDescent="0.25">
      <c r="A87" s="348"/>
      <c r="B87" s="2"/>
      <c r="C87" s="15"/>
      <c r="D87" s="72">
        <f t="shared" si="0"/>
        <v>0</v>
      </c>
      <c r="E87" s="358"/>
      <c r="F87" s="72">
        <f t="shared" si="1"/>
        <v>0</v>
      </c>
      <c r="G87" s="73"/>
      <c r="H87" s="74"/>
      <c r="I87" s="800">
        <f t="shared" si="15"/>
        <v>-1.6768808563938364E-12</v>
      </c>
      <c r="J87" s="801">
        <f t="shared" si="16"/>
        <v>0</v>
      </c>
      <c r="K87" s="802">
        <f t="shared" si="4"/>
        <v>0</v>
      </c>
      <c r="M87" s="348"/>
      <c r="N87" s="2">
        <v>27.22</v>
      </c>
      <c r="O87" s="15"/>
      <c r="P87" s="72">
        <f t="shared" si="12"/>
        <v>0</v>
      </c>
      <c r="Q87" s="358"/>
      <c r="R87" s="72">
        <f t="shared" si="13"/>
        <v>0</v>
      </c>
      <c r="S87" s="73"/>
      <c r="T87" s="74"/>
      <c r="U87" s="800">
        <f t="shared" si="17"/>
        <v>108.8800000000183</v>
      </c>
      <c r="V87" s="801">
        <f t="shared" si="18"/>
        <v>4</v>
      </c>
      <c r="W87" s="802">
        <f t="shared" si="14"/>
        <v>0</v>
      </c>
    </row>
    <row r="88" spans="1:23" x14ac:dyDescent="0.25">
      <c r="A88" s="348"/>
      <c r="B88" s="2"/>
      <c r="C88" s="15"/>
      <c r="D88" s="72">
        <f t="shared" si="0"/>
        <v>0</v>
      </c>
      <c r="E88" s="358"/>
      <c r="F88" s="72">
        <f t="shared" si="1"/>
        <v>0</v>
      </c>
      <c r="G88" s="73"/>
      <c r="H88" s="74"/>
      <c r="I88" s="800">
        <f t="shared" si="15"/>
        <v>-1.6768808563938364E-12</v>
      </c>
      <c r="J88" s="801">
        <f t="shared" si="16"/>
        <v>0</v>
      </c>
      <c r="K88" s="802">
        <f t="shared" si="4"/>
        <v>0</v>
      </c>
      <c r="M88" s="348"/>
      <c r="N88" s="2">
        <v>27.22</v>
      </c>
      <c r="O88" s="15"/>
      <c r="P88" s="72">
        <f t="shared" si="12"/>
        <v>0</v>
      </c>
      <c r="Q88" s="358"/>
      <c r="R88" s="72">
        <f t="shared" si="13"/>
        <v>0</v>
      </c>
      <c r="S88" s="73"/>
      <c r="T88" s="74"/>
      <c r="U88" s="800">
        <f t="shared" si="17"/>
        <v>108.8800000000183</v>
      </c>
      <c r="V88" s="801">
        <f t="shared" si="18"/>
        <v>4</v>
      </c>
      <c r="W88" s="802">
        <f t="shared" si="14"/>
        <v>0</v>
      </c>
    </row>
    <row r="89" spans="1:23" x14ac:dyDescent="0.25">
      <c r="A89" s="348"/>
      <c r="B89" s="2"/>
      <c r="C89" s="15"/>
      <c r="D89" s="72">
        <f t="shared" si="0"/>
        <v>0</v>
      </c>
      <c r="E89" s="358"/>
      <c r="F89" s="72">
        <f t="shared" si="1"/>
        <v>0</v>
      </c>
      <c r="G89" s="73"/>
      <c r="H89" s="74"/>
      <c r="I89" s="800">
        <f t="shared" si="15"/>
        <v>-1.6768808563938364E-12</v>
      </c>
      <c r="J89" s="801">
        <f t="shared" si="16"/>
        <v>0</v>
      </c>
      <c r="K89" s="802">
        <f t="shared" si="4"/>
        <v>0</v>
      </c>
      <c r="M89" s="348"/>
      <c r="N89" s="2">
        <v>27.22</v>
      </c>
      <c r="O89" s="15"/>
      <c r="P89" s="72">
        <f t="shared" si="12"/>
        <v>0</v>
      </c>
      <c r="Q89" s="358"/>
      <c r="R89" s="72">
        <f t="shared" si="13"/>
        <v>0</v>
      </c>
      <c r="S89" s="73"/>
      <c r="T89" s="74"/>
      <c r="U89" s="800">
        <f t="shared" si="17"/>
        <v>108.8800000000183</v>
      </c>
      <c r="V89" s="801">
        <f t="shared" si="18"/>
        <v>4</v>
      </c>
      <c r="W89" s="802">
        <f t="shared" si="14"/>
        <v>0</v>
      </c>
    </row>
    <row r="90" spans="1:23" x14ac:dyDescent="0.25">
      <c r="A90" s="348"/>
      <c r="B90" s="2"/>
      <c r="C90" s="15"/>
      <c r="D90" s="72">
        <f t="shared" si="0"/>
        <v>0</v>
      </c>
      <c r="E90" s="358"/>
      <c r="F90" s="72">
        <f t="shared" si="1"/>
        <v>0</v>
      </c>
      <c r="G90" s="73"/>
      <c r="H90" s="74"/>
      <c r="I90" s="800">
        <f t="shared" si="15"/>
        <v>-1.6768808563938364E-12</v>
      </c>
      <c r="J90" s="801">
        <f t="shared" si="16"/>
        <v>0</v>
      </c>
      <c r="K90" s="802">
        <f t="shared" si="4"/>
        <v>0</v>
      </c>
      <c r="M90" s="348"/>
      <c r="N90" s="2">
        <v>27.22</v>
      </c>
      <c r="O90" s="15"/>
      <c r="P90" s="72">
        <f t="shared" si="12"/>
        <v>0</v>
      </c>
      <c r="Q90" s="358"/>
      <c r="R90" s="72">
        <f t="shared" si="13"/>
        <v>0</v>
      </c>
      <c r="S90" s="73"/>
      <c r="T90" s="74"/>
      <c r="U90" s="800">
        <f t="shared" si="17"/>
        <v>108.8800000000183</v>
      </c>
      <c r="V90" s="801">
        <f t="shared" si="18"/>
        <v>4</v>
      </c>
      <c r="W90" s="802">
        <f t="shared" si="14"/>
        <v>0</v>
      </c>
    </row>
    <row r="91" spans="1:23" x14ac:dyDescent="0.25">
      <c r="A91" s="348"/>
      <c r="B91" s="2"/>
      <c r="C91" s="15"/>
      <c r="D91" s="72">
        <f t="shared" si="0"/>
        <v>0</v>
      </c>
      <c r="E91" s="358"/>
      <c r="F91" s="72">
        <f t="shared" si="1"/>
        <v>0</v>
      </c>
      <c r="G91" s="73"/>
      <c r="H91" s="74"/>
      <c r="I91" s="800">
        <f t="shared" si="15"/>
        <v>-1.6768808563938364E-12</v>
      </c>
      <c r="J91" s="801">
        <f t="shared" si="16"/>
        <v>0</v>
      </c>
      <c r="K91" s="802">
        <f t="shared" si="4"/>
        <v>0</v>
      </c>
      <c r="M91" s="348"/>
      <c r="N91" s="2">
        <v>27.22</v>
      </c>
      <c r="O91" s="15"/>
      <c r="P91" s="72">
        <f t="shared" si="12"/>
        <v>0</v>
      </c>
      <c r="Q91" s="358"/>
      <c r="R91" s="72">
        <f t="shared" si="13"/>
        <v>0</v>
      </c>
      <c r="S91" s="73"/>
      <c r="T91" s="74"/>
      <c r="U91" s="800">
        <f t="shared" si="17"/>
        <v>108.8800000000183</v>
      </c>
      <c r="V91" s="801">
        <f t="shared" si="18"/>
        <v>4</v>
      </c>
      <c r="W91" s="802">
        <f t="shared" si="14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805">
        <f>I60-F92</f>
        <v>3810.7999999999984</v>
      </c>
      <c r="J92" s="806">
        <f>J60-C92</f>
        <v>140</v>
      </c>
      <c r="K92" s="807">
        <f t="shared" si="4"/>
        <v>0</v>
      </c>
      <c r="M92">
        <f>SUM(M59:M60)</f>
        <v>0</v>
      </c>
      <c r="N92" s="2">
        <v>27.22</v>
      </c>
      <c r="O92" s="15"/>
      <c r="P92" s="72">
        <f t="shared" si="12"/>
        <v>0</v>
      </c>
      <c r="Q92" s="358"/>
      <c r="R92" s="72">
        <f t="shared" ref="R92:R93" si="19">P92</f>
        <v>0</v>
      </c>
      <c r="S92" s="73"/>
      <c r="T92" s="74"/>
      <c r="U92" s="805">
        <f>U60-R92</f>
        <v>6451.1400000000185</v>
      </c>
      <c r="V92" s="806">
        <f>V60-O92</f>
        <v>237</v>
      </c>
      <c r="W92" s="807">
        <f t="shared" ref="W92:W93" si="20">R92*T92</f>
        <v>0</v>
      </c>
    </row>
    <row r="93" spans="1:23" ht="16.5" thickTop="1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4"/>
        <v>0</v>
      </c>
      <c r="N93" s="2">
        <v>27.22</v>
      </c>
      <c r="O93" s="37"/>
      <c r="P93" s="72">
        <f t="shared" si="12"/>
        <v>0</v>
      </c>
      <c r="Q93" s="171"/>
      <c r="R93" s="164">
        <f t="shared" si="19"/>
        <v>0</v>
      </c>
      <c r="S93" s="148"/>
      <c r="T93" s="74"/>
      <c r="W93" s="74">
        <f t="shared" si="20"/>
        <v>0</v>
      </c>
    </row>
    <row r="94" spans="1:23" x14ac:dyDescent="0.25">
      <c r="C94" s="55">
        <f>SUM(C9:C93)</f>
        <v>672</v>
      </c>
      <c r="D94" s="6">
        <f>SUM(D9:D93)</f>
        <v>18291.839999999997</v>
      </c>
      <c r="F94" s="6">
        <f>SUM(F9:F93)</f>
        <v>18291.839999999997</v>
      </c>
      <c r="O94" s="55">
        <f>SUM(O9:O93)</f>
        <v>670</v>
      </c>
      <c r="P94" s="6">
        <f>SUM(P9:P93)</f>
        <v>18237.399999999998</v>
      </c>
      <c r="R94" s="6">
        <f>SUM(R9:R93)</f>
        <v>18237.399999999998</v>
      </c>
    </row>
    <row r="96" spans="1:23" ht="15.75" thickBot="1" x14ac:dyDescent="0.3"/>
    <row r="97" spans="3:20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4</v>
      </c>
    </row>
    <row r="98" spans="3:20" ht="15.75" thickBot="1" x14ac:dyDescent="0.3"/>
    <row r="99" spans="3:20" ht="15.75" thickBot="1" x14ac:dyDescent="0.3">
      <c r="C99" s="1120" t="s">
        <v>11</v>
      </c>
      <c r="D99" s="1121"/>
      <c r="E99" s="60">
        <f>E4+E5+E6-F94</f>
        <v>0</v>
      </c>
      <c r="G99" s="48"/>
      <c r="H99" s="95"/>
      <c r="O99" s="1120" t="s">
        <v>11</v>
      </c>
      <c r="P99" s="1121"/>
      <c r="Q99" s="60">
        <f>Q4+Q5+Q6-R94</f>
        <v>108.88000000000466</v>
      </c>
      <c r="S99" s="48"/>
      <c r="T99" s="95"/>
    </row>
  </sheetData>
  <mergeCells count="6">
    <mergeCell ref="M1:S1"/>
    <mergeCell ref="M4:M6"/>
    <mergeCell ref="O99:P99"/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zoomScaleNormal="100" workbookViewId="0">
      <pane ySplit="8" topLeftCell="A9" activePane="bottomLeft" state="frozen"/>
      <selection activeCell="B1" sqref="B1"/>
      <selection pane="bottomLeft" activeCell="M15" sqref="M14:M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24" t="s">
        <v>267</v>
      </c>
      <c r="B1" s="1124"/>
      <c r="C1" s="1124"/>
      <c r="D1" s="1124"/>
      <c r="E1" s="1124"/>
      <c r="F1" s="1124"/>
      <c r="G1" s="1124"/>
      <c r="H1" s="11">
        <v>1</v>
      </c>
      <c r="K1" s="1118" t="s">
        <v>275</v>
      </c>
      <c r="L1" s="1118"/>
      <c r="M1" s="1118"/>
      <c r="N1" s="1118"/>
      <c r="O1" s="1118"/>
      <c r="P1" s="1118"/>
      <c r="Q1" s="11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65"/>
      <c r="B4" s="326"/>
      <c r="C4" s="354"/>
      <c r="D4" s="273"/>
      <c r="E4" s="338"/>
      <c r="F4" s="268"/>
      <c r="G4" s="76"/>
      <c r="K4" s="265"/>
      <c r="L4" s="326"/>
      <c r="M4" s="354"/>
      <c r="N4" s="273"/>
      <c r="O4" s="338"/>
      <c r="P4" s="268"/>
      <c r="Q4" s="76"/>
    </row>
    <row r="5" spans="1:19" ht="15.75" customHeight="1" x14ac:dyDescent="0.25">
      <c r="A5" s="1137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1991.5499999999997</v>
      </c>
      <c r="H5" s="7">
        <f>E5-G5+E4+E6+E7</f>
        <v>2.2737367544323206E-13</v>
      </c>
      <c r="K5" s="1137" t="s">
        <v>68</v>
      </c>
      <c r="L5" s="534" t="s">
        <v>72</v>
      </c>
      <c r="M5" s="274">
        <v>115</v>
      </c>
      <c r="N5" s="273">
        <v>44382</v>
      </c>
      <c r="O5" s="338">
        <v>2037.4</v>
      </c>
      <c r="P5" s="268">
        <v>97</v>
      </c>
      <c r="Q5" s="288">
        <f>P55</f>
        <v>686.26</v>
      </c>
      <c r="R5" s="7">
        <f>O5-Q5+O4+O6+O7</f>
        <v>1433.17</v>
      </c>
    </row>
    <row r="6" spans="1:19" ht="15" customHeight="1" x14ac:dyDescent="0.25">
      <c r="A6" s="1137"/>
      <c r="B6" s="535" t="s">
        <v>73</v>
      </c>
      <c r="C6" s="274"/>
      <c r="D6" s="301"/>
      <c r="E6" s="285"/>
      <c r="F6" s="279"/>
      <c r="G6" s="265"/>
      <c r="K6" s="1137"/>
      <c r="L6" s="535" t="s">
        <v>73</v>
      </c>
      <c r="M6" s="274"/>
      <c r="N6" s="301"/>
      <c r="O6" s="285">
        <v>82.03</v>
      </c>
      <c r="P6" s="279">
        <v>5</v>
      </c>
      <c r="Q6" s="265"/>
    </row>
    <row r="7" spans="1:19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166</v>
      </c>
      <c r="H9" s="292">
        <v>125</v>
      </c>
      <c r="I9" s="285">
        <f>E6+E5+E4-F9+E7</f>
        <v>1913.24</v>
      </c>
      <c r="K9" s="58" t="s">
        <v>32</v>
      </c>
      <c r="L9" s="211">
        <f>P4+P5+P6+P7-M9</f>
        <v>97</v>
      </c>
      <c r="M9" s="15">
        <v>5</v>
      </c>
      <c r="N9" s="72">
        <v>106.54</v>
      </c>
      <c r="O9" s="358">
        <v>44398</v>
      </c>
      <c r="P9" s="72">
        <f>N9</f>
        <v>106.54</v>
      </c>
      <c r="Q9" s="73" t="s">
        <v>518</v>
      </c>
      <c r="R9" s="74">
        <v>125</v>
      </c>
      <c r="S9" s="285">
        <f>O6+O5+O4-P9+O7</f>
        <v>2012.8900000000003</v>
      </c>
    </row>
    <row r="10" spans="1:19" x14ac:dyDescent="0.25">
      <c r="A10" s="81"/>
      <c r="B10" s="211">
        <f>B9-C10</f>
        <v>94</v>
      </c>
      <c r="C10" s="289">
        <v>8</v>
      </c>
      <c r="D10" s="777">
        <v>150.78</v>
      </c>
      <c r="E10" s="924">
        <v>44356</v>
      </c>
      <c r="F10" s="777">
        <f t="shared" si="0"/>
        <v>150.78</v>
      </c>
      <c r="G10" s="758" t="s">
        <v>175</v>
      </c>
      <c r="H10" s="759">
        <v>125</v>
      </c>
      <c r="I10" s="285">
        <f>I9-F10</f>
        <v>1762.46</v>
      </c>
      <c r="K10" s="81"/>
      <c r="L10" s="211">
        <f>L9-M10</f>
        <v>87</v>
      </c>
      <c r="M10" s="15">
        <v>10</v>
      </c>
      <c r="N10" s="72">
        <v>212.06</v>
      </c>
      <c r="O10" s="358">
        <v>44400</v>
      </c>
      <c r="P10" s="72">
        <f>N10</f>
        <v>212.06</v>
      </c>
      <c r="Q10" s="73" t="s">
        <v>533</v>
      </c>
      <c r="R10" s="74">
        <v>125</v>
      </c>
      <c r="S10" s="285">
        <f>S9-P10</f>
        <v>1800.8300000000004</v>
      </c>
    </row>
    <row r="11" spans="1:19" x14ac:dyDescent="0.25">
      <c r="A11" s="12"/>
      <c r="B11" s="211">
        <f t="shared" ref="B11:B53" si="1">B10-C11</f>
        <v>92</v>
      </c>
      <c r="C11" s="15">
        <v>2</v>
      </c>
      <c r="D11" s="777">
        <v>40.76</v>
      </c>
      <c r="E11" s="924">
        <v>44357</v>
      </c>
      <c r="F11" s="777">
        <f t="shared" si="0"/>
        <v>40.76</v>
      </c>
      <c r="G11" s="758" t="s">
        <v>177</v>
      </c>
      <c r="H11" s="759">
        <v>125</v>
      </c>
      <c r="I11" s="285">
        <f t="shared" ref="I11:I54" si="2">I10-F11</f>
        <v>1721.7</v>
      </c>
      <c r="K11" s="12"/>
      <c r="L11" s="211">
        <f t="shared" ref="L11:L53" si="3">L10-M11</f>
        <v>77</v>
      </c>
      <c r="M11" s="15">
        <v>10</v>
      </c>
      <c r="N11" s="72">
        <v>223.77</v>
      </c>
      <c r="O11" s="358">
        <v>44400</v>
      </c>
      <c r="P11" s="72">
        <f>N11</f>
        <v>223.77</v>
      </c>
      <c r="Q11" s="73" t="s">
        <v>534</v>
      </c>
      <c r="R11" s="74">
        <v>125</v>
      </c>
      <c r="S11" s="285">
        <f t="shared" ref="S11:S54" si="4">S10-P11</f>
        <v>1577.0600000000004</v>
      </c>
    </row>
    <row r="12" spans="1:19" x14ac:dyDescent="0.25">
      <c r="A12" s="58" t="s">
        <v>33</v>
      </c>
      <c r="B12" s="211">
        <f t="shared" si="1"/>
        <v>86</v>
      </c>
      <c r="C12" s="15">
        <v>6</v>
      </c>
      <c r="D12" s="777">
        <v>106</v>
      </c>
      <c r="E12" s="957">
        <v>44361</v>
      </c>
      <c r="F12" s="756">
        <f t="shared" si="0"/>
        <v>106</v>
      </c>
      <c r="G12" s="758" t="s">
        <v>187</v>
      </c>
      <c r="H12" s="759">
        <v>125</v>
      </c>
      <c r="I12" s="285">
        <f t="shared" si="2"/>
        <v>1615.7</v>
      </c>
      <c r="K12" s="58" t="s">
        <v>33</v>
      </c>
      <c r="L12" s="211">
        <f t="shared" si="3"/>
        <v>72</v>
      </c>
      <c r="M12" s="15">
        <v>5</v>
      </c>
      <c r="N12" s="72">
        <v>110.01</v>
      </c>
      <c r="O12" s="358">
        <v>44407</v>
      </c>
      <c r="P12" s="72">
        <f>N12</f>
        <v>110.01</v>
      </c>
      <c r="Q12" s="73" t="s">
        <v>561</v>
      </c>
      <c r="R12" s="74">
        <v>125</v>
      </c>
      <c r="S12" s="285">
        <f t="shared" si="4"/>
        <v>1467.0500000000004</v>
      </c>
    </row>
    <row r="13" spans="1:19" x14ac:dyDescent="0.25">
      <c r="A13" s="81"/>
      <c r="B13" s="211">
        <f t="shared" si="1"/>
        <v>80</v>
      </c>
      <c r="C13" s="15">
        <v>6</v>
      </c>
      <c r="D13" s="777">
        <v>115.17</v>
      </c>
      <c r="E13" s="957">
        <v>44364</v>
      </c>
      <c r="F13" s="756">
        <f t="shared" si="0"/>
        <v>115.17</v>
      </c>
      <c r="G13" s="758" t="s">
        <v>193</v>
      </c>
      <c r="H13" s="759">
        <v>125</v>
      </c>
      <c r="I13" s="285">
        <f t="shared" si="2"/>
        <v>1500.53</v>
      </c>
      <c r="K13" s="81"/>
      <c r="L13" s="211">
        <f t="shared" si="3"/>
        <v>70</v>
      </c>
      <c r="M13" s="15">
        <v>2</v>
      </c>
      <c r="N13" s="72">
        <v>33.880000000000003</v>
      </c>
      <c r="O13" s="358">
        <v>44408</v>
      </c>
      <c r="P13" s="72">
        <f>N13</f>
        <v>33.880000000000003</v>
      </c>
      <c r="Q13" s="73" t="s">
        <v>563</v>
      </c>
      <c r="R13" s="74">
        <v>125</v>
      </c>
      <c r="S13" s="285">
        <f t="shared" si="4"/>
        <v>1433.1700000000003</v>
      </c>
    </row>
    <row r="14" spans="1:19" x14ac:dyDescent="0.25">
      <c r="A14" s="12"/>
      <c r="B14" s="211">
        <f t="shared" si="1"/>
        <v>77</v>
      </c>
      <c r="C14" s="15">
        <v>3</v>
      </c>
      <c r="D14" s="777">
        <v>55.49</v>
      </c>
      <c r="E14" s="957">
        <v>44365</v>
      </c>
      <c r="F14" s="756">
        <f t="shared" si="0"/>
        <v>55.49</v>
      </c>
      <c r="G14" s="758" t="s">
        <v>194</v>
      </c>
      <c r="H14" s="759">
        <v>125</v>
      </c>
      <c r="I14" s="285">
        <f t="shared" si="2"/>
        <v>1445.04</v>
      </c>
      <c r="K14" s="12"/>
      <c r="L14" s="211">
        <f t="shared" si="3"/>
        <v>70</v>
      </c>
      <c r="M14" s="15"/>
      <c r="N14" s="72"/>
      <c r="O14" s="1015"/>
      <c r="P14" s="290">
        <f t="shared" ref="P14:P54" si="5">N14</f>
        <v>0</v>
      </c>
      <c r="Q14" s="291"/>
      <c r="R14" s="292"/>
      <c r="S14" s="285">
        <f t="shared" si="4"/>
        <v>1433.1700000000003</v>
      </c>
    </row>
    <row r="15" spans="1:19" x14ac:dyDescent="0.25">
      <c r="B15" s="211">
        <f t="shared" si="1"/>
        <v>71</v>
      </c>
      <c r="C15" s="55">
        <v>6</v>
      </c>
      <c r="D15" s="777">
        <v>111.39</v>
      </c>
      <c r="E15" s="957">
        <v>44366</v>
      </c>
      <c r="F15" s="756">
        <f t="shared" si="0"/>
        <v>111.39</v>
      </c>
      <c r="G15" s="758" t="s">
        <v>203</v>
      </c>
      <c r="H15" s="759">
        <v>125</v>
      </c>
      <c r="I15" s="285">
        <f t="shared" si="2"/>
        <v>1333.6499999999999</v>
      </c>
      <c r="L15" s="211">
        <f t="shared" si="3"/>
        <v>70</v>
      </c>
      <c r="M15" s="55"/>
      <c r="N15" s="72"/>
      <c r="O15" s="1015"/>
      <c r="P15" s="290">
        <f t="shared" si="5"/>
        <v>0</v>
      </c>
      <c r="Q15" s="291"/>
      <c r="R15" s="292"/>
      <c r="S15" s="285">
        <f t="shared" si="4"/>
        <v>1433.1700000000003</v>
      </c>
    </row>
    <row r="16" spans="1:19" x14ac:dyDescent="0.25">
      <c r="B16" s="211">
        <f t="shared" si="1"/>
        <v>65</v>
      </c>
      <c r="C16" s="15">
        <v>6</v>
      </c>
      <c r="D16" s="777">
        <v>134.04</v>
      </c>
      <c r="E16" s="957">
        <v>44372</v>
      </c>
      <c r="F16" s="756">
        <f t="shared" si="0"/>
        <v>134.04</v>
      </c>
      <c r="G16" s="758" t="s">
        <v>216</v>
      </c>
      <c r="H16" s="759">
        <v>125</v>
      </c>
      <c r="I16" s="285">
        <f t="shared" si="2"/>
        <v>1199.6099999999999</v>
      </c>
      <c r="L16" s="211">
        <f t="shared" si="3"/>
        <v>70</v>
      </c>
      <c r="M16" s="15"/>
      <c r="N16" s="72"/>
      <c r="O16" s="1015"/>
      <c r="P16" s="290">
        <f t="shared" si="5"/>
        <v>0</v>
      </c>
      <c r="Q16" s="291"/>
      <c r="R16" s="292"/>
      <c r="S16" s="285">
        <f t="shared" si="4"/>
        <v>1433.1700000000003</v>
      </c>
    </row>
    <row r="17" spans="2:19" x14ac:dyDescent="0.25">
      <c r="B17" s="211">
        <f t="shared" si="1"/>
        <v>57</v>
      </c>
      <c r="C17" s="15">
        <v>8</v>
      </c>
      <c r="D17" s="777">
        <v>164.67</v>
      </c>
      <c r="E17" s="924">
        <v>44373</v>
      </c>
      <c r="F17" s="777">
        <f t="shared" si="0"/>
        <v>164.67</v>
      </c>
      <c r="G17" s="758" t="s">
        <v>223</v>
      </c>
      <c r="H17" s="759">
        <v>125</v>
      </c>
      <c r="I17" s="285">
        <f t="shared" si="2"/>
        <v>1034.9399999999998</v>
      </c>
      <c r="L17" s="211">
        <f t="shared" si="3"/>
        <v>70</v>
      </c>
      <c r="M17" s="15"/>
      <c r="N17" s="72"/>
      <c r="O17" s="358"/>
      <c r="P17" s="72">
        <f t="shared" si="5"/>
        <v>0</v>
      </c>
      <c r="Q17" s="291"/>
      <c r="R17" s="292"/>
      <c r="S17" s="285">
        <f t="shared" si="4"/>
        <v>1433.1700000000003</v>
      </c>
    </row>
    <row r="18" spans="2:19" x14ac:dyDescent="0.25">
      <c r="B18" s="211">
        <f t="shared" si="1"/>
        <v>55</v>
      </c>
      <c r="C18" s="55">
        <v>2</v>
      </c>
      <c r="D18" s="777">
        <v>40.159999999999997</v>
      </c>
      <c r="E18" s="924">
        <v>44373</v>
      </c>
      <c r="F18" s="777">
        <f t="shared" si="0"/>
        <v>40.159999999999997</v>
      </c>
      <c r="G18" s="758" t="s">
        <v>228</v>
      </c>
      <c r="H18" s="759">
        <v>125</v>
      </c>
      <c r="I18" s="285">
        <f t="shared" si="2"/>
        <v>994.77999999999986</v>
      </c>
      <c r="L18" s="211">
        <f t="shared" si="3"/>
        <v>70</v>
      </c>
      <c r="M18" s="55"/>
      <c r="N18" s="72"/>
      <c r="O18" s="358"/>
      <c r="P18" s="72">
        <f t="shared" si="5"/>
        <v>0</v>
      </c>
      <c r="Q18" s="291"/>
      <c r="R18" s="292"/>
      <c r="S18" s="285">
        <f t="shared" si="4"/>
        <v>1433.1700000000003</v>
      </c>
    </row>
    <row r="19" spans="2:19" x14ac:dyDescent="0.25">
      <c r="B19" s="211">
        <f t="shared" si="1"/>
        <v>48</v>
      </c>
      <c r="C19" s="15">
        <v>7</v>
      </c>
      <c r="D19" s="777">
        <v>119.19</v>
      </c>
      <c r="E19" s="924">
        <v>44368</v>
      </c>
      <c r="F19" s="777">
        <f t="shared" si="0"/>
        <v>119.19</v>
      </c>
      <c r="G19" s="758" t="s">
        <v>235</v>
      </c>
      <c r="H19" s="759">
        <v>125</v>
      </c>
      <c r="I19" s="285">
        <f t="shared" si="2"/>
        <v>875.58999999999992</v>
      </c>
      <c r="L19" s="211">
        <f t="shared" si="3"/>
        <v>70</v>
      </c>
      <c r="M19" s="15"/>
      <c r="N19" s="72"/>
      <c r="O19" s="358"/>
      <c r="P19" s="72">
        <f t="shared" si="5"/>
        <v>0</v>
      </c>
      <c r="Q19" s="291"/>
      <c r="R19" s="292"/>
      <c r="S19" s="285">
        <f t="shared" si="4"/>
        <v>1433.1700000000003</v>
      </c>
    </row>
    <row r="20" spans="2:19" x14ac:dyDescent="0.25">
      <c r="B20" s="211">
        <f t="shared" si="1"/>
        <v>46</v>
      </c>
      <c r="C20" s="15">
        <v>2</v>
      </c>
      <c r="D20" s="777">
        <v>45.46</v>
      </c>
      <c r="E20" s="924">
        <v>44378</v>
      </c>
      <c r="F20" s="777">
        <f t="shared" si="0"/>
        <v>45.46</v>
      </c>
      <c r="G20" s="758" t="s">
        <v>245</v>
      </c>
      <c r="H20" s="759">
        <v>125</v>
      </c>
      <c r="I20" s="285">
        <f t="shared" si="2"/>
        <v>830.12999999999988</v>
      </c>
      <c r="L20" s="211">
        <f t="shared" si="3"/>
        <v>70</v>
      </c>
      <c r="M20" s="15"/>
      <c r="N20" s="72"/>
      <c r="O20" s="358"/>
      <c r="P20" s="72">
        <f t="shared" si="5"/>
        <v>0</v>
      </c>
      <c r="Q20" s="291"/>
      <c r="R20" s="292"/>
      <c r="S20" s="285">
        <f t="shared" si="4"/>
        <v>1433.1700000000003</v>
      </c>
    </row>
    <row r="21" spans="2:19" x14ac:dyDescent="0.25">
      <c r="B21" s="211">
        <f t="shared" si="1"/>
        <v>40</v>
      </c>
      <c r="C21" s="15">
        <v>6</v>
      </c>
      <c r="D21" s="777">
        <v>124.21</v>
      </c>
      <c r="E21" s="924">
        <v>44379</v>
      </c>
      <c r="F21" s="777">
        <f t="shared" si="0"/>
        <v>124.21</v>
      </c>
      <c r="G21" s="758" t="s">
        <v>252</v>
      </c>
      <c r="H21" s="759">
        <v>125</v>
      </c>
      <c r="I21" s="285">
        <f t="shared" si="2"/>
        <v>705.91999999999985</v>
      </c>
      <c r="L21" s="211">
        <f t="shared" si="3"/>
        <v>70</v>
      </c>
      <c r="M21" s="15"/>
      <c r="N21" s="72"/>
      <c r="O21" s="358"/>
      <c r="P21" s="72">
        <f t="shared" si="5"/>
        <v>0</v>
      </c>
      <c r="Q21" s="291"/>
      <c r="R21" s="292"/>
      <c r="S21" s="285">
        <f t="shared" si="4"/>
        <v>1433.1700000000003</v>
      </c>
    </row>
    <row r="22" spans="2:19" x14ac:dyDescent="0.25">
      <c r="B22" s="211">
        <f t="shared" si="1"/>
        <v>36</v>
      </c>
      <c r="C22" s="15">
        <v>4</v>
      </c>
      <c r="D22" s="777">
        <v>74.88</v>
      </c>
      <c r="E22" s="924">
        <v>44380</v>
      </c>
      <c r="F22" s="777">
        <f t="shared" si="0"/>
        <v>74.88</v>
      </c>
      <c r="G22" s="778" t="s">
        <v>257</v>
      </c>
      <c r="H22" s="191">
        <v>125</v>
      </c>
      <c r="I22" s="285">
        <f t="shared" si="2"/>
        <v>631.03999999999985</v>
      </c>
      <c r="L22" s="211">
        <f t="shared" si="3"/>
        <v>70</v>
      </c>
      <c r="M22" s="15"/>
      <c r="N22" s="72"/>
      <c r="O22" s="358"/>
      <c r="P22" s="72">
        <f t="shared" si="5"/>
        <v>0</v>
      </c>
      <c r="Q22" s="73"/>
      <c r="R22" s="74"/>
      <c r="S22" s="285">
        <f t="shared" si="4"/>
        <v>1433.1700000000003</v>
      </c>
    </row>
    <row r="23" spans="2:19" x14ac:dyDescent="0.25">
      <c r="B23" s="211">
        <f t="shared" si="1"/>
        <v>26</v>
      </c>
      <c r="C23" s="15">
        <v>10</v>
      </c>
      <c r="D23" s="1000">
        <v>179.79</v>
      </c>
      <c r="E23" s="1001">
        <v>44384</v>
      </c>
      <c r="F23" s="1000">
        <f t="shared" si="0"/>
        <v>179.79</v>
      </c>
      <c r="G23" s="1002" t="s">
        <v>419</v>
      </c>
      <c r="H23" s="1003">
        <v>125</v>
      </c>
      <c r="I23" s="285">
        <f t="shared" si="2"/>
        <v>451.24999999999989</v>
      </c>
      <c r="L23" s="211">
        <f t="shared" si="3"/>
        <v>70</v>
      </c>
      <c r="M23" s="15"/>
      <c r="N23" s="72"/>
      <c r="O23" s="358"/>
      <c r="P23" s="72">
        <f t="shared" si="5"/>
        <v>0</v>
      </c>
      <c r="Q23" s="73"/>
      <c r="R23" s="74"/>
      <c r="S23" s="285">
        <f t="shared" si="4"/>
        <v>1433.1700000000003</v>
      </c>
    </row>
    <row r="24" spans="2:19" x14ac:dyDescent="0.25">
      <c r="B24" s="211">
        <f t="shared" si="1"/>
        <v>24</v>
      </c>
      <c r="C24" s="15">
        <v>2</v>
      </c>
      <c r="D24" s="1000">
        <v>38.78</v>
      </c>
      <c r="E24" s="1001">
        <v>44387</v>
      </c>
      <c r="F24" s="1000">
        <f t="shared" si="0"/>
        <v>38.78</v>
      </c>
      <c r="G24" s="1002" t="s">
        <v>445</v>
      </c>
      <c r="H24" s="1003">
        <v>125</v>
      </c>
      <c r="I24" s="285">
        <f t="shared" si="2"/>
        <v>412.46999999999991</v>
      </c>
      <c r="L24" s="211">
        <f t="shared" si="3"/>
        <v>70</v>
      </c>
      <c r="M24" s="15"/>
      <c r="N24" s="72"/>
      <c r="O24" s="358"/>
      <c r="P24" s="72">
        <f t="shared" si="5"/>
        <v>0</v>
      </c>
      <c r="Q24" s="73"/>
      <c r="R24" s="74"/>
      <c r="S24" s="285">
        <f t="shared" si="4"/>
        <v>1433.1700000000003</v>
      </c>
    </row>
    <row r="25" spans="2:19" x14ac:dyDescent="0.25">
      <c r="B25" s="211">
        <f t="shared" si="1"/>
        <v>14</v>
      </c>
      <c r="C25" s="15">
        <v>10</v>
      </c>
      <c r="D25" s="1000">
        <v>183.09</v>
      </c>
      <c r="E25" s="1001">
        <v>44389</v>
      </c>
      <c r="F25" s="1000">
        <f t="shared" si="0"/>
        <v>183.09</v>
      </c>
      <c r="G25" s="1002" t="s">
        <v>452</v>
      </c>
      <c r="H25" s="1003">
        <v>125</v>
      </c>
      <c r="I25" s="285">
        <f t="shared" si="2"/>
        <v>229.37999999999991</v>
      </c>
      <c r="L25" s="211">
        <f t="shared" si="3"/>
        <v>70</v>
      </c>
      <c r="M25" s="15"/>
      <c r="N25" s="72"/>
      <c r="O25" s="358"/>
      <c r="P25" s="72">
        <f t="shared" si="5"/>
        <v>0</v>
      </c>
      <c r="Q25" s="73"/>
      <c r="R25" s="74"/>
      <c r="S25" s="285">
        <f t="shared" si="4"/>
        <v>1433.1700000000003</v>
      </c>
    </row>
    <row r="26" spans="2:19" x14ac:dyDescent="0.25">
      <c r="B26" s="211">
        <f t="shared" si="1"/>
        <v>6</v>
      </c>
      <c r="C26" s="15">
        <v>8</v>
      </c>
      <c r="D26" s="1000">
        <v>132.65</v>
      </c>
      <c r="E26" s="1001">
        <v>44393</v>
      </c>
      <c r="F26" s="1000">
        <f t="shared" si="0"/>
        <v>132.65</v>
      </c>
      <c r="G26" s="1002" t="s">
        <v>487</v>
      </c>
      <c r="H26" s="1003">
        <v>125</v>
      </c>
      <c r="I26" s="285">
        <f t="shared" si="2"/>
        <v>96.729999999999905</v>
      </c>
      <c r="L26" s="211">
        <f t="shared" si="3"/>
        <v>70</v>
      </c>
      <c r="M26" s="15"/>
      <c r="N26" s="72"/>
      <c r="O26" s="358"/>
      <c r="P26" s="72">
        <f t="shared" si="5"/>
        <v>0</v>
      </c>
      <c r="Q26" s="73"/>
      <c r="R26" s="74"/>
      <c r="S26" s="285">
        <f t="shared" si="4"/>
        <v>1433.1700000000003</v>
      </c>
    </row>
    <row r="27" spans="2:19" x14ac:dyDescent="0.25">
      <c r="B27" s="211">
        <f t="shared" si="1"/>
        <v>5</v>
      </c>
      <c r="C27" s="15">
        <v>1</v>
      </c>
      <c r="D27" s="1000">
        <v>14.7</v>
      </c>
      <c r="E27" s="1001">
        <v>44396</v>
      </c>
      <c r="F27" s="1000">
        <f t="shared" si="0"/>
        <v>14.7</v>
      </c>
      <c r="G27" s="1002" t="s">
        <v>501</v>
      </c>
      <c r="H27" s="1003">
        <v>125</v>
      </c>
      <c r="I27" s="285">
        <f t="shared" si="2"/>
        <v>82.029999999999902</v>
      </c>
      <c r="L27" s="211">
        <f t="shared" si="3"/>
        <v>70</v>
      </c>
      <c r="M27" s="15"/>
      <c r="N27" s="72"/>
      <c r="O27" s="358"/>
      <c r="P27" s="72">
        <f t="shared" si="5"/>
        <v>0</v>
      </c>
      <c r="Q27" s="73"/>
      <c r="R27" s="74"/>
      <c r="S27" s="285">
        <f t="shared" si="4"/>
        <v>1433.1700000000003</v>
      </c>
    </row>
    <row r="28" spans="2:19" x14ac:dyDescent="0.25">
      <c r="B28" s="211">
        <f t="shared" si="1"/>
        <v>5</v>
      </c>
      <c r="C28" s="15"/>
      <c r="D28" s="1000"/>
      <c r="E28" s="1001"/>
      <c r="F28" s="1073">
        <f t="shared" si="0"/>
        <v>0</v>
      </c>
      <c r="G28" s="1074"/>
      <c r="H28" s="1075"/>
      <c r="I28" s="1076">
        <f t="shared" si="2"/>
        <v>82.029999999999902</v>
      </c>
      <c r="L28" s="211">
        <f t="shared" si="3"/>
        <v>70</v>
      </c>
      <c r="M28" s="15"/>
      <c r="N28" s="72"/>
      <c r="O28" s="358"/>
      <c r="P28" s="72">
        <f t="shared" si="5"/>
        <v>0</v>
      </c>
      <c r="Q28" s="73"/>
      <c r="R28" s="74"/>
      <c r="S28" s="285">
        <f t="shared" si="4"/>
        <v>1433.1700000000003</v>
      </c>
    </row>
    <row r="29" spans="2:19" x14ac:dyDescent="0.25">
      <c r="B29" s="211">
        <f t="shared" si="1"/>
        <v>5</v>
      </c>
      <c r="C29" s="15"/>
      <c r="D29" s="1000"/>
      <c r="E29" s="1001"/>
      <c r="F29" s="1073">
        <f t="shared" si="0"/>
        <v>0</v>
      </c>
      <c r="G29" s="1074"/>
      <c r="H29" s="1075"/>
      <c r="I29" s="1076">
        <f t="shared" si="2"/>
        <v>82.029999999999902</v>
      </c>
      <c r="L29" s="211">
        <f t="shared" si="3"/>
        <v>70</v>
      </c>
      <c r="M29" s="15"/>
      <c r="N29" s="72"/>
      <c r="O29" s="358"/>
      <c r="P29" s="72">
        <f t="shared" si="5"/>
        <v>0</v>
      </c>
      <c r="Q29" s="73"/>
      <c r="R29" s="74"/>
      <c r="S29" s="285">
        <f t="shared" si="4"/>
        <v>1433.1700000000003</v>
      </c>
    </row>
    <row r="30" spans="2:19" x14ac:dyDescent="0.25">
      <c r="B30" s="211">
        <f t="shared" si="1"/>
        <v>0</v>
      </c>
      <c r="C30" s="15">
        <v>5</v>
      </c>
      <c r="D30" s="1000"/>
      <c r="E30" s="1001"/>
      <c r="F30" s="1073">
        <v>82.03</v>
      </c>
      <c r="G30" s="1074"/>
      <c r="H30" s="1075"/>
      <c r="I30" s="1076">
        <f t="shared" si="2"/>
        <v>0</v>
      </c>
      <c r="L30" s="211">
        <f t="shared" si="3"/>
        <v>70</v>
      </c>
      <c r="M30" s="15"/>
      <c r="N30" s="72"/>
      <c r="O30" s="358"/>
      <c r="P30" s="72">
        <f t="shared" si="5"/>
        <v>0</v>
      </c>
      <c r="Q30" s="73"/>
      <c r="R30" s="74"/>
      <c r="S30" s="285">
        <f t="shared" si="4"/>
        <v>1433.1700000000003</v>
      </c>
    </row>
    <row r="31" spans="2:19" x14ac:dyDescent="0.25">
      <c r="B31" s="211">
        <f t="shared" si="1"/>
        <v>0</v>
      </c>
      <c r="C31" s="15"/>
      <c r="D31" s="1000"/>
      <c r="E31" s="1001"/>
      <c r="F31" s="1073">
        <f t="shared" si="0"/>
        <v>0</v>
      </c>
      <c r="G31" s="1074"/>
      <c r="H31" s="1075"/>
      <c r="I31" s="1076">
        <f t="shared" si="2"/>
        <v>0</v>
      </c>
      <c r="L31" s="211">
        <f t="shared" si="3"/>
        <v>70</v>
      </c>
      <c r="M31" s="15"/>
      <c r="N31" s="72"/>
      <c r="O31" s="358"/>
      <c r="P31" s="72">
        <f t="shared" si="5"/>
        <v>0</v>
      </c>
      <c r="Q31" s="73"/>
      <c r="R31" s="74"/>
      <c r="S31" s="285">
        <f t="shared" si="4"/>
        <v>1433.1700000000003</v>
      </c>
    </row>
    <row r="32" spans="2:19" x14ac:dyDescent="0.25">
      <c r="B32" s="211">
        <f t="shared" si="1"/>
        <v>0</v>
      </c>
      <c r="C32" s="15"/>
      <c r="D32" s="1000"/>
      <c r="E32" s="1001"/>
      <c r="F32" s="1000">
        <f t="shared" si="0"/>
        <v>0</v>
      </c>
      <c r="G32" s="1002"/>
      <c r="H32" s="1003"/>
      <c r="I32" s="285">
        <f t="shared" si="2"/>
        <v>0</v>
      </c>
      <c r="L32" s="211">
        <f t="shared" si="3"/>
        <v>70</v>
      </c>
      <c r="M32" s="15"/>
      <c r="N32" s="72"/>
      <c r="O32" s="358"/>
      <c r="P32" s="72">
        <f t="shared" si="5"/>
        <v>0</v>
      </c>
      <c r="Q32" s="73"/>
      <c r="R32" s="74"/>
      <c r="S32" s="285">
        <f t="shared" si="4"/>
        <v>1433.1700000000003</v>
      </c>
    </row>
    <row r="33" spans="2:19" x14ac:dyDescent="0.25">
      <c r="B33" s="211">
        <f t="shared" si="1"/>
        <v>0</v>
      </c>
      <c r="C33" s="15"/>
      <c r="D33" s="1000"/>
      <c r="E33" s="1001"/>
      <c r="F33" s="1000">
        <f t="shared" si="0"/>
        <v>0</v>
      </c>
      <c r="G33" s="1002"/>
      <c r="H33" s="1003"/>
      <c r="I33" s="285">
        <f t="shared" si="2"/>
        <v>0</v>
      </c>
      <c r="L33" s="211">
        <f t="shared" si="3"/>
        <v>70</v>
      </c>
      <c r="M33" s="15"/>
      <c r="N33" s="72"/>
      <c r="O33" s="358"/>
      <c r="P33" s="72">
        <f t="shared" si="5"/>
        <v>0</v>
      </c>
      <c r="Q33" s="73"/>
      <c r="R33" s="74"/>
      <c r="S33" s="285">
        <f t="shared" si="4"/>
        <v>1433.1700000000003</v>
      </c>
    </row>
    <row r="34" spans="2:19" x14ac:dyDescent="0.25">
      <c r="B34" s="211">
        <f t="shared" si="1"/>
        <v>0</v>
      </c>
      <c r="C34" s="15"/>
      <c r="D34" s="1000"/>
      <c r="E34" s="1001"/>
      <c r="F34" s="1000">
        <f t="shared" si="0"/>
        <v>0</v>
      </c>
      <c r="G34" s="1002"/>
      <c r="H34" s="1003"/>
      <c r="I34" s="285">
        <f t="shared" si="2"/>
        <v>0</v>
      </c>
      <c r="L34" s="211">
        <f t="shared" si="3"/>
        <v>70</v>
      </c>
      <c r="M34" s="15"/>
      <c r="N34" s="72"/>
      <c r="O34" s="358"/>
      <c r="P34" s="72">
        <f t="shared" si="5"/>
        <v>0</v>
      </c>
      <c r="Q34" s="73"/>
      <c r="R34" s="74"/>
      <c r="S34" s="285">
        <f t="shared" si="4"/>
        <v>1433.1700000000003</v>
      </c>
    </row>
    <row r="35" spans="2:19" x14ac:dyDescent="0.25">
      <c r="B35" s="211">
        <f t="shared" si="1"/>
        <v>0</v>
      </c>
      <c r="C35" s="15"/>
      <c r="D35" s="1000"/>
      <c r="E35" s="1001"/>
      <c r="F35" s="1000">
        <f t="shared" si="0"/>
        <v>0</v>
      </c>
      <c r="G35" s="1002"/>
      <c r="H35" s="1003"/>
      <c r="I35" s="285">
        <f t="shared" si="2"/>
        <v>0</v>
      </c>
      <c r="L35" s="211">
        <f t="shared" si="3"/>
        <v>70</v>
      </c>
      <c r="M35" s="15"/>
      <c r="N35" s="72"/>
      <c r="O35" s="358"/>
      <c r="P35" s="72">
        <f t="shared" si="5"/>
        <v>0</v>
      </c>
      <c r="Q35" s="73"/>
      <c r="R35" s="74"/>
      <c r="S35" s="285">
        <f t="shared" si="4"/>
        <v>1433.1700000000003</v>
      </c>
    </row>
    <row r="36" spans="2:19" x14ac:dyDescent="0.25">
      <c r="B36" s="211">
        <f t="shared" si="1"/>
        <v>0</v>
      </c>
      <c r="C36" s="15"/>
      <c r="D36" s="1000"/>
      <c r="E36" s="1001"/>
      <c r="F36" s="1000">
        <f t="shared" si="0"/>
        <v>0</v>
      </c>
      <c r="G36" s="1002"/>
      <c r="H36" s="1003"/>
      <c r="I36" s="285">
        <f t="shared" si="2"/>
        <v>0</v>
      </c>
      <c r="L36" s="211">
        <f t="shared" si="3"/>
        <v>70</v>
      </c>
      <c r="M36" s="15"/>
      <c r="N36" s="72"/>
      <c r="O36" s="358"/>
      <c r="P36" s="72">
        <f t="shared" si="5"/>
        <v>0</v>
      </c>
      <c r="Q36" s="73"/>
      <c r="R36" s="74"/>
      <c r="S36" s="285">
        <f t="shared" si="4"/>
        <v>1433.1700000000003</v>
      </c>
    </row>
    <row r="37" spans="2:19" x14ac:dyDescent="0.25">
      <c r="B37" s="211">
        <f t="shared" si="1"/>
        <v>0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0</v>
      </c>
      <c r="L37" s="211">
        <f t="shared" si="3"/>
        <v>70</v>
      </c>
      <c r="M37" s="15"/>
      <c r="N37" s="72"/>
      <c r="O37" s="358"/>
      <c r="P37" s="72">
        <f t="shared" si="5"/>
        <v>0</v>
      </c>
      <c r="Q37" s="73"/>
      <c r="R37" s="74"/>
      <c r="S37" s="285">
        <f t="shared" si="4"/>
        <v>1433.1700000000003</v>
      </c>
    </row>
    <row r="38" spans="2:19" x14ac:dyDescent="0.25">
      <c r="B38" s="211">
        <f t="shared" si="1"/>
        <v>0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0</v>
      </c>
      <c r="L38" s="211">
        <f t="shared" si="3"/>
        <v>70</v>
      </c>
      <c r="M38" s="15"/>
      <c r="N38" s="72"/>
      <c r="O38" s="358"/>
      <c r="P38" s="72">
        <f t="shared" si="5"/>
        <v>0</v>
      </c>
      <c r="Q38" s="73"/>
      <c r="R38" s="74"/>
      <c r="S38" s="285">
        <f t="shared" si="4"/>
        <v>1433.1700000000003</v>
      </c>
    </row>
    <row r="39" spans="2:19" x14ac:dyDescent="0.25">
      <c r="B39" s="211">
        <f t="shared" si="1"/>
        <v>0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0</v>
      </c>
      <c r="L39" s="211">
        <f t="shared" si="3"/>
        <v>70</v>
      </c>
      <c r="M39" s="15"/>
      <c r="N39" s="72"/>
      <c r="O39" s="358"/>
      <c r="P39" s="72">
        <f t="shared" si="5"/>
        <v>0</v>
      </c>
      <c r="Q39" s="73"/>
      <c r="R39" s="74"/>
      <c r="S39" s="285">
        <f t="shared" si="4"/>
        <v>1433.1700000000003</v>
      </c>
    </row>
    <row r="40" spans="2:19" x14ac:dyDescent="0.25">
      <c r="B40" s="211">
        <f t="shared" si="1"/>
        <v>0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0</v>
      </c>
      <c r="L40" s="211">
        <f t="shared" si="3"/>
        <v>70</v>
      </c>
      <c r="M40" s="15"/>
      <c r="N40" s="72"/>
      <c r="O40" s="358"/>
      <c r="P40" s="72">
        <f t="shared" si="5"/>
        <v>0</v>
      </c>
      <c r="Q40" s="73"/>
      <c r="R40" s="74"/>
      <c r="S40" s="285">
        <f t="shared" si="4"/>
        <v>1433.1700000000003</v>
      </c>
    </row>
    <row r="41" spans="2:19" x14ac:dyDescent="0.25">
      <c r="B41" s="211">
        <f t="shared" si="1"/>
        <v>0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0</v>
      </c>
      <c r="L41" s="211">
        <f t="shared" si="3"/>
        <v>70</v>
      </c>
      <c r="M41" s="15"/>
      <c r="N41" s="72"/>
      <c r="O41" s="358"/>
      <c r="P41" s="72">
        <f t="shared" si="5"/>
        <v>0</v>
      </c>
      <c r="Q41" s="73"/>
      <c r="R41" s="74"/>
      <c r="S41" s="285">
        <f t="shared" si="4"/>
        <v>1433.1700000000003</v>
      </c>
    </row>
    <row r="42" spans="2:19" x14ac:dyDescent="0.25">
      <c r="B42" s="211">
        <f t="shared" si="1"/>
        <v>0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0</v>
      </c>
      <c r="L42" s="211">
        <f t="shared" si="3"/>
        <v>70</v>
      </c>
      <c r="M42" s="15"/>
      <c r="N42" s="72"/>
      <c r="O42" s="358"/>
      <c r="P42" s="72">
        <f t="shared" si="5"/>
        <v>0</v>
      </c>
      <c r="Q42" s="73"/>
      <c r="R42" s="74"/>
      <c r="S42" s="285">
        <f t="shared" si="4"/>
        <v>1433.1700000000003</v>
      </c>
    </row>
    <row r="43" spans="2:19" x14ac:dyDescent="0.25">
      <c r="B43" s="211">
        <f t="shared" si="1"/>
        <v>0</v>
      </c>
      <c r="C43" s="15"/>
      <c r="D43" s="713"/>
      <c r="E43" s="714"/>
      <c r="F43" s="713">
        <f t="shared" si="0"/>
        <v>0</v>
      </c>
      <c r="G43" s="715"/>
      <c r="H43" s="716"/>
      <c r="I43" s="285">
        <f t="shared" si="2"/>
        <v>0</v>
      </c>
      <c r="L43" s="211">
        <f t="shared" si="3"/>
        <v>70</v>
      </c>
      <c r="M43" s="15"/>
      <c r="N43" s="72"/>
      <c r="O43" s="358"/>
      <c r="P43" s="72">
        <f t="shared" si="5"/>
        <v>0</v>
      </c>
      <c r="Q43" s="73"/>
      <c r="R43" s="74"/>
      <c r="S43" s="285">
        <f t="shared" si="4"/>
        <v>1433.1700000000003</v>
      </c>
    </row>
    <row r="44" spans="2:19" x14ac:dyDescent="0.25">
      <c r="B44" s="211">
        <f t="shared" si="1"/>
        <v>0</v>
      </c>
      <c r="C44" s="15"/>
      <c r="D44" s="713"/>
      <c r="E44" s="714"/>
      <c r="F44" s="713">
        <f t="shared" si="0"/>
        <v>0</v>
      </c>
      <c r="G44" s="715"/>
      <c r="H44" s="716"/>
      <c r="I44" s="285">
        <f t="shared" si="2"/>
        <v>0</v>
      </c>
      <c r="L44" s="211">
        <f t="shared" si="3"/>
        <v>70</v>
      </c>
      <c r="M44" s="15"/>
      <c r="N44" s="72"/>
      <c r="O44" s="358"/>
      <c r="P44" s="72">
        <f t="shared" si="5"/>
        <v>0</v>
      </c>
      <c r="Q44" s="73"/>
      <c r="R44" s="74"/>
      <c r="S44" s="285">
        <f t="shared" si="4"/>
        <v>1433.1700000000003</v>
      </c>
    </row>
    <row r="45" spans="2:19" x14ac:dyDescent="0.25">
      <c r="B45" s="211">
        <f t="shared" si="1"/>
        <v>0</v>
      </c>
      <c r="C45" s="15"/>
      <c r="D45" s="713"/>
      <c r="E45" s="714"/>
      <c r="F45" s="713">
        <f t="shared" si="0"/>
        <v>0</v>
      </c>
      <c r="G45" s="715"/>
      <c r="H45" s="716"/>
      <c r="I45" s="285">
        <f t="shared" si="2"/>
        <v>0</v>
      </c>
      <c r="L45" s="211">
        <f t="shared" si="3"/>
        <v>70</v>
      </c>
      <c r="M45" s="15"/>
      <c r="N45" s="72"/>
      <c r="O45" s="358"/>
      <c r="P45" s="72">
        <f t="shared" si="5"/>
        <v>0</v>
      </c>
      <c r="Q45" s="73"/>
      <c r="R45" s="74"/>
      <c r="S45" s="285">
        <f t="shared" si="4"/>
        <v>1433.1700000000003</v>
      </c>
    </row>
    <row r="46" spans="2:19" x14ac:dyDescent="0.25">
      <c r="B46" s="211">
        <f t="shared" si="1"/>
        <v>0</v>
      </c>
      <c r="C46" s="15"/>
      <c r="D46" s="713"/>
      <c r="E46" s="714"/>
      <c r="F46" s="713">
        <f t="shared" si="0"/>
        <v>0</v>
      </c>
      <c r="G46" s="715"/>
      <c r="H46" s="716"/>
      <c r="I46" s="285">
        <f t="shared" si="2"/>
        <v>0</v>
      </c>
      <c r="L46" s="211">
        <f t="shared" si="3"/>
        <v>70</v>
      </c>
      <c r="M46" s="15"/>
      <c r="N46" s="72"/>
      <c r="O46" s="358"/>
      <c r="P46" s="72">
        <f t="shared" si="5"/>
        <v>0</v>
      </c>
      <c r="Q46" s="73"/>
      <c r="R46" s="74"/>
      <c r="S46" s="285">
        <f t="shared" si="4"/>
        <v>1433.1700000000003</v>
      </c>
    </row>
    <row r="47" spans="2:19" x14ac:dyDescent="0.25">
      <c r="B47" s="211">
        <f t="shared" si="1"/>
        <v>0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0</v>
      </c>
      <c r="L47" s="211">
        <f t="shared" si="3"/>
        <v>70</v>
      </c>
      <c r="M47" s="15"/>
      <c r="N47" s="72"/>
      <c r="O47" s="358"/>
      <c r="P47" s="72">
        <f t="shared" si="5"/>
        <v>0</v>
      </c>
      <c r="Q47" s="73"/>
      <c r="R47" s="74"/>
      <c r="S47" s="285">
        <f t="shared" si="4"/>
        <v>1433.1700000000003</v>
      </c>
    </row>
    <row r="48" spans="2:19" x14ac:dyDescent="0.25">
      <c r="B48" s="211">
        <f t="shared" si="1"/>
        <v>0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0</v>
      </c>
      <c r="L48" s="211">
        <f t="shared" si="3"/>
        <v>70</v>
      </c>
      <c r="M48" s="15"/>
      <c r="N48" s="72"/>
      <c r="O48" s="358"/>
      <c r="P48" s="72">
        <f t="shared" si="5"/>
        <v>0</v>
      </c>
      <c r="Q48" s="73"/>
      <c r="R48" s="74"/>
      <c r="S48" s="285">
        <f t="shared" si="4"/>
        <v>1433.1700000000003</v>
      </c>
    </row>
    <row r="49" spans="2:19" x14ac:dyDescent="0.25">
      <c r="B49" s="211">
        <f t="shared" si="1"/>
        <v>0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0</v>
      </c>
      <c r="L49" s="211">
        <f t="shared" si="3"/>
        <v>70</v>
      </c>
      <c r="M49" s="15"/>
      <c r="N49" s="72"/>
      <c r="O49" s="358"/>
      <c r="P49" s="72">
        <f t="shared" si="5"/>
        <v>0</v>
      </c>
      <c r="Q49" s="73"/>
      <c r="R49" s="74"/>
      <c r="S49" s="285">
        <f t="shared" si="4"/>
        <v>1433.1700000000003</v>
      </c>
    </row>
    <row r="50" spans="2:19" x14ac:dyDescent="0.25">
      <c r="B50" s="211">
        <f t="shared" si="1"/>
        <v>0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0</v>
      </c>
      <c r="L50" s="211">
        <f t="shared" si="3"/>
        <v>70</v>
      </c>
      <c r="M50" s="15"/>
      <c r="N50" s="72"/>
      <c r="O50" s="358"/>
      <c r="P50" s="72">
        <f t="shared" si="5"/>
        <v>0</v>
      </c>
      <c r="Q50" s="73"/>
      <c r="R50" s="74"/>
      <c r="S50" s="285">
        <f t="shared" si="4"/>
        <v>1433.1700000000003</v>
      </c>
    </row>
    <row r="51" spans="2:19" x14ac:dyDescent="0.25">
      <c r="B51" s="211">
        <f t="shared" si="1"/>
        <v>0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0</v>
      </c>
      <c r="L51" s="211">
        <f t="shared" si="3"/>
        <v>70</v>
      </c>
      <c r="M51" s="15"/>
      <c r="N51" s="72"/>
      <c r="O51" s="358"/>
      <c r="P51" s="72">
        <f t="shared" si="5"/>
        <v>0</v>
      </c>
      <c r="Q51" s="73"/>
      <c r="R51" s="74"/>
      <c r="S51" s="285">
        <f t="shared" si="4"/>
        <v>1433.1700000000003</v>
      </c>
    </row>
    <row r="52" spans="2:19" x14ac:dyDescent="0.25">
      <c r="B52" s="211">
        <f t="shared" si="1"/>
        <v>0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0</v>
      </c>
      <c r="L52" s="211">
        <f t="shared" si="3"/>
        <v>70</v>
      </c>
      <c r="M52" s="15"/>
      <c r="N52" s="72"/>
      <c r="O52" s="358"/>
      <c r="P52" s="72">
        <f t="shared" si="5"/>
        <v>0</v>
      </c>
      <c r="Q52" s="73"/>
      <c r="R52" s="74"/>
      <c r="S52" s="285">
        <f t="shared" si="4"/>
        <v>1433.1700000000003</v>
      </c>
    </row>
    <row r="53" spans="2:19" x14ac:dyDescent="0.25">
      <c r="B53" s="211">
        <f t="shared" si="1"/>
        <v>0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0</v>
      </c>
      <c r="L53" s="211">
        <f t="shared" si="3"/>
        <v>70</v>
      </c>
      <c r="M53" s="15"/>
      <c r="N53" s="72"/>
      <c r="O53" s="358"/>
      <c r="P53" s="72">
        <f t="shared" si="5"/>
        <v>0</v>
      </c>
      <c r="Q53" s="73"/>
      <c r="R53" s="74"/>
      <c r="S53" s="285">
        <f t="shared" si="4"/>
        <v>1433.1700000000003</v>
      </c>
    </row>
    <row r="54" spans="2:1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0</v>
      </c>
      <c r="L54" s="3"/>
      <c r="M54" s="37"/>
      <c r="N54" s="164"/>
      <c r="O54" s="372"/>
      <c r="P54" s="164">
        <f t="shared" si="5"/>
        <v>0</v>
      </c>
      <c r="Q54" s="241"/>
      <c r="R54" s="79"/>
      <c r="S54" s="285">
        <f t="shared" si="4"/>
        <v>1433.1700000000003</v>
      </c>
    </row>
    <row r="55" spans="2:19" x14ac:dyDescent="0.25">
      <c r="C55" s="55">
        <f>SUM(C9:C54)</f>
        <v>106</v>
      </c>
      <c r="D55" s="131">
        <f>SUM(D9:D54)</f>
        <v>1909.5199999999998</v>
      </c>
      <c r="E55" s="184"/>
      <c r="F55" s="131">
        <f>SUM(F9:F54)</f>
        <v>1991.5499999999997</v>
      </c>
      <c r="G55" s="174"/>
      <c r="H55" s="174"/>
      <c r="M55" s="55">
        <f>SUM(M9:M54)</f>
        <v>32</v>
      </c>
      <c r="N55" s="131">
        <f>SUM(N9:N54)</f>
        <v>686.26</v>
      </c>
      <c r="O55" s="184"/>
      <c r="P55" s="131">
        <f>SUM(P9:P54)</f>
        <v>686.26</v>
      </c>
      <c r="Q55" s="174"/>
      <c r="R55" s="174"/>
    </row>
    <row r="56" spans="2:19" x14ac:dyDescent="0.25">
      <c r="C56" s="115"/>
      <c r="M56" s="115"/>
    </row>
    <row r="57" spans="2:19" ht="15.75" thickBot="1" x14ac:dyDescent="0.3">
      <c r="B57" s="48"/>
      <c r="L57" s="48"/>
    </row>
    <row r="58" spans="2:19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70</v>
      </c>
    </row>
    <row r="59" spans="2:19" ht="15.75" thickBot="1" x14ac:dyDescent="0.3">
      <c r="B59" s="132"/>
      <c r="L59" s="132"/>
    </row>
    <row r="60" spans="2:19" ht="15.75" thickBot="1" x14ac:dyDescent="0.3">
      <c r="B60" s="95"/>
      <c r="C60" s="1120" t="s">
        <v>11</v>
      </c>
      <c r="D60" s="1121"/>
      <c r="E60" s="60">
        <f>E5-F55+E4+E6+E7</f>
        <v>2.2737367544323206E-13</v>
      </c>
      <c r="L60" s="95"/>
      <c r="M60" s="1120" t="s">
        <v>11</v>
      </c>
      <c r="N60" s="1121"/>
      <c r="O60" s="60">
        <f>O5-P55+O4+O6+O7</f>
        <v>1433.17</v>
      </c>
    </row>
  </sheetData>
  <sortState ref="M9:R13">
    <sortCondition ref="Q9:Q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1" activePane="bottomLeft" state="frozen"/>
      <selection activeCell="J1" sqref="J1"/>
      <selection pane="bottomLeft" activeCell="G56" sqref="G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4" t="s">
        <v>169</v>
      </c>
      <c r="B1" s="1124"/>
      <c r="C1" s="1124"/>
      <c r="D1" s="1124"/>
      <c r="E1" s="1124"/>
      <c r="F1" s="1124"/>
      <c r="G1" s="112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38" t="s">
        <v>114</v>
      </c>
      <c r="B5" s="1140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139"/>
      <c r="B6" s="1141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0">
        <f t="shared" ref="F8:F67" si="1">D8</f>
        <v>300</v>
      </c>
      <c r="G8" s="861" t="s">
        <v>115</v>
      </c>
      <c r="H8" s="862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116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117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118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120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126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79">
        <v>44293</v>
      </c>
      <c r="F15" s="249">
        <f t="shared" si="1"/>
        <v>15</v>
      </c>
      <c r="G15" s="463" t="s">
        <v>127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79">
        <v>44296</v>
      </c>
      <c r="F16" s="249">
        <f t="shared" si="1"/>
        <v>15</v>
      </c>
      <c r="G16" s="463" t="s">
        <v>128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79">
        <v>44296</v>
      </c>
      <c r="F17" s="249">
        <f t="shared" si="1"/>
        <v>150</v>
      </c>
      <c r="G17" s="463" t="s">
        <v>129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79">
        <v>44303</v>
      </c>
      <c r="F18" s="249">
        <f t="shared" si="1"/>
        <v>30</v>
      </c>
      <c r="G18" s="463" t="s">
        <v>130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79">
        <v>44305</v>
      </c>
      <c r="F19" s="249">
        <f t="shared" si="1"/>
        <v>75</v>
      </c>
      <c r="G19" s="463" t="s">
        <v>131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132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135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133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134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0">
        <v>44317</v>
      </c>
      <c r="F24" s="249">
        <f t="shared" si="1"/>
        <v>75</v>
      </c>
      <c r="G24" s="463" t="s">
        <v>136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5">
        <f t="shared" si="5"/>
        <v>75</v>
      </c>
      <c r="E25" s="926">
        <v>44319</v>
      </c>
      <c r="F25" s="777">
        <f t="shared" si="1"/>
        <v>75</v>
      </c>
      <c r="G25" s="758" t="s">
        <v>142</v>
      </c>
      <c r="H25" s="759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5">
        <f t="shared" si="5"/>
        <v>75</v>
      </c>
      <c r="E26" s="926">
        <v>44323</v>
      </c>
      <c r="F26" s="777">
        <f t="shared" si="1"/>
        <v>75</v>
      </c>
      <c r="G26" s="758" t="s">
        <v>143</v>
      </c>
      <c r="H26" s="759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5">
        <f t="shared" si="5"/>
        <v>150</v>
      </c>
      <c r="E27" s="926">
        <v>44324</v>
      </c>
      <c r="F27" s="777">
        <f t="shared" si="1"/>
        <v>150</v>
      </c>
      <c r="G27" s="758" t="s">
        <v>144</v>
      </c>
      <c r="H27" s="759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5">
        <f t="shared" si="5"/>
        <v>15</v>
      </c>
      <c r="E28" s="922">
        <v>44328</v>
      </c>
      <c r="F28" s="777">
        <f t="shared" si="1"/>
        <v>15</v>
      </c>
      <c r="G28" s="758" t="s">
        <v>149</v>
      </c>
      <c r="H28" s="759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5">
        <f t="shared" si="5"/>
        <v>15</v>
      </c>
      <c r="E29" s="922">
        <v>44330</v>
      </c>
      <c r="F29" s="777">
        <f t="shared" si="1"/>
        <v>15</v>
      </c>
      <c r="G29" s="758" t="s">
        <v>151</v>
      </c>
      <c r="H29" s="759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5">
        <f t="shared" si="5"/>
        <v>30</v>
      </c>
      <c r="E30" s="922">
        <v>44331</v>
      </c>
      <c r="F30" s="777">
        <f t="shared" si="1"/>
        <v>30</v>
      </c>
      <c r="G30" s="758" t="s">
        <v>152</v>
      </c>
      <c r="H30" s="759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5">
        <f t="shared" si="5"/>
        <v>15</v>
      </c>
      <c r="E31" s="922">
        <v>44337</v>
      </c>
      <c r="F31" s="777">
        <f t="shared" si="1"/>
        <v>15</v>
      </c>
      <c r="G31" s="758" t="s">
        <v>154</v>
      </c>
      <c r="H31" s="759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5">
        <f t="shared" si="5"/>
        <v>90</v>
      </c>
      <c r="E32" s="927">
        <v>44338</v>
      </c>
      <c r="F32" s="756">
        <f t="shared" si="1"/>
        <v>90</v>
      </c>
      <c r="G32" s="758" t="s">
        <v>155</v>
      </c>
      <c r="H32" s="759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5">
        <f t="shared" si="5"/>
        <v>150</v>
      </c>
      <c r="E33" s="924">
        <v>44344</v>
      </c>
      <c r="F33" s="777">
        <f t="shared" si="1"/>
        <v>150</v>
      </c>
      <c r="G33" s="758" t="s">
        <v>157</v>
      </c>
      <c r="H33" s="759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5">
        <f t="shared" si="5"/>
        <v>30</v>
      </c>
      <c r="E34" s="924">
        <v>44345</v>
      </c>
      <c r="F34" s="777">
        <f t="shared" si="1"/>
        <v>30</v>
      </c>
      <c r="G34" s="758" t="s">
        <v>158</v>
      </c>
      <c r="H34" s="759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5">
        <f t="shared" si="5"/>
        <v>30</v>
      </c>
      <c r="E35" s="924">
        <v>44348</v>
      </c>
      <c r="F35" s="777">
        <f t="shared" si="1"/>
        <v>30</v>
      </c>
      <c r="G35" s="758" t="s">
        <v>160</v>
      </c>
      <c r="H35" s="759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28">
        <f t="shared" ref="D36:D67" si="7">C36*B36</f>
        <v>15</v>
      </c>
      <c r="E36" s="924">
        <v>44350</v>
      </c>
      <c r="F36" s="777">
        <f t="shared" si="1"/>
        <v>15</v>
      </c>
      <c r="G36" s="758" t="s">
        <v>162</v>
      </c>
      <c r="H36" s="759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28">
        <f t="shared" si="7"/>
        <v>15</v>
      </c>
      <c r="E37" s="924">
        <v>44352</v>
      </c>
      <c r="F37" s="777">
        <f t="shared" si="1"/>
        <v>15</v>
      </c>
      <c r="G37" s="758" t="s">
        <v>165</v>
      </c>
      <c r="H37" s="759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58">
        <f t="shared" si="7"/>
        <v>150</v>
      </c>
      <c r="E38" s="959">
        <v>44354</v>
      </c>
      <c r="F38" s="545">
        <f t="shared" si="1"/>
        <v>150</v>
      </c>
      <c r="G38" s="546" t="s">
        <v>172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58">
        <f t="shared" si="7"/>
        <v>75</v>
      </c>
      <c r="E39" s="548">
        <v>44358</v>
      </c>
      <c r="F39" s="545">
        <f t="shared" si="1"/>
        <v>75</v>
      </c>
      <c r="G39" s="546" t="s">
        <v>182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58">
        <f t="shared" si="7"/>
        <v>150</v>
      </c>
      <c r="E40" s="548">
        <v>44364</v>
      </c>
      <c r="F40" s="545">
        <f t="shared" si="1"/>
        <v>150</v>
      </c>
      <c r="G40" s="546" t="s">
        <v>193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58">
        <f t="shared" si="7"/>
        <v>15</v>
      </c>
      <c r="E41" s="548">
        <v>44365</v>
      </c>
      <c r="F41" s="545">
        <f t="shared" si="1"/>
        <v>15</v>
      </c>
      <c r="G41" s="546" t="s">
        <v>196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58">
        <f t="shared" si="7"/>
        <v>75</v>
      </c>
      <c r="E42" s="548">
        <v>44378</v>
      </c>
      <c r="F42" s="545">
        <f t="shared" si="1"/>
        <v>75</v>
      </c>
      <c r="G42" s="636" t="s">
        <v>246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58">
        <f t="shared" si="7"/>
        <v>30</v>
      </c>
      <c r="E43" s="548">
        <v>44378</v>
      </c>
      <c r="F43" s="545">
        <f t="shared" si="1"/>
        <v>30</v>
      </c>
      <c r="G43" s="636" t="s">
        <v>247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58">
        <f t="shared" si="7"/>
        <v>15</v>
      </c>
      <c r="E44" s="548">
        <v>44380</v>
      </c>
      <c r="F44" s="545">
        <f t="shared" si="1"/>
        <v>15</v>
      </c>
      <c r="G44" s="636" t="s">
        <v>258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58">
        <f t="shared" si="7"/>
        <v>15</v>
      </c>
      <c r="E45" s="548">
        <v>44380</v>
      </c>
      <c r="F45" s="545">
        <f t="shared" si="1"/>
        <v>15</v>
      </c>
      <c r="G45" s="636" t="s">
        <v>259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1004">
        <f t="shared" si="7"/>
        <v>150</v>
      </c>
      <c r="E46" s="1001">
        <v>44384</v>
      </c>
      <c r="F46" s="1000">
        <f t="shared" si="1"/>
        <v>150</v>
      </c>
      <c r="G46" s="1002" t="s">
        <v>419</v>
      </c>
      <c r="H46" s="1003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1004">
        <f t="shared" ref="D47:D64" si="8">C47*B47</f>
        <v>15</v>
      </c>
      <c r="E47" s="1001">
        <v>44385</v>
      </c>
      <c r="F47" s="1000">
        <f t="shared" ref="F47:F64" si="9">D47</f>
        <v>15</v>
      </c>
      <c r="G47" s="1002" t="s">
        <v>425</v>
      </c>
      <c r="H47" s="1003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1004">
        <f t="shared" si="8"/>
        <v>30</v>
      </c>
      <c r="E48" s="1001">
        <v>44386</v>
      </c>
      <c r="F48" s="1000">
        <f t="shared" si="9"/>
        <v>30</v>
      </c>
      <c r="G48" s="1002" t="s">
        <v>433</v>
      </c>
      <c r="H48" s="1003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1004">
        <f t="shared" si="8"/>
        <v>15</v>
      </c>
      <c r="E49" s="1001">
        <v>44385</v>
      </c>
      <c r="F49" s="1000">
        <f t="shared" si="9"/>
        <v>15</v>
      </c>
      <c r="G49" s="1002" t="s">
        <v>438</v>
      </c>
      <c r="H49" s="1003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1004">
        <f t="shared" si="8"/>
        <v>150</v>
      </c>
      <c r="E50" s="1001">
        <v>44390</v>
      </c>
      <c r="F50" s="1000">
        <f t="shared" si="9"/>
        <v>150</v>
      </c>
      <c r="G50" s="1002" t="s">
        <v>463</v>
      </c>
      <c r="H50" s="1003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1004">
        <f t="shared" si="8"/>
        <v>15</v>
      </c>
      <c r="E51" s="1001">
        <v>44394</v>
      </c>
      <c r="F51" s="1000">
        <f t="shared" si="9"/>
        <v>15</v>
      </c>
      <c r="G51" s="1002" t="s">
        <v>490</v>
      </c>
      <c r="H51" s="1003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1004">
        <f t="shared" si="8"/>
        <v>30</v>
      </c>
      <c r="E52" s="1001">
        <v>44396</v>
      </c>
      <c r="F52" s="1000">
        <f t="shared" si="9"/>
        <v>30</v>
      </c>
      <c r="G52" s="1002" t="s">
        <v>500</v>
      </c>
      <c r="H52" s="1003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1004">
        <f t="shared" si="8"/>
        <v>75</v>
      </c>
      <c r="E53" s="1001">
        <v>44398</v>
      </c>
      <c r="F53" s="1000">
        <f t="shared" si="9"/>
        <v>75</v>
      </c>
      <c r="G53" s="1002" t="s">
        <v>518</v>
      </c>
      <c r="H53" s="1003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1004">
        <f t="shared" si="8"/>
        <v>300</v>
      </c>
      <c r="E54" s="1001">
        <v>44400</v>
      </c>
      <c r="F54" s="1000">
        <f t="shared" si="9"/>
        <v>300</v>
      </c>
      <c r="G54" s="1002" t="s">
        <v>513</v>
      </c>
      <c r="H54" s="1003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1004">
        <f t="shared" si="8"/>
        <v>75</v>
      </c>
      <c r="E55" s="1001">
        <v>44407</v>
      </c>
      <c r="F55" s="1000">
        <f t="shared" si="9"/>
        <v>75</v>
      </c>
      <c r="G55" s="1002" t="s">
        <v>561</v>
      </c>
      <c r="H55" s="1003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04">
        <f t="shared" si="8"/>
        <v>0</v>
      </c>
      <c r="E56" s="1001"/>
      <c r="F56" s="1000">
        <f t="shared" si="9"/>
        <v>0</v>
      </c>
      <c r="G56" s="1002"/>
      <c r="H56" s="1003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04">
        <f t="shared" si="8"/>
        <v>0</v>
      </c>
      <c r="E57" s="1001"/>
      <c r="F57" s="1000">
        <f t="shared" si="9"/>
        <v>0</v>
      </c>
      <c r="G57" s="1002"/>
      <c r="H57" s="1003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04">
        <f t="shared" si="8"/>
        <v>0</v>
      </c>
      <c r="E58" s="1001"/>
      <c r="F58" s="1000">
        <f t="shared" si="9"/>
        <v>0</v>
      </c>
      <c r="G58" s="1002"/>
      <c r="H58" s="1003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04">
        <f t="shared" si="8"/>
        <v>0</v>
      </c>
      <c r="E59" s="1001"/>
      <c r="F59" s="1000">
        <f t="shared" si="9"/>
        <v>0</v>
      </c>
      <c r="G59" s="1002"/>
      <c r="H59" s="1003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04">
        <f t="shared" si="8"/>
        <v>0</v>
      </c>
      <c r="E60" s="1001"/>
      <c r="F60" s="1000">
        <f t="shared" si="9"/>
        <v>0</v>
      </c>
      <c r="G60" s="1002"/>
      <c r="H60" s="1003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04">
        <f t="shared" si="8"/>
        <v>0</v>
      </c>
      <c r="E61" s="1001"/>
      <c r="F61" s="1000">
        <f t="shared" si="9"/>
        <v>0</v>
      </c>
      <c r="G61" s="1002"/>
      <c r="H61" s="1003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04">
        <f t="shared" si="8"/>
        <v>0</v>
      </c>
      <c r="E62" s="1001"/>
      <c r="F62" s="1000">
        <f t="shared" si="9"/>
        <v>0</v>
      </c>
      <c r="G62" s="1002"/>
      <c r="H62" s="1003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04">
        <f t="shared" si="8"/>
        <v>0</v>
      </c>
      <c r="E63" s="1001"/>
      <c r="F63" s="1000">
        <f t="shared" si="9"/>
        <v>0</v>
      </c>
      <c r="G63" s="1002"/>
      <c r="H63" s="1003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04">
        <f t="shared" si="8"/>
        <v>0</v>
      </c>
      <c r="E64" s="1001"/>
      <c r="F64" s="1000">
        <f t="shared" si="9"/>
        <v>0</v>
      </c>
      <c r="G64" s="1002"/>
      <c r="H64" s="1003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04">
        <f t="shared" si="7"/>
        <v>0</v>
      </c>
      <c r="E65" s="1001"/>
      <c r="F65" s="1000">
        <f t="shared" si="1"/>
        <v>0</v>
      </c>
      <c r="G65" s="1002"/>
      <c r="H65" s="1003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04">
        <f t="shared" si="7"/>
        <v>0</v>
      </c>
      <c r="E66" s="1001"/>
      <c r="F66" s="1000">
        <f t="shared" si="1"/>
        <v>0</v>
      </c>
      <c r="G66" s="1002"/>
      <c r="H66" s="1003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04">
        <f t="shared" si="7"/>
        <v>0</v>
      </c>
      <c r="E67" s="1001"/>
      <c r="F67" s="1000">
        <f t="shared" si="1"/>
        <v>0</v>
      </c>
      <c r="G67" s="1002"/>
      <c r="H67" s="1003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05">
        <f>C68*B33</f>
        <v>0</v>
      </c>
      <c r="E68" s="1006"/>
      <c r="F68" s="1007">
        <f t="shared" ref="F68" si="13">D68</f>
        <v>0</v>
      </c>
      <c r="G68" s="1008"/>
      <c r="H68" s="1003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142" t="s">
        <v>11</v>
      </c>
      <c r="D72" s="1143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3" t="s">
        <v>275</v>
      </c>
      <c r="B1" s="1113"/>
      <c r="C1" s="1113"/>
      <c r="D1" s="1113"/>
      <c r="E1" s="1113"/>
      <c r="F1" s="1113"/>
      <c r="G1" s="111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144" t="s">
        <v>276</v>
      </c>
      <c r="C4" s="519"/>
      <c r="D4" s="288"/>
      <c r="E4" s="374"/>
      <c r="F4" s="344"/>
      <c r="G4" s="265"/>
    </row>
    <row r="5" spans="1:10" ht="15" customHeight="1" x14ac:dyDescent="0.25">
      <c r="A5" s="1138" t="s">
        <v>68</v>
      </c>
      <c r="B5" s="1145"/>
      <c r="C5" s="603">
        <v>106</v>
      </c>
      <c r="D5" s="341">
        <v>44382</v>
      </c>
      <c r="E5" s="343">
        <v>1026.55</v>
      </c>
      <c r="F5" s="344">
        <v>44</v>
      </c>
      <c r="G5" s="332">
        <f>F52</f>
        <v>1026.6199999999999</v>
      </c>
      <c r="H5" s="61">
        <f>E4+E5+E6-G5</f>
        <v>-6.9999999999936335E-2</v>
      </c>
    </row>
    <row r="6" spans="1:10" ht="16.5" thickBot="1" x14ac:dyDescent="0.3">
      <c r="A6" s="1139"/>
      <c r="B6" s="1146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10</v>
      </c>
      <c r="D8" s="329">
        <v>224.55</v>
      </c>
      <c r="E8" s="730">
        <v>44389</v>
      </c>
      <c r="F8" s="72">
        <f t="shared" ref="F8:F51" si="0">D8</f>
        <v>224.55</v>
      </c>
      <c r="G8" s="291" t="s">
        <v>452</v>
      </c>
      <c r="H8" s="292">
        <v>125</v>
      </c>
      <c r="I8" s="327">
        <f>E5+E4-F8+E6</f>
        <v>802</v>
      </c>
      <c r="J8" s="328">
        <f>F4+F5+F6-C8</f>
        <v>34</v>
      </c>
    </row>
    <row r="9" spans="1:10" x14ac:dyDescent="0.25">
      <c r="A9" s="224"/>
      <c r="B9" s="87"/>
      <c r="C9" s="15">
        <v>5</v>
      </c>
      <c r="D9" s="329">
        <v>111.83</v>
      </c>
      <c r="E9" s="730">
        <v>44398</v>
      </c>
      <c r="F9" s="72">
        <f t="shared" si="0"/>
        <v>111.83</v>
      </c>
      <c r="G9" s="291" t="s">
        <v>518</v>
      </c>
      <c r="H9" s="292">
        <v>125</v>
      </c>
      <c r="I9" s="327">
        <f>I8-F9</f>
        <v>690.17</v>
      </c>
      <c r="J9" s="328">
        <f>J8-C9</f>
        <v>29</v>
      </c>
    </row>
    <row r="10" spans="1:10" x14ac:dyDescent="0.25">
      <c r="A10" s="211"/>
      <c r="B10" s="87"/>
      <c r="C10" s="15">
        <v>6</v>
      </c>
      <c r="D10" s="329">
        <v>137</v>
      </c>
      <c r="E10" s="144">
        <v>44399</v>
      </c>
      <c r="F10" s="72">
        <f t="shared" si="0"/>
        <v>137</v>
      </c>
      <c r="G10" s="291" t="s">
        <v>519</v>
      </c>
      <c r="H10" s="292">
        <v>125</v>
      </c>
      <c r="I10" s="327">
        <f t="shared" ref="I10:I19" si="1">I9-F10</f>
        <v>553.16999999999996</v>
      </c>
      <c r="J10" s="328">
        <f t="shared" ref="J10:J50" si="2">J9-C10</f>
        <v>23</v>
      </c>
    </row>
    <row r="11" spans="1:10" x14ac:dyDescent="0.25">
      <c r="A11" s="86" t="s">
        <v>33</v>
      </c>
      <c r="B11" s="87"/>
      <c r="C11" s="15">
        <v>15</v>
      </c>
      <c r="D11" s="329">
        <v>359.35</v>
      </c>
      <c r="E11" s="144">
        <v>44402</v>
      </c>
      <c r="F11" s="290">
        <f t="shared" si="0"/>
        <v>359.35</v>
      </c>
      <c r="G11" s="291" t="s">
        <v>530</v>
      </c>
      <c r="H11" s="292">
        <v>125</v>
      </c>
      <c r="I11" s="327">
        <f t="shared" si="1"/>
        <v>193.81999999999994</v>
      </c>
      <c r="J11" s="328">
        <f t="shared" si="2"/>
        <v>8</v>
      </c>
    </row>
    <row r="12" spans="1:10" x14ac:dyDescent="0.25">
      <c r="A12" s="76"/>
      <c r="B12" s="87"/>
      <c r="C12" s="15">
        <v>8</v>
      </c>
      <c r="D12" s="329">
        <v>193.89</v>
      </c>
      <c r="E12" s="144">
        <v>44403</v>
      </c>
      <c r="F12" s="290">
        <f t="shared" si="0"/>
        <v>193.89</v>
      </c>
      <c r="G12" s="291" t="s">
        <v>544</v>
      </c>
      <c r="H12" s="292">
        <v>125</v>
      </c>
      <c r="I12" s="327">
        <f t="shared" si="1"/>
        <v>-7.0000000000050022E-2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1049"/>
      <c r="H13" s="1050"/>
      <c r="I13" s="1067">
        <f t="shared" si="1"/>
        <v>-7.0000000000050022E-2</v>
      </c>
      <c r="J13" s="1068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1049"/>
      <c r="H14" s="1050"/>
      <c r="I14" s="1067">
        <f t="shared" si="1"/>
        <v>-7.0000000000050022E-2</v>
      </c>
      <c r="J14" s="1068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1049"/>
      <c r="H15" s="1050"/>
      <c r="I15" s="1067">
        <f t="shared" si="1"/>
        <v>-7.0000000000050022E-2</v>
      </c>
      <c r="J15" s="1068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-7.0000000000050022E-2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-7.0000000000050022E-2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09"/>
      <c r="F18" s="290">
        <f t="shared" si="0"/>
        <v>0</v>
      </c>
      <c r="G18" s="291"/>
      <c r="H18" s="292"/>
      <c r="I18" s="327">
        <f t="shared" si="1"/>
        <v>-7.0000000000050022E-2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09"/>
      <c r="F19" s="290">
        <f t="shared" si="0"/>
        <v>0</v>
      </c>
      <c r="G19" s="291"/>
      <c r="H19" s="292"/>
      <c r="I19" s="327">
        <f t="shared" si="1"/>
        <v>-7.0000000000050022E-2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-7.0000000000050022E-2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-7.0000000000050022E-2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-7.0000000000050022E-2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-7.0000000000050022E-2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10"/>
      <c r="F24" s="290">
        <f t="shared" si="0"/>
        <v>0</v>
      </c>
      <c r="G24" s="291"/>
      <c r="H24" s="292"/>
      <c r="I24" s="327">
        <f t="shared" si="4"/>
        <v>-7.0000000000050022E-2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30"/>
      <c r="F25" s="72">
        <f t="shared" si="0"/>
        <v>0</v>
      </c>
      <c r="G25" s="291"/>
      <c r="H25" s="292"/>
      <c r="I25" s="327">
        <f t="shared" si="4"/>
        <v>-7.0000000000050022E-2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30"/>
      <c r="F26" s="72">
        <f t="shared" si="0"/>
        <v>0</v>
      </c>
      <c r="G26" s="291"/>
      <c r="H26" s="292"/>
      <c r="I26" s="327">
        <f t="shared" si="4"/>
        <v>-7.0000000000050022E-2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30"/>
      <c r="F27" s="72">
        <f t="shared" si="0"/>
        <v>0</v>
      </c>
      <c r="G27" s="291"/>
      <c r="H27" s="292"/>
      <c r="I27" s="327">
        <f t="shared" si="4"/>
        <v>-7.0000000000050022E-2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-7.0000000000050022E-2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-7.0000000000050022E-2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-7.0000000000050022E-2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-7.0000000000050022E-2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-7.0000000000050022E-2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-7.0000000000050022E-2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-7.0000000000050022E-2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-7.0000000000050022E-2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-7.0000000000050022E-2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-7.0000000000050022E-2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-7.0000000000050022E-2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-7.0000000000050022E-2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-7.0000000000050022E-2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-7.0000000000050022E-2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-7.0000000000050022E-2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-7.0000000000050022E-2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-7.0000000000050022E-2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-7.0000000000050022E-2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-7.0000000000050022E-2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-7.0000000000050022E-2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-7.0000000000050022E-2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-7.0000000000050022E-2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-7.0000000000050022E-2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5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44</v>
      </c>
      <c r="D52" s="329">
        <f t="shared" si="3"/>
        <v>0</v>
      </c>
      <c r="E52" s="39"/>
      <c r="F52" s="5">
        <f>SUM(F8:F51)</f>
        <v>1026.6199999999999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42" t="s">
        <v>11</v>
      </c>
      <c r="D55" s="1143"/>
      <c r="E55" s="155">
        <f>E5+E4+E6+-F52</f>
        <v>-6.9999999999936335E-2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M1" zoomScaleNormal="100" workbookViewId="0">
      <selection activeCell="HM1" sqref="HM1:HS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6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6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6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6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6" bestFit="1" customWidth="1"/>
    <col min="80" max="80" width="13.85546875" style="676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6" customWidth="1"/>
    <col min="90" max="90" width="11.42578125" style="676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6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6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6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6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6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6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6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6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6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6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6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6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6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6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6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6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6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6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6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6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6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6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6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6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17" t="s">
        <v>261</v>
      </c>
      <c r="L1" s="1117"/>
      <c r="M1" s="1117"/>
      <c r="N1" s="1117"/>
      <c r="O1" s="1117"/>
      <c r="P1" s="1117"/>
      <c r="Q1" s="1117"/>
      <c r="R1" s="394">
        <f>I1+1</f>
        <v>1</v>
      </c>
      <c r="S1" s="394"/>
      <c r="U1" s="1113" t="s">
        <v>262</v>
      </c>
      <c r="V1" s="1113"/>
      <c r="W1" s="1113"/>
      <c r="X1" s="1113"/>
      <c r="Y1" s="1113"/>
      <c r="Z1" s="1113"/>
      <c r="AA1" s="1113"/>
      <c r="AB1" s="394">
        <f>R1+1</f>
        <v>2</v>
      </c>
      <c r="AC1" s="685"/>
      <c r="AE1" s="1113" t="str">
        <f>U1</f>
        <v>ENTRADAS DEL MES JULIO 2021</v>
      </c>
      <c r="AF1" s="1113"/>
      <c r="AG1" s="1113"/>
      <c r="AH1" s="1113"/>
      <c r="AI1" s="1113"/>
      <c r="AJ1" s="1113"/>
      <c r="AK1" s="1113"/>
      <c r="AL1" s="394">
        <f>AB1+1</f>
        <v>3</v>
      </c>
      <c r="AM1" s="394"/>
      <c r="AO1" s="1113" t="str">
        <f>AE1</f>
        <v>ENTRADAS DEL MES JULIO 2021</v>
      </c>
      <c r="AP1" s="1113"/>
      <c r="AQ1" s="1113"/>
      <c r="AR1" s="1113"/>
      <c r="AS1" s="1113"/>
      <c r="AT1" s="1113"/>
      <c r="AU1" s="1113"/>
      <c r="AV1" s="394">
        <f>AL1+1</f>
        <v>4</v>
      </c>
      <c r="AW1" s="685"/>
      <c r="AY1" s="1113" t="str">
        <f>AO1</f>
        <v>ENTRADAS DEL MES JULIO 2021</v>
      </c>
      <c r="AZ1" s="1113"/>
      <c r="BA1" s="1113"/>
      <c r="BB1" s="1113"/>
      <c r="BC1" s="1113"/>
      <c r="BD1" s="1113"/>
      <c r="BE1" s="1113"/>
      <c r="BF1" s="394">
        <f>AV1+1</f>
        <v>5</v>
      </c>
      <c r="BG1" s="741"/>
      <c r="BI1" s="1113" t="str">
        <f>AY1</f>
        <v>ENTRADAS DEL MES JULIO 2021</v>
      </c>
      <c r="BJ1" s="1113"/>
      <c r="BK1" s="1113"/>
      <c r="BL1" s="1113"/>
      <c r="BM1" s="1113"/>
      <c r="BN1" s="1113"/>
      <c r="BO1" s="1113"/>
      <c r="BP1" s="394">
        <f>BF1+1</f>
        <v>6</v>
      </c>
      <c r="BQ1" s="685"/>
      <c r="BS1" s="1113" t="str">
        <f>BI1</f>
        <v>ENTRADAS DEL MES JULIO 2021</v>
      </c>
      <c r="BT1" s="1113"/>
      <c r="BU1" s="1113"/>
      <c r="BV1" s="1113"/>
      <c r="BW1" s="1113"/>
      <c r="BX1" s="1113"/>
      <c r="BY1" s="1113"/>
      <c r="BZ1" s="394">
        <f>BP1+1</f>
        <v>7</v>
      </c>
      <c r="CC1" s="1113" t="str">
        <f>BS1</f>
        <v>ENTRADAS DEL MES JULIO 2021</v>
      </c>
      <c r="CD1" s="1113"/>
      <c r="CE1" s="1113"/>
      <c r="CF1" s="1113"/>
      <c r="CG1" s="1113"/>
      <c r="CH1" s="1113"/>
      <c r="CI1" s="1113"/>
      <c r="CJ1" s="394">
        <f>BZ1+1</f>
        <v>8</v>
      </c>
      <c r="CM1" s="1113" t="str">
        <f>CC1</f>
        <v>ENTRADAS DEL MES JULIO 2021</v>
      </c>
      <c r="CN1" s="1113"/>
      <c r="CO1" s="1113"/>
      <c r="CP1" s="1113"/>
      <c r="CQ1" s="1113"/>
      <c r="CR1" s="1113"/>
      <c r="CS1" s="1113"/>
      <c r="CT1" s="394">
        <f>CJ1+1</f>
        <v>9</v>
      </c>
      <c r="CU1" s="685"/>
      <c r="CW1" s="1113" t="str">
        <f>CM1</f>
        <v>ENTRADAS DEL MES JULIO 2021</v>
      </c>
      <c r="CX1" s="1113"/>
      <c r="CY1" s="1113"/>
      <c r="CZ1" s="1113"/>
      <c r="DA1" s="1113"/>
      <c r="DB1" s="1113"/>
      <c r="DC1" s="1113"/>
      <c r="DD1" s="394">
        <f>CT1+1</f>
        <v>10</v>
      </c>
      <c r="DE1" s="685"/>
      <c r="DG1" s="1113" t="str">
        <f>CW1</f>
        <v>ENTRADAS DEL MES JULIO 2021</v>
      </c>
      <c r="DH1" s="1113"/>
      <c r="DI1" s="1113"/>
      <c r="DJ1" s="1113"/>
      <c r="DK1" s="1113"/>
      <c r="DL1" s="1113"/>
      <c r="DM1" s="1113"/>
      <c r="DN1" s="394">
        <f>DD1+1</f>
        <v>11</v>
      </c>
      <c r="DO1" s="685"/>
      <c r="DQ1" s="1113" t="str">
        <f>DG1</f>
        <v>ENTRADAS DEL MES JULIO 2021</v>
      </c>
      <c r="DR1" s="1113"/>
      <c r="DS1" s="1113"/>
      <c r="DT1" s="1113"/>
      <c r="DU1" s="1113"/>
      <c r="DV1" s="1113"/>
      <c r="DW1" s="1113"/>
      <c r="DX1" s="394">
        <f>DN1+1</f>
        <v>12</v>
      </c>
      <c r="EA1" s="1113" t="str">
        <f>DQ1</f>
        <v>ENTRADAS DEL MES JULIO 2021</v>
      </c>
      <c r="EB1" s="1113"/>
      <c r="EC1" s="1113"/>
      <c r="ED1" s="1113"/>
      <c r="EE1" s="1113"/>
      <c r="EF1" s="1113"/>
      <c r="EG1" s="1113"/>
      <c r="EH1" s="394">
        <f>DX1+1</f>
        <v>13</v>
      </c>
      <c r="EI1" s="685"/>
      <c r="EK1" s="1113" t="str">
        <f>EA1</f>
        <v>ENTRADAS DEL MES JULIO 2021</v>
      </c>
      <c r="EL1" s="1113"/>
      <c r="EM1" s="1113"/>
      <c r="EN1" s="1113"/>
      <c r="EO1" s="1113"/>
      <c r="EP1" s="1113"/>
      <c r="EQ1" s="1113"/>
      <c r="ER1" s="394">
        <f>EH1+1</f>
        <v>14</v>
      </c>
      <c r="ES1" s="685"/>
      <c r="EU1" s="1113" t="str">
        <f>EK1</f>
        <v>ENTRADAS DEL MES JULIO 2021</v>
      </c>
      <c r="EV1" s="1113"/>
      <c r="EW1" s="1113"/>
      <c r="EX1" s="1113"/>
      <c r="EY1" s="1113"/>
      <c r="EZ1" s="1113"/>
      <c r="FA1" s="1113"/>
      <c r="FB1" s="394">
        <f>ER1+1</f>
        <v>15</v>
      </c>
      <c r="FC1" s="685"/>
      <c r="FE1" s="1113" t="str">
        <f>EU1</f>
        <v>ENTRADAS DEL MES JULIO 2021</v>
      </c>
      <c r="FF1" s="1113"/>
      <c r="FG1" s="1113"/>
      <c r="FH1" s="1113"/>
      <c r="FI1" s="1113"/>
      <c r="FJ1" s="1113"/>
      <c r="FK1" s="1113"/>
      <c r="FL1" s="394">
        <f>FB1+1</f>
        <v>16</v>
      </c>
      <c r="FM1" s="685"/>
      <c r="FO1" s="1113" t="str">
        <f>FE1</f>
        <v>ENTRADAS DEL MES JULIO 2021</v>
      </c>
      <c r="FP1" s="1113"/>
      <c r="FQ1" s="1113"/>
      <c r="FR1" s="1113"/>
      <c r="FS1" s="1113"/>
      <c r="FT1" s="1113"/>
      <c r="FU1" s="1113"/>
      <c r="FV1" s="394">
        <f>FL1+1</f>
        <v>17</v>
      </c>
      <c r="FW1" s="685"/>
      <c r="FY1" s="1113" t="str">
        <f>FO1</f>
        <v>ENTRADAS DEL MES JULIO 2021</v>
      </c>
      <c r="FZ1" s="1113"/>
      <c r="GA1" s="1113"/>
      <c r="GB1" s="1113"/>
      <c r="GC1" s="1113"/>
      <c r="GD1" s="1113"/>
      <c r="GE1" s="1113"/>
      <c r="GF1" s="394">
        <f>FV1+1</f>
        <v>18</v>
      </c>
      <c r="GG1" s="685"/>
      <c r="GH1" s="79" t="s">
        <v>37</v>
      </c>
      <c r="GI1" s="1113" t="str">
        <f>FY1</f>
        <v>ENTRADAS DEL MES JULIO 2021</v>
      </c>
      <c r="GJ1" s="1113"/>
      <c r="GK1" s="1113"/>
      <c r="GL1" s="1113"/>
      <c r="GM1" s="1113"/>
      <c r="GN1" s="1113"/>
      <c r="GO1" s="1113"/>
      <c r="GP1" s="394">
        <f>GF1+1</f>
        <v>19</v>
      </c>
      <c r="GQ1" s="685"/>
      <c r="GS1" s="1113" t="str">
        <f>GI1</f>
        <v>ENTRADAS DEL MES JULIO 2021</v>
      </c>
      <c r="GT1" s="1113"/>
      <c r="GU1" s="1113"/>
      <c r="GV1" s="1113"/>
      <c r="GW1" s="1113"/>
      <c r="GX1" s="1113"/>
      <c r="GY1" s="1113"/>
      <c r="GZ1" s="394">
        <f>GP1+1</f>
        <v>20</v>
      </c>
      <c r="HA1" s="685"/>
      <c r="HC1" s="1113" t="str">
        <f>GS1</f>
        <v>ENTRADAS DEL MES JULIO 2021</v>
      </c>
      <c r="HD1" s="1113"/>
      <c r="HE1" s="1113"/>
      <c r="HF1" s="1113"/>
      <c r="HG1" s="1113"/>
      <c r="HH1" s="1113"/>
      <c r="HI1" s="1113"/>
      <c r="HJ1" s="394">
        <f>GZ1+1</f>
        <v>21</v>
      </c>
      <c r="HK1" s="685"/>
      <c r="HM1" s="1113" t="str">
        <f>HC1</f>
        <v>ENTRADAS DEL MES JULIO 2021</v>
      </c>
      <c r="HN1" s="1113"/>
      <c r="HO1" s="1113"/>
      <c r="HP1" s="1113"/>
      <c r="HQ1" s="1113"/>
      <c r="HR1" s="1113"/>
      <c r="HS1" s="1113"/>
      <c r="HT1" s="394">
        <f>HJ1+1</f>
        <v>22</v>
      </c>
      <c r="HU1" s="685"/>
      <c r="HW1" s="1113" t="str">
        <f>HM1</f>
        <v>ENTRADAS DEL MES JULIO 2021</v>
      </c>
      <c r="HX1" s="1113"/>
      <c r="HY1" s="1113"/>
      <c r="HZ1" s="1113"/>
      <c r="IA1" s="1113"/>
      <c r="IB1" s="1113"/>
      <c r="IC1" s="1113"/>
      <c r="ID1" s="394">
        <f>HT1+1</f>
        <v>23</v>
      </c>
      <c r="IE1" s="685"/>
      <c r="IG1" s="1113" t="str">
        <f>HW1</f>
        <v>ENTRADAS DEL MES JULIO 2021</v>
      </c>
      <c r="IH1" s="1113"/>
      <c r="II1" s="1113"/>
      <c r="IJ1" s="1113"/>
      <c r="IK1" s="1113"/>
      <c r="IL1" s="1113"/>
      <c r="IM1" s="1113"/>
      <c r="IN1" s="394">
        <f>ID1+1</f>
        <v>24</v>
      </c>
      <c r="IO1" s="685"/>
      <c r="IQ1" s="1113" t="str">
        <f>IG1</f>
        <v>ENTRADAS DEL MES JULIO 2021</v>
      </c>
      <c r="IR1" s="1113"/>
      <c r="IS1" s="1113"/>
      <c r="IT1" s="1113"/>
      <c r="IU1" s="1113"/>
      <c r="IV1" s="1113"/>
      <c r="IW1" s="1113"/>
      <c r="IX1" s="394">
        <f>IN1+1</f>
        <v>25</v>
      </c>
      <c r="IY1" s="685"/>
      <c r="JA1" s="1113" t="str">
        <f>IQ1</f>
        <v>ENTRADAS DEL MES JULIO 2021</v>
      </c>
      <c r="JB1" s="1113"/>
      <c r="JC1" s="1113"/>
      <c r="JD1" s="1113"/>
      <c r="JE1" s="1113"/>
      <c r="JF1" s="1113"/>
      <c r="JG1" s="1113"/>
      <c r="JH1" s="394">
        <f>IX1+1</f>
        <v>26</v>
      </c>
      <c r="JI1" s="685"/>
      <c r="JK1" s="1114" t="str">
        <f>JA1</f>
        <v>ENTRADAS DEL MES JULIO 2021</v>
      </c>
      <c r="JL1" s="1114"/>
      <c r="JM1" s="1114"/>
      <c r="JN1" s="1114"/>
      <c r="JO1" s="1114"/>
      <c r="JP1" s="1114"/>
      <c r="JQ1" s="1114"/>
      <c r="JR1" s="394">
        <f>JH1+1</f>
        <v>27</v>
      </c>
      <c r="JS1" s="685"/>
      <c r="JU1" s="1113" t="str">
        <f>JK1</f>
        <v>ENTRADAS DEL MES JULIO 2021</v>
      </c>
      <c r="JV1" s="1113"/>
      <c r="JW1" s="1113"/>
      <c r="JX1" s="1113"/>
      <c r="JY1" s="1113"/>
      <c r="JZ1" s="1113"/>
      <c r="KA1" s="1113"/>
      <c r="KB1" s="394">
        <f>JR1+1</f>
        <v>28</v>
      </c>
      <c r="KC1" s="685"/>
      <c r="KE1" s="1113" t="str">
        <f>JU1</f>
        <v>ENTRADAS DEL MES JULIO 2021</v>
      </c>
      <c r="KF1" s="1113"/>
      <c r="KG1" s="1113"/>
      <c r="KH1" s="1113"/>
      <c r="KI1" s="1113"/>
      <c r="KJ1" s="1113"/>
      <c r="KK1" s="1113"/>
      <c r="KL1" s="394">
        <f>KB1+1</f>
        <v>29</v>
      </c>
      <c r="KM1" s="685"/>
      <c r="KO1" s="1113" t="str">
        <f>KE1</f>
        <v>ENTRADAS DEL MES JULIO 2021</v>
      </c>
      <c r="KP1" s="1113"/>
      <c r="KQ1" s="1113"/>
      <c r="KR1" s="1113"/>
      <c r="KS1" s="1113"/>
      <c r="KT1" s="1113"/>
      <c r="KU1" s="1113"/>
      <c r="KV1" s="394">
        <f>KL1+1</f>
        <v>30</v>
      </c>
      <c r="KW1" s="685"/>
      <c r="KY1" s="1113" t="str">
        <f>KO1</f>
        <v>ENTRADAS DEL MES JULIO 2021</v>
      </c>
      <c r="KZ1" s="1113"/>
      <c r="LA1" s="1113"/>
      <c r="LB1" s="1113"/>
      <c r="LC1" s="1113"/>
      <c r="LD1" s="1113"/>
      <c r="LE1" s="1113"/>
      <c r="LF1" s="394">
        <f>KV1+1</f>
        <v>31</v>
      </c>
      <c r="LG1" s="685"/>
      <c r="LI1" s="1113" t="str">
        <f>KY1</f>
        <v>ENTRADAS DEL MES JULIO 2021</v>
      </c>
      <c r="LJ1" s="1113"/>
      <c r="LK1" s="1113"/>
      <c r="LL1" s="1113"/>
      <c r="LM1" s="1113"/>
      <c r="LN1" s="1113"/>
      <c r="LO1" s="1113"/>
      <c r="LP1" s="394">
        <f>LF1+1</f>
        <v>32</v>
      </c>
      <c r="LQ1" s="685"/>
      <c r="LS1" s="1113" t="str">
        <f>LI1</f>
        <v>ENTRADAS DEL MES JULIO 2021</v>
      </c>
      <c r="LT1" s="1113"/>
      <c r="LU1" s="1113"/>
      <c r="LV1" s="1113"/>
      <c r="LW1" s="1113"/>
      <c r="LX1" s="1113"/>
      <c r="LY1" s="1113"/>
      <c r="LZ1" s="394">
        <f>LP1+1</f>
        <v>33</v>
      </c>
      <c r="MB1" s="1113" t="str">
        <f>LS1</f>
        <v>ENTRADAS DEL MES JULIO 2021</v>
      </c>
      <c r="MC1" s="1113"/>
      <c r="MD1" s="1113"/>
      <c r="ME1" s="1113"/>
      <c r="MF1" s="1113"/>
      <c r="MG1" s="1113"/>
      <c r="MH1" s="1113"/>
      <c r="MI1" s="394">
        <f>LZ1+1</f>
        <v>34</v>
      </c>
      <c r="MJ1" s="394"/>
      <c r="ML1" s="1113" t="str">
        <f>MB1</f>
        <v>ENTRADAS DEL MES JULIO 2021</v>
      </c>
      <c r="MM1" s="1113"/>
      <c r="MN1" s="1113"/>
      <c r="MO1" s="1113"/>
      <c r="MP1" s="1113"/>
      <c r="MQ1" s="1113"/>
      <c r="MR1" s="1113"/>
      <c r="MS1" s="394">
        <f>MI1+1</f>
        <v>35</v>
      </c>
      <c r="MT1" s="394"/>
      <c r="MV1" s="1113" t="str">
        <f>ML1</f>
        <v>ENTRADAS DEL MES JULIO 2021</v>
      </c>
      <c r="MW1" s="1113"/>
      <c r="MX1" s="1113"/>
      <c r="MY1" s="1113"/>
      <c r="MZ1" s="1113"/>
      <c r="NA1" s="1113"/>
      <c r="NB1" s="1113"/>
      <c r="NC1" s="394">
        <f>MS1+1</f>
        <v>36</v>
      </c>
      <c r="ND1" s="394"/>
      <c r="NF1" s="1113" t="str">
        <f>MV1</f>
        <v>ENTRADAS DEL MES JULIO 2021</v>
      </c>
      <c r="NG1" s="1113"/>
      <c r="NH1" s="1113"/>
      <c r="NI1" s="1113"/>
      <c r="NJ1" s="1113"/>
      <c r="NK1" s="1113"/>
      <c r="NL1" s="1113"/>
      <c r="NM1" s="394">
        <f>NC1+1</f>
        <v>37</v>
      </c>
      <c r="NN1" s="394"/>
      <c r="NP1" s="1113" t="str">
        <f>NF1</f>
        <v>ENTRADAS DEL MES JULIO 2021</v>
      </c>
      <c r="NQ1" s="1113"/>
      <c r="NR1" s="1113"/>
      <c r="NS1" s="1113"/>
      <c r="NT1" s="1113"/>
      <c r="NU1" s="1113"/>
      <c r="NV1" s="1113"/>
      <c r="NW1" s="394">
        <f>NM1+1</f>
        <v>38</v>
      </c>
      <c r="NX1" s="394"/>
      <c r="NZ1" s="1113" t="str">
        <f>NP1</f>
        <v>ENTRADAS DEL MES JULIO 2021</v>
      </c>
      <c r="OA1" s="1113"/>
      <c r="OB1" s="1113"/>
      <c r="OC1" s="1113"/>
      <c r="OD1" s="1113"/>
      <c r="OE1" s="1113"/>
      <c r="OF1" s="1113"/>
      <c r="OG1" s="394">
        <f>NW1+1</f>
        <v>39</v>
      </c>
      <c r="OH1" s="394"/>
      <c r="OJ1" s="1113" t="str">
        <f>NZ1</f>
        <v>ENTRADAS DEL MES JULIO 2021</v>
      </c>
      <c r="OK1" s="1113"/>
      <c r="OL1" s="1113"/>
      <c r="OM1" s="1113"/>
      <c r="ON1" s="1113"/>
      <c r="OO1" s="1113"/>
      <c r="OP1" s="1113"/>
      <c r="OQ1" s="394">
        <f>OG1+1</f>
        <v>40</v>
      </c>
      <c r="OR1" s="394"/>
      <c r="OT1" s="1113" t="str">
        <f>OJ1</f>
        <v>ENTRADAS DEL MES JULIO 2021</v>
      </c>
      <c r="OU1" s="1113"/>
      <c r="OV1" s="1113"/>
      <c r="OW1" s="1113"/>
      <c r="OX1" s="1113"/>
      <c r="OY1" s="1113"/>
      <c r="OZ1" s="1113"/>
      <c r="PA1" s="394">
        <f>OQ1+1</f>
        <v>41</v>
      </c>
      <c r="PB1" s="394"/>
      <c r="PD1" s="1113" t="str">
        <f>OT1</f>
        <v>ENTRADAS DEL MES JULIO 2021</v>
      </c>
      <c r="PE1" s="1113"/>
      <c r="PF1" s="1113"/>
      <c r="PG1" s="1113"/>
      <c r="PH1" s="1113"/>
      <c r="PI1" s="1113"/>
      <c r="PJ1" s="1113"/>
      <c r="PK1" s="394">
        <f>PA1+1</f>
        <v>42</v>
      </c>
      <c r="PL1" s="394"/>
      <c r="PN1" s="1113" t="str">
        <f>PD1</f>
        <v>ENTRADAS DEL MES JULIO 2021</v>
      </c>
      <c r="PO1" s="1113"/>
      <c r="PP1" s="1113"/>
      <c r="PQ1" s="1113"/>
      <c r="PR1" s="1113"/>
      <c r="PS1" s="1113"/>
      <c r="PT1" s="1113"/>
      <c r="PU1" s="394">
        <f>PK1+1</f>
        <v>43</v>
      </c>
      <c r="PW1" s="1113" t="str">
        <f>PN1</f>
        <v>ENTRADAS DEL MES JULIO 2021</v>
      </c>
      <c r="PX1" s="1113"/>
      <c r="PY1" s="1113"/>
      <c r="PZ1" s="1113"/>
      <c r="QA1" s="1113"/>
      <c r="QB1" s="1113"/>
      <c r="QC1" s="1113"/>
      <c r="QD1" s="394">
        <f>PU1+1</f>
        <v>44</v>
      </c>
      <c r="QF1" s="1113" t="str">
        <f>PW1</f>
        <v>ENTRADAS DEL MES JULIO 2021</v>
      </c>
      <c r="QG1" s="1113"/>
      <c r="QH1" s="1113"/>
      <c r="QI1" s="1113"/>
      <c r="QJ1" s="1113"/>
      <c r="QK1" s="1113"/>
      <c r="QL1" s="1113"/>
      <c r="QM1" s="394">
        <f>QD1+1</f>
        <v>45</v>
      </c>
      <c r="QO1" s="1113" t="str">
        <f>QF1</f>
        <v>ENTRADAS DEL MES JULIO 2021</v>
      </c>
      <c r="QP1" s="1113"/>
      <c r="QQ1" s="1113"/>
      <c r="QR1" s="1113"/>
      <c r="QS1" s="1113"/>
      <c r="QT1" s="1113"/>
      <c r="QU1" s="1113"/>
      <c r="QV1" s="394">
        <f>QM1+1</f>
        <v>46</v>
      </c>
      <c r="QX1" s="1113" t="str">
        <f>QO1</f>
        <v>ENTRADAS DEL MES JULIO 2021</v>
      </c>
      <c r="QY1" s="1113"/>
      <c r="QZ1" s="1113"/>
      <c r="RA1" s="1113"/>
      <c r="RB1" s="1113"/>
      <c r="RC1" s="1113"/>
      <c r="RD1" s="1113"/>
      <c r="RE1" s="394">
        <f>QV1+1</f>
        <v>47</v>
      </c>
      <c r="RG1" s="1113" t="str">
        <f>QX1</f>
        <v>ENTRADAS DEL MES JULIO 2021</v>
      </c>
      <c r="RH1" s="1113"/>
      <c r="RI1" s="1113"/>
      <c r="RJ1" s="1113"/>
      <c r="RK1" s="1113"/>
      <c r="RL1" s="1113"/>
      <c r="RM1" s="1113"/>
      <c r="RN1" s="394">
        <f>RE1+1</f>
        <v>48</v>
      </c>
      <c r="RP1" s="1113" t="str">
        <f>RG1</f>
        <v>ENTRADAS DEL MES JULIO 2021</v>
      </c>
      <c r="RQ1" s="1113"/>
      <c r="RR1" s="1113"/>
      <c r="RS1" s="1113"/>
      <c r="RT1" s="1113"/>
      <c r="RU1" s="1113"/>
      <c r="RV1" s="1113"/>
      <c r="RW1" s="394">
        <f>RN1+1</f>
        <v>49</v>
      </c>
      <c r="RY1" s="1113" t="str">
        <f>RP1</f>
        <v>ENTRADAS DEL MES JULIO 2021</v>
      </c>
      <c r="RZ1" s="1113"/>
      <c r="SA1" s="1113"/>
      <c r="SB1" s="1113"/>
      <c r="SC1" s="1113"/>
      <c r="SD1" s="1113"/>
      <c r="SE1" s="1113"/>
      <c r="SF1" s="394">
        <f>RW1+1</f>
        <v>50</v>
      </c>
      <c r="SH1" s="1113" t="str">
        <f>RY1</f>
        <v>ENTRADAS DEL MES JULIO 2021</v>
      </c>
      <c r="SI1" s="1113"/>
      <c r="SJ1" s="1113"/>
      <c r="SK1" s="1113"/>
      <c r="SL1" s="1113"/>
      <c r="SM1" s="1113"/>
      <c r="SN1" s="1113"/>
      <c r="SO1" s="394">
        <f>SF1+1</f>
        <v>51</v>
      </c>
      <c r="SQ1" s="1113" t="str">
        <f>SH1</f>
        <v>ENTRADAS DEL MES JULIO 2021</v>
      </c>
      <c r="SR1" s="1113"/>
      <c r="SS1" s="1113"/>
      <c r="ST1" s="1113"/>
      <c r="SU1" s="1113"/>
      <c r="SV1" s="1113"/>
      <c r="SW1" s="1113"/>
      <c r="SX1" s="394">
        <f>SO1+1</f>
        <v>52</v>
      </c>
      <c r="SZ1" s="1113" t="str">
        <f>SQ1</f>
        <v>ENTRADAS DEL MES JULIO 2021</v>
      </c>
      <c r="TA1" s="1113"/>
      <c r="TB1" s="1113"/>
      <c r="TC1" s="1113"/>
      <c r="TD1" s="1113"/>
      <c r="TE1" s="1113"/>
      <c r="TF1" s="1113"/>
      <c r="TG1" s="394">
        <f>SX1+1</f>
        <v>53</v>
      </c>
      <c r="TI1" s="1113" t="str">
        <f>SZ1</f>
        <v>ENTRADAS DEL MES JULIO 2021</v>
      </c>
      <c r="TJ1" s="1113"/>
      <c r="TK1" s="1113"/>
      <c r="TL1" s="1113"/>
      <c r="TM1" s="1113"/>
      <c r="TN1" s="1113"/>
      <c r="TO1" s="1113"/>
      <c r="TP1" s="394">
        <f>TG1+1</f>
        <v>54</v>
      </c>
      <c r="TR1" s="1113" t="str">
        <f>TI1</f>
        <v>ENTRADAS DEL MES JULIO 2021</v>
      </c>
      <c r="TS1" s="1113"/>
      <c r="TT1" s="1113"/>
      <c r="TU1" s="1113"/>
      <c r="TV1" s="1113"/>
      <c r="TW1" s="1113"/>
      <c r="TX1" s="1113"/>
      <c r="TY1" s="394">
        <f>TP1+1</f>
        <v>55</v>
      </c>
      <c r="UA1" s="1113" t="str">
        <f>TR1</f>
        <v>ENTRADAS DEL MES JULIO 2021</v>
      </c>
      <c r="UB1" s="1113"/>
      <c r="UC1" s="1113"/>
      <c r="UD1" s="1113"/>
      <c r="UE1" s="1113"/>
      <c r="UF1" s="1113"/>
      <c r="UG1" s="1113"/>
      <c r="UH1" s="394">
        <f>TY1+1</f>
        <v>56</v>
      </c>
      <c r="UJ1" s="1113" t="str">
        <f>UA1</f>
        <v>ENTRADAS DEL MES JULIO 2021</v>
      </c>
      <c r="UK1" s="1113"/>
      <c r="UL1" s="1113"/>
      <c r="UM1" s="1113"/>
      <c r="UN1" s="1113"/>
      <c r="UO1" s="1113"/>
      <c r="UP1" s="1113"/>
      <c r="UQ1" s="394">
        <f>UH1+1</f>
        <v>57</v>
      </c>
      <c r="US1" s="1113" t="str">
        <f>UJ1</f>
        <v>ENTRADAS DEL MES JULIO 2021</v>
      </c>
      <c r="UT1" s="1113"/>
      <c r="UU1" s="1113"/>
      <c r="UV1" s="1113"/>
      <c r="UW1" s="1113"/>
      <c r="UX1" s="1113"/>
      <c r="UY1" s="1113"/>
      <c r="UZ1" s="394">
        <f>UQ1+1</f>
        <v>58</v>
      </c>
      <c r="VB1" s="1113" t="str">
        <f>US1</f>
        <v>ENTRADAS DEL MES JULIO 2021</v>
      </c>
      <c r="VC1" s="1113"/>
      <c r="VD1" s="1113"/>
      <c r="VE1" s="1113"/>
      <c r="VF1" s="1113"/>
      <c r="VG1" s="1113"/>
      <c r="VH1" s="1113"/>
      <c r="VI1" s="394">
        <f>UZ1+1</f>
        <v>59</v>
      </c>
      <c r="VK1" s="1113" t="str">
        <f>VB1</f>
        <v>ENTRADAS DEL MES JULIO 2021</v>
      </c>
      <c r="VL1" s="1113"/>
      <c r="VM1" s="1113"/>
      <c r="VN1" s="1113"/>
      <c r="VO1" s="1113"/>
      <c r="VP1" s="1113"/>
      <c r="VQ1" s="1113"/>
      <c r="VR1" s="394">
        <f>VI1+1</f>
        <v>60</v>
      </c>
      <c r="VT1" s="1113" t="str">
        <f>VK1</f>
        <v>ENTRADAS DEL MES JULIO 2021</v>
      </c>
      <c r="VU1" s="1113"/>
      <c r="VV1" s="1113"/>
      <c r="VW1" s="1113"/>
      <c r="VX1" s="1113"/>
      <c r="VY1" s="1113"/>
      <c r="VZ1" s="1113"/>
      <c r="WA1" s="394">
        <f>VR1+1</f>
        <v>61</v>
      </c>
      <c r="WC1" s="1113" t="str">
        <f>VT1</f>
        <v>ENTRADAS DEL MES JULIO 2021</v>
      </c>
      <c r="WD1" s="1113"/>
      <c r="WE1" s="1113"/>
      <c r="WF1" s="1113"/>
      <c r="WG1" s="1113"/>
      <c r="WH1" s="1113"/>
      <c r="WI1" s="1113"/>
      <c r="WJ1" s="394">
        <f>WA1+1</f>
        <v>62</v>
      </c>
      <c r="WL1" s="1113" t="str">
        <f>WC1</f>
        <v>ENTRADAS DEL MES JULIO 2021</v>
      </c>
      <c r="WM1" s="1113"/>
      <c r="WN1" s="1113"/>
      <c r="WO1" s="1113"/>
      <c r="WP1" s="1113"/>
      <c r="WQ1" s="1113"/>
      <c r="WR1" s="1113"/>
      <c r="WS1" s="394">
        <f>WJ1+1</f>
        <v>63</v>
      </c>
      <c r="WU1" s="1113" t="str">
        <f>WL1</f>
        <v>ENTRADAS DEL MES JULIO 2021</v>
      </c>
      <c r="WV1" s="1113"/>
      <c r="WW1" s="1113"/>
      <c r="WX1" s="1113"/>
      <c r="WY1" s="1113"/>
      <c r="WZ1" s="1113"/>
      <c r="XA1" s="1113"/>
      <c r="XB1" s="394">
        <f>WS1+1</f>
        <v>64</v>
      </c>
      <c r="XD1" s="1113" t="str">
        <f>WU1</f>
        <v>ENTRADAS DEL MES JULIO 2021</v>
      </c>
      <c r="XE1" s="1113"/>
      <c r="XF1" s="1113"/>
      <c r="XG1" s="1113"/>
      <c r="XH1" s="1113"/>
      <c r="XI1" s="1113"/>
      <c r="XJ1" s="1113"/>
      <c r="XK1" s="394">
        <f>XB1+1</f>
        <v>65</v>
      </c>
      <c r="XM1" s="1113" t="str">
        <f>XD1</f>
        <v>ENTRADAS DEL MES JULIO 2021</v>
      </c>
      <c r="XN1" s="1113"/>
      <c r="XO1" s="1113"/>
      <c r="XP1" s="1113"/>
      <c r="XQ1" s="1113"/>
      <c r="XR1" s="1113"/>
      <c r="XS1" s="1113"/>
      <c r="XT1" s="394">
        <f>XK1+1</f>
        <v>66</v>
      </c>
      <c r="XV1" s="1113" t="str">
        <f>XM1</f>
        <v>ENTRADAS DEL MES JULIO 2021</v>
      </c>
      <c r="XW1" s="1113"/>
      <c r="XX1" s="1113"/>
      <c r="XY1" s="1113"/>
      <c r="XZ1" s="1113"/>
      <c r="YA1" s="1113"/>
      <c r="YB1" s="1113"/>
      <c r="YC1" s="394">
        <f>XT1+1</f>
        <v>67</v>
      </c>
      <c r="YE1" s="1113" t="str">
        <f>XV1</f>
        <v>ENTRADAS DEL MES JULIO 2021</v>
      </c>
      <c r="YF1" s="1113"/>
      <c r="YG1" s="1113"/>
      <c r="YH1" s="1113"/>
      <c r="YI1" s="1113"/>
      <c r="YJ1" s="1113"/>
      <c r="YK1" s="1113"/>
      <c r="YL1" s="394">
        <f>YC1+1</f>
        <v>68</v>
      </c>
      <c r="YN1" s="1113" t="str">
        <f>YE1</f>
        <v>ENTRADAS DEL MES JULIO 2021</v>
      </c>
      <c r="YO1" s="1113"/>
      <c r="YP1" s="1113"/>
      <c r="YQ1" s="1113"/>
      <c r="YR1" s="1113"/>
      <c r="YS1" s="1113"/>
      <c r="YT1" s="1113"/>
      <c r="YU1" s="394">
        <f>YL1+1</f>
        <v>69</v>
      </c>
      <c r="YW1" s="1113" t="str">
        <f>YN1</f>
        <v>ENTRADAS DEL MES JULIO 2021</v>
      </c>
      <c r="YX1" s="1113"/>
      <c r="YY1" s="1113"/>
      <c r="YZ1" s="1113"/>
      <c r="ZA1" s="1113"/>
      <c r="ZB1" s="1113"/>
      <c r="ZC1" s="1113"/>
      <c r="ZD1" s="394">
        <f>YU1+1</f>
        <v>70</v>
      </c>
      <c r="ZF1" s="1113" t="str">
        <f>YW1</f>
        <v>ENTRADAS DEL MES JULIO 2021</v>
      </c>
      <c r="ZG1" s="1113"/>
      <c r="ZH1" s="1113"/>
      <c r="ZI1" s="1113"/>
      <c r="ZJ1" s="1113"/>
      <c r="ZK1" s="1113"/>
      <c r="ZL1" s="1113"/>
      <c r="ZM1" s="394">
        <f>ZD1+1</f>
        <v>71</v>
      </c>
      <c r="ZO1" s="1113" t="str">
        <f>ZF1</f>
        <v>ENTRADAS DEL MES JULIO 2021</v>
      </c>
      <c r="ZP1" s="1113"/>
      <c r="ZQ1" s="1113"/>
      <c r="ZR1" s="1113"/>
      <c r="ZS1" s="1113"/>
      <c r="ZT1" s="1113"/>
      <c r="ZU1" s="1113"/>
      <c r="ZV1" s="394">
        <f>ZM1+1</f>
        <v>72</v>
      </c>
      <c r="ZX1" s="1113" t="str">
        <f>ZO1</f>
        <v>ENTRADAS DEL MES JULIO 2021</v>
      </c>
      <c r="ZY1" s="1113"/>
      <c r="ZZ1" s="1113"/>
      <c r="AAA1" s="1113"/>
      <c r="AAB1" s="1113"/>
      <c r="AAC1" s="1113"/>
      <c r="AAD1" s="1113"/>
      <c r="AAE1" s="394">
        <f>ZV1+1</f>
        <v>73</v>
      </c>
      <c r="AAG1" s="1113" t="str">
        <f>ZX1</f>
        <v>ENTRADAS DEL MES JULIO 2021</v>
      </c>
      <c r="AAH1" s="1113"/>
      <c r="AAI1" s="1113"/>
      <c r="AAJ1" s="1113"/>
      <c r="AAK1" s="1113"/>
      <c r="AAL1" s="1113"/>
      <c r="AAM1" s="1113"/>
      <c r="AAN1" s="394">
        <f>AAE1+1</f>
        <v>74</v>
      </c>
      <c r="AAP1" s="1113" t="str">
        <f>AAG1</f>
        <v>ENTRADAS DEL MES JULIO 2021</v>
      </c>
      <c r="AAQ1" s="1113"/>
      <c r="AAR1" s="1113"/>
      <c r="AAS1" s="1113"/>
      <c r="AAT1" s="1113"/>
      <c r="AAU1" s="1113"/>
      <c r="AAV1" s="1113"/>
      <c r="AAW1" s="394">
        <f>AAN1+1</f>
        <v>75</v>
      </c>
      <c r="AAY1" s="1113" t="str">
        <f>AAP1</f>
        <v>ENTRADAS DEL MES JULIO 2021</v>
      </c>
      <c r="AAZ1" s="1113"/>
      <c r="ABA1" s="1113"/>
      <c r="ABB1" s="1113"/>
      <c r="ABC1" s="1113"/>
      <c r="ABD1" s="1113"/>
      <c r="ABE1" s="1113"/>
      <c r="ABF1" s="394">
        <f>AAW1+1</f>
        <v>76</v>
      </c>
      <c r="ABH1" s="1113" t="str">
        <f>AAY1</f>
        <v>ENTRADAS DEL MES JULIO 2021</v>
      </c>
      <c r="ABI1" s="1113"/>
      <c r="ABJ1" s="1113"/>
      <c r="ABK1" s="1113"/>
      <c r="ABL1" s="1113"/>
      <c r="ABM1" s="1113"/>
      <c r="ABN1" s="1113"/>
      <c r="ABO1" s="394">
        <f>ABF1+1</f>
        <v>77</v>
      </c>
      <c r="ABQ1" s="1113" t="str">
        <f>ABH1</f>
        <v>ENTRADAS DEL MES JULIO 2021</v>
      </c>
      <c r="ABR1" s="1113"/>
      <c r="ABS1" s="1113"/>
      <c r="ABT1" s="1113"/>
      <c r="ABU1" s="1113"/>
      <c r="ABV1" s="1113"/>
      <c r="ABW1" s="1113"/>
      <c r="ABX1" s="394">
        <f>ABO1+1</f>
        <v>78</v>
      </c>
      <c r="ABZ1" s="1113" t="str">
        <f>ABQ1</f>
        <v>ENTRADAS DEL MES JULIO 2021</v>
      </c>
      <c r="ACA1" s="1113"/>
      <c r="ACB1" s="1113"/>
      <c r="ACC1" s="1113"/>
      <c r="ACD1" s="1113"/>
      <c r="ACE1" s="1113"/>
      <c r="ACF1" s="1113"/>
      <c r="ACG1" s="394">
        <f>ABX1+1</f>
        <v>79</v>
      </c>
      <c r="ACI1" s="1113" t="str">
        <f>ABZ1</f>
        <v>ENTRADAS DEL MES JULIO 2021</v>
      </c>
      <c r="ACJ1" s="1113"/>
      <c r="ACK1" s="1113"/>
      <c r="ACL1" s="1113"/>
      <c r="ACM1" s="1113"/>
      <c r="ACN1" s="1113"/>
      <c r="ACO1" s="1113"/>
      <c r="ACP1" s="394">
        <f>ACG1+1</f>
        <v>80</v>
      </c>
      <c r="ACR1" s="1113" t="str">
        <f>ACI1</f>
        <v>ENTRADAS DEL MES JULIO 2021</v>
      </c>
      <c r="ACS1" s="1113"/>
      <c r="ACT1" s="1113"/>
      <c r="ACU1" s="1113"/>
      <c r="ACV1" s="1113"/>
      <c r="ACW1" s="1113"/>
      <c r="ACX1" s="1113"/>
      <c r="ACY1" s="394">
        <f>ACP1+1</f>
        <v>81</v>
      </c>
      <c r="ADA1" s="1113" t="str">
        <f>ACR1</f>
        <v>ENTRADAS DEL MES JULIO 2021</v>
      </c>
      <c r="ADB1" s="1113"/>
      <c r="ADC1" s="1113"/>
      <c r="ADD1" s="1113"/>
      <c r="ADE1" s="1113"/>
      <c r="ADF1" s="1113"/>
      <c r="ADG1" s="1113"/>
      <c r="ADH1" s="394">
        <f>ACY1+1</f>
        <v>82</v>
      </c>
      <c r="ADJ1" s="1113" t="str">
        <f>ADA1</f>
        <v>ENTRADAS DEL MES JULIO 2021</v>
      </c>
      <c r="ADK1" s="1113"/>
      <c r="ADL1" s="1113"/>
      <c r="ADM1" s="1113"/>
      <c r="ADN1" s="1113"/>
      <c r="ADO1" s="1113"/>
      <c r="ADP1" s="1113"/>
      <c r="ADQ1" s="394">
        <f>ADH1+1</f>
        <v>83</v>
      </c>
      <c r="ADS1" s="1113" t="str">
        <f>ADJ1</f>
        <v>ENTRADAS DEL MES JULIO 2021</v>
      </c>
      <c r="ADT1" s="1113"/>
      <c r="ADU1" s="1113"/>
      <c r="ADV1" s="1113"/>
      <c r="ADW1" s="1113"/>
      <c r="ADX1" s="1113"/>
      <c r="ADY1" s="1113"/>
      <c r="ADZ1" s="394">
        <f>ADQ1+1</f>
        <v>84</v>
      </c>
      <c r="AEB1" s="1113" t="str">
        <f>ADS1</f>
        <v>ENTRADAS DEL MES JULIO 2021</v>
      </c>
      <c r="AEC1" s="1113"/>
      <c r="AED1" s="1113"/>
      <c r="AEE1" s="1113"/>
      <c r="AEF1" s="1113"/>
      <c r="AEG1" s="1113"/>
      <c r="AEH1" s="1113"/>
      <c r="AEI1" s="394">
        <f>ADZ1+1</f>
        <v>85</v>
      </c>
      <c r="AEK1" s="1113" t="str">
        <f>AEB1</f>
        <v>ENTRADAS DEL MES JULIO 2021</v>
      </c>
      <c r="AEL1" s="1113"/>
      <c r="AEM1" s="1113"/>
      <c r="AEN1" s="1113"/>
      <c r="AEO1" s="1113"/>
      <c r="AEP1" s="1113"/>
      <c r="AEQ1" s="1113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5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6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5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6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6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6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6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6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6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6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6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6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6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6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6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6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6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6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6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6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6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6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6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6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6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6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6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6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6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5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5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5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5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5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5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5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5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5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 t="shared" ref="B4:I4" si="0">K6</f>
        <v>SEABOARD FOODS</v>
      </c>
      <c r="C4" s="267" t="str">
        <f t="shared" si="0"/>
        <v>Seaboard</v>
      </c>
      <c r="D4" s="269" t="str">
        <f t="shared" si="0"/>
        <v>PED. 67191520</v>
      </c>
      <c r="E4" s="144">
        <f t="shared" si="0"/>
        <v>44380</v>
      </c>
      <c r="F4" s="90">
        <f t="shared" si="0"/>
        <v>18636.759999999998</v>
      </c>
      <c r="G4" s="76">
        <f t="shared" si="0"/>
        <v>21</v>
      </c>
      <c r="H4" s="49">
        <f t="shared" si="0"/>
        <v>18757</v>
      </c>
      <c r="I4" s="110">
        <f t="shared" si="0"/>
        <v>-120.2400000000016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0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3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0"/>
      <c r="KF4" s="79" t="s">
        <v>23</v>
      </c>
      <c r="KK4" s="388"/>
      <c r="KO4" s="76"/>
      <c r="KP4" s="76" t="s">
        <v>23</v>
      </c>
      <c r="KU4" s="76"/>
      <c r="KV4" s="137"/>
      <c r="KW4" s="703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TYSON FRESH MEAT</v>
      </c>
      <c r="C5" s="267" t="str">
        <f t="shared" si="1"/>
        <v xml:space="preserve">I B P </v>
      </c>
      <c r="D5" s="269" t="str">
        <f t="shared" si="1"/>
        <v>PED. 67341220</v>
      </c>
      <c r="E5" s="144">
        <f t="shared" si="1"/>
        <v>44384</v>
      </c>
      <c r="F5" s="90">
        <f t="shared" si="1"/>
        <v>18141.189999999999</v>
      </c>
      <c r="G5" s="76">
        <f t="shared" si="1"/>
        <v>20</v>
      </c>
      <c r="H5" s="49">
        <f t="shared" si="1"/>
        <v>18124.09</v>
      </c>
      <c r="I5" s="110">
        <f>AB5</f>
        <v>17.099999999998545</v>
      </c>
      <c r="L5" s="79" t="s">
        <v>23</v>
      </c>
      <c r="Q5" s="335"/>
      <c r="S5" s="676"/>
      <c r="T5" s="267"/>
      <c r="U5" s="275" t="s">
        <v>277</v>
      </c>
      <c r="V5" s="1016" t="s">
        <v>278</v>
      </c>
      <c r="W5" s="272" t="s">
        <v>279</v>
      </c>
      <c r="X5" s="273">
        <v>44384</v>
      </c>
      <c r="Y5" s="271">
        <v>18141.189999999999</v>
      </c>
      <c r="Z5" s="268">
        <v>20</v>
      </c>
      <c r="AA5" s="1039">
        <v>18124.09</v>
      </c>
      <c r="AB5" s="147">
        <f>Y5-AA5</f>
        <v>17.099999999998545</v>
      </c>
      <c r="AC5" s="687"/>
      <c r="AD5" s="267"/>
      <c r="AE5" s="267" t="s">
        <v>280</v>
      </c>
      <c r="AF5" s="1016" t="s">
        <v>278</v>
      </c>
      <c r="AG5" s="272" t="s">
        <v>281</v>
      </c>
      <c r="AH5" s="270">
        <v>44385</v>
      </c>
      <c r="AI5" s="271">
        <v>18202.98</v>
      </c>
      <c r="AJ5" s="268">
        <v>20</v>
      </c>
      <c r="AK5" s="1053">
        <v>18212.54</v>
      </c>
      <c r="AL5" s="147">
        <f>AI5-AK5</f>
        <v>-9.5600000000013097</v>
      </c>
      <c r="AM5" s="147"/>
      <c r="AN5" s="267"/>
      <c r="AO5" s="267" t="s">
        <v>83</v>
      </c>
      <c r="AP5" s="929" t="s">
        <v>102</v>
      </c>
      <c r="AQ5" s="272" t="s">
        <v>291</v>
      </c>
      <c r="AR5" s="270">
        <v>44386</v>
      </c>
      <c r="AS5" s="271">
        <v>18357.259999999998</v>
      </c>
      <c r="AT5" s="268">
        <v>21</v>
      </c>
      <c r="AU5" s="1053">
        <v>18364.599999999999</v>
      </c>
      <c r="AV5" s="147">
        <f>AS5-AU5</f>
        <v>-7.3400000000001455</v>
      </c>
      <c r="AW5" s="687"/>
      <c r="AX5" s="267"/>
      <c r="AY5" s="1116" t="s">
        <v>83</v>
      </c>
      <c r="AZ5" s="309" t="s">
        <v>23</v>
      </c>
      <c r="BA5" s="269" t="s">
        <v>292</v>
      </c>
      <c r="BB5" s="270">
        <v>44386</v>
      </c>
      <c r="BC5" s="271">
        <v>18402.41</v>
      </c>
      <c r="BD5" s="268">
        <v>21</v>
      </c>
      <c r="BE5" s="1053">
        <v>18427.099999999999</v>
      </c>
      <c r="BF5" s="147">
        <f>BC5-BE5</f>
        <v>-24.68999999999869</v>
      </c>
      <c r="BG5" s="687"/>
      <c r="BH5" s="267"/>
      <c r="BI5" s="267" t="s">
        <v>83</v>
      </c>
      <c r="BJ5" s="1021" t="s">
        <v>102</v>
      </c>
      <c r="BK5" s="272" t="s">
        <v>294</v>
      </c>
      <c r="BL5" s="270">
        <v>44390</v>
      </c>
      <c r="BM5" s="271">
        <v>17426</v>
      </c>
      <c r="BN5" s="268">
        <v>20</v>
      </c>
      <c r="BO5" s="1053">
        <v>17415.2</v>
      </c>
      <c r="BP5" s="147">
        <f>BM5-BO5</f>
        <v>10.799999999999272</v>
      </c>
      <c r="BQ5" s="687"/>
      <c r="BR5" s="267"/>
      <c r="BS5" s="356" t="s">
        <v>83</v>
      </c>
      <c r="BT5" s="1021" t="s">
        <v>102</v>
      </c>
      <c r="BU5" s="272" t="s">
        <v>295</v>
      </c>
      <c r="BV5" s="273">
        <v>44390</v>
      </c>
      <c r="BW5" s="271">
        <v>17228.71</v>
      </c>
      <c r="BX5" s="268">
        <v>20</v>
      </c>
      <c r="BY5" s="1053">
        <v>17238.3</v>
      </c>
      <c r="BZ5" s="147">
        <f>BW5-BY5</f>
        <v>-9.5900000000001455</v>
      </c>
      <c r="CA5" s="354"/>
      <c r="CB5" s="354"/>
      <c r="CC5" s="275" t="s">
        <v>277</v>
      </c>
      <c r="CD5" s="1022" t="s">
        <v>278</v>
      </c>
      <c r="CE5" s="269" t="s">
        <v>296</v>
      </c>
      <c r="CF5" s="273">
        <v>44391</v>
      </c>
      <c r="CG5" s="271">
        <v>18470.04</v>
      </c>
      <c r="CH5" s="268">
        <v>20</v>
      </c>
      <c r="CI5" s="1053">
        <v>18473.759999999998</v>
      </c>
      <c r="CJ5" s="147">
        <f>CG5-CI5</f>
        <v>-3.7199999999975262</v>
      </c>
      <c r="CK5" s="354"/>
      <c r="CL5" s="354"/>
      <c r="CM5" s="1115" t="s">
        <v>277</v>
      </c>
      <c r="CN5" s="1022" t="s">
        <v>297</v>
      </c>
      <c r="CO5" s="269" t="s">
        <v>298</v>
      </c>
      <c r="CP5" s="273">
        <v>44392</v>
      </c>
      <c r="CQ5" s="271">
        <v>18111.57</v>
      </c>
      <c r="CR5" s="268">
        <v>20</v>
      </c>
      <c r="CS5" s="1053">
        <v>18428.46</v>
      </c>
      <c r="CT5" s="147">
        <f>CQ5-CS5</f>
        <v>-316.88999999999942</v>
      </c>
      <c r="CU5" s="687"/>
      <c r="CV5" s="267"/>
      <c r="CW5" s="1116" t="s">
        <v>83</v>
      </c>
      <c r="CX5" s="929" t="s">
        <v>102</v>
      </c>
      <c r="CY5" s="269" t="s">
        <v>299</v>
      </c>
      <c r="CZ5" s="273">
        <v>44393</v>
      </c>
      <c r="DA5" s="271">
        <v>17560.47</v>
      </c>
      <c r="DB5" s="268">
        <v>20</v>
      </c>
      <c r="DC5" s="1053">
        <v>17595.099999999999</v>
      </c>
      <c r="DD5" s="147">
        <f>DA5-DC5</f>
        <v>-34.629999999997381</v>
      </c>
      <c r="DE5" s="687"/>
      <c r="DF5" s="267"/>
      <c r="DG5" s="267" t="s">
        <v>83</v>
      </c>
      <c r="DH5" s="1021" t="s">
        <v>102</v>
      </c>
      <c r="DI5" s="272" t="s">
        <v>300</v>
      </c>
      <c r="DJ5" s="273">
        <v>44393</v>
      </c>
      <c r="DK5" s="271">
        <v>17728.400000000001</v>
      </c>
      <c r="DL5" s="268">
        <v>20</v>
      </c>
      <c r="DM5" s="1053">
        <v>17730.8</v>
      </c>
      <c r="DN5" s="147">
        <f>DK5-DM5</f>
        <v>-2.3999999999978172</v>
      </c>
      <c r="DO5" s="687"/>
      <c r="DP5" s="267"/>
      <c r="DQ5" s="267" t="s">
        <v>83</v>
      </c>
      <c r="DR5" s="1021" t="s">
        <v>102</v>
      </c>
      <c r="DS5" s="272" t="s">
        <v>329</v>
      </c>
      <c r="DT5" s="273">
        <v>44397</v>
      </c>
      <c r="DU5" s="271">
        <v>18974.37</v>
      </c>
      <c r="DV5" s="268">
        <v>21</v>
      </c>
      <c r="DW5" s="1053">
        <v>18970.599999999999</v>
      </c>
      <c r="DX5" s="147">
        <f>DU5-DW5</f>
        <v>3.7700000000004366</v>
      </c>
      <c r="DY5" s="354"/>
      <c r="DZ5" s="267"/>
      <c r="EA5" s="267" t="s">
        <v>83</v>
      </c>
      <c r="EB5" s="929" t="s">
        <v>102</v>
      </c>
      <c r="EC5" s="272" t="s">
        <v>330</v>
      </c>
      <c r="ED5" s="273">
        <v>44398</v>
      </c>
      <c r="EE5" s="271">
        <v>18966.86</v>
      </c>
      <c r="EF5" s="268">
        <v>21</v>
      </c>
      <c r="EG5" s="1053">
        <v>18992.2</v>
      </c>
      <c r="EH5" s="147">
        <f>EE5-EG5</f>
        <v>-25.340000000000146</v>
      </c>
      <c r="EI5" s="687"/>
      <c r="EJ5" s="267" t="s">
        <v>52</v>
      </c>
      <c r="EK5" s="267" t="s">
        <v>277</v>
      </c>
      <c r="EL5" s="1016" t="s">
        <v>278</v>
      </c>
      <c r="EM5" s="274" t="s">
        <v>331</v>
      </c>
      <c r="EN5" s="273">
        <v>44399</v>
      </c>
      <c r="EO5" s="271">
        <v>18606.96</v>
      </c>
      <c r="EP5" s="268">
        <v>20</v>
      </c>
      <c r="EQ5" s="1039">
        <v>18631.2</v>
      </c>
      <c r="ER5" s="147">
        <f>EO5-EQ5</f>
        <v>-24.240000000001601</v>
      </c>
      <c r="ES5" s="687"/>
      <c r="ET5" s="267"/>
      <c r="EU5" s="267" t="s">
        <v>83</v>
      </c>
      <c r="EV5" s="929" t="s">
        <v>102</v>
      </c>
      <c r="EW5" s="272" t="s">
        <v>332</v>
      </c>
      <c r="EX5" s="273">
        <v>44400</v>
      </c>
      <c r="EY5" s="271">
        <v>18873.689999999999</v>
      </c>
      <c r="EZ5" s="268">
        <v>21</v>
      </c>
      <c r="FA5" s="1053">
        <v>18921.7</v>
      </c>
      <c r="FB5" s="147">
        <f>EY5-FA5</f>
        <v>-48.010000000002037</v>
      </c>
      <c r="FC5" s="687"/>
      <c r="FD5" s="267"/>
      <c r="FE5" s="267" t="s">
        <v>333</v>
      </c>
      <c r="FF5" s="929" t="s">
        <v>102</v>
      </c>
      <c r="FG5" s="272" t="s">
        <v>334</v>
      </c>
      <c r="FH5" s="273">
        <v>44400</v>
      </c>
      <c r="FI5" s="271">
        <v>18670.79</v>
      </c>
      <c r="FJ5" s="268">
        <v>21</v>
      </c>
      <c r="FK5" s="1039">
        <v>18681.2</v>
      </c>
      <c r="FL5" s="147">
        <f>FI5-FK5</f>
        <v>-10.409999999999854</v>
      </c>
      <c r="FM5" s="687"/>
      <c r="FN5" s="267"/>
      <c r="FO5" s="599" t="s">
        <v>277</v>
      </c>
      <c r="FP5" s="1016" t="s">
        <v>278</v>
      </c>
      <c r="FQ5" s="272" t="s">
        <v>335</v>
      </c>
      <c r="FR5" s="273">
        <v>44401</v>
      </c>
      <c r="FS5" s="271">
        <v>18785.68</v>
      </c>
      <c r="FT5" s="268">
        <v>20</v>
      </c>
      <c r="FU5" s="1053">
        <v>18876.14</v>
      </c>
      <c r="FV5" s="147">
        <f>FS5-FU5</f>
        <v>-90.459999999999127</v>
      </c>
      <c r="FW5" s="687"/>
      <c r="FX5" s="267"/>
      <c r="FY5" s="275" t="s">
        <v>83</v>
      </c>
      <c r="FZ5" s="929" t="s">
        <v>102</v>
      </c>
      <c r="GA5" s="274" t="s">
        <v>375</v>
      </c>
      <c r="GB5" s="273">
        <v>44404</v>
      </c>
      <c r="GC5" s="271">
        <v>18528.189999999999</v>
      </c>
      <c r="GD5" s="268">
        <v>21</v>
      </c>
      <c r="GE5" s="1053">
        <v>18562.099999999999</v>
      </c>
      <c r="GF5" s="147">
        <f>GC5-GE5</f>
        <v>-33.909999999999854</v>
      </c>
      <c r="GG5" s="687"/>
      <c r="GH5" s="267"/>
      <c r="GI5" s="267" t="s">
        <v>83</v>
      </c>
      <c r="GJ5" s="929" t="s">
        <v>102</v>
      </c>
      <c r="GK5" s="272" t="s">
        <v>376</v>
      </c>
      <c r="GL5" s="270">
        <v>44404</v>
      </c>
      <c r="GM5" s="271">
        <v>18836.849999999999</v>
      </c>
      <c r="GN5" s="268">
        <v>21</v>
      </c>
      <c r="GO5" s="1053">
        <v>18882.400000000001</v>
      </c>
      <c r="GP5" s="147">
        <f>GM5-GO5</f>
        <v>-45.55000000000291</v>
      </c>
      <c r="GQ5" s="687"/>
      <c r="GR5" s="267"/>
      <c r="GS5" s="267" t="s">
        <v>277</v>
      </c>
      <c r="GT5" s="1016" t="s">
        <v>278</v>
      </c>
      <c r="GU5" s="268" t="s">
        <v>379</v>
      </c>
      <c r="GV5" s="270">
        <v>44405</v>
      </c>
      <c r="GW5" s="271">
        <v>18824.84</v>
      </c>
      <c r="GX5" s="268">
        <v>20</v>
      </c>
      <c r="GY5" s="1053">
        <v>18783.54</v>
      </c>
      <c r="GZ5" s="147">
        <f>GW5-GY5</f>
        <v>41.299999999999272</v>
      </c>
      <c r="HA5" s="687"/>
      <c r="HB5" s="267"/>
      <c r="HC5" s="1115" t="s">
        <v>277</v>
      </c>
      <c r="HD5" s="1016" t="s">
        <v>380</v>
      </c>
      <c r="HE5" s="272" t="s">
        <v>381</v>
      </c>
      <c r="HF5" s="270">
        <v>44406</v>
      </c>
      <c r="HG5" s="271">
        <v>18923.88</v>
      </c>
      <c r="HH5" s="268">
        <v>20</v>
      </c>
      <c r="HI5" s="1053">
        <v>19009.060000000001</v>
      </c>
      <c r="HJ5" s="147">
        <f>HG5-HI5</f>
        <v>-85.180000000000291</v>
      </c>
      <c r="HK5" s="687"/>
      <c r="HL5" s="267"/>
      <c r="HM5" s="267" t="s">
        <v>83</v>
      </c>
      <c r="HN5" s="929" t="s">
        <v>102</v>
      </c>
      <c r="HO5" s="272" t="s">
        <v>382</v>
      </c>
      <c r="HP5" s="273">
        <v>44407</v>
      </c>
      <c r="HQ5" s="271">
        <v>18892.21</v>
      </c>
      <c r="HR5" s="268">
        <v>21</v>
      </c>
      <c r="HS5" s="1039">
        <v>18979.099999999999</v>
      </c>
      <c r="HT5" s="147">
        <f>HQ5-HS5</f>
        <v>-86.889999999999418</v>
      </c>
      <c r="HU5" s="687"/>
      <c r="HV5" s="267"/>
      <c r="HW5" s="267" t="s">
        <v>383</v>
      </c>
      <c r="HX5" s="929" t="s">
        <v>102</v>
      </c>
      <c r="HY5" s="272" t="s">
        <v>384</v>
      </c>
      <c r="HZ5" s="273">
        <v>44407</v>
      </c>
      <c r="IA5" s="271">
        <v>18932.599999999999</v>
      </c>
      <c r="IB5" s="268">
        <v>21</v>
      </c>
      <c r="IC5" s="1053">
        <v>18988.7</v>
      </c>
      <c r="ID5" s="147">
        <f>IA5-IC5</f>
        <v>-56.100000000002183</v>
      </c>
      <c r="IE5" s="687"/>
      <c r="IF5" s="267"/>
      <c r="IG5" s="267"/>
      <c r="IH5" s="929"/>
      <c r="II5" s="272"/>
      <c r="IJ5" s="273"/>
      <c r="IK5" s="271"/>
      <c r="IL5" s="268"/>
      <c r="IM5" s="266"/>
      <c r="IN5" s="147">
        <f>IK5-IM5</f>
        <v>0</v>
      </c>
      <c r="IO5" s="687"/>
      <c r="IP5" s="267"/>
      <c r="IQ5" s="992"/>
      <c r="IR5" s="993"/>
      <c r="IS5" s="274"/>
      <c r="IT5" s="270"/>
      <c r="IU5" s="271"/>
      <c r="IV5" s="268"/>
      <c r="IW5" s="266"/>
      <c r="IX5" s="147">
        <f>IU5-IW5</f>
        <v>0</v>
      </c>
      <c r="IY5" s="687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7"/>
      <c r="JJ5" s="267"/>
      <c r="JK5" s="998"/>
      <c r="JL5" s="581"/>
      <c r="JM5" s="272"/>
      <c r="JN5" s="273"/>
      <c r="JO5" s="271"/>
      <c r="JP5" s="268"/>
      <c r="JQ5" s="296"/>
      <c r="JR5" s="147">
        <f>JO5-JQ5</f>
        <v>0</v>
      </c>
      <c r="JS5" s="687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7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7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7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7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7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7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67370448</v>
      </c>
      <c r="E6" s="144">
        <f t="shared" si="2"/>
        <v>44385</v>
      </c>
      <c r="F6" s="90">
        <f t="shared" si="2"/>
        <v>18202.98</v>
      </c>
      <c r="G6" s="76">
        <f t="shared" si="2"/>
        <v>20</v>
      </c>
      <c r="H6" s="49">
        <f t="shared" si="2"/>
        <v>18212.54</v>
      </c>
      <c r="I6" s="110">
        <f>AL5</f>
        <v>-9.5600000000013097</v>
      </c>
      <c r="K6" s="998" t="s">
        <v>83</v>
      </c>
      <c r="L6" s="990" t="s">
        <v>102</v>
      </c>
      <c r="M6" s="272" t="s">
        <v>250</v>
      </c>
      <c r="N6" s="273">
        <v>44380</v>
      </c>
      <c r="O6" s="271">
        <v>18636.759999999998</v>
      </c>
      <c r="P6" s="268">
        <v>21</v>
      </c>
      <c r="Q6" s="1039">
        <v>18757</v>
      </c>
      <c r="R6" s="147">
        <f>O6-Q6</f>
        <v>-120.2400000000016</v>
      </c>
      <c r="S6" s="687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16"/>
      <c r="AZ6" s="1021" t="s">
        <v>102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15"/>
      <c r="CN6" s="763"/>
      <c r="CO6" s="267"/>
      <c r="CP6" s="267"/>
      <c r="CQ6" s="267"/>
      <c r="CR6" s="267"/>
      <c r="CS6" s="268"/>
      <c r="CT6" s="267"/>
      <c r="CU6" s="354"/>
      <c r="CV6" s="267"/>
      <c r="CW6" s="1116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15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899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98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6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4"/>
      <c r="OK6" s="280"/>
      <c r="OL6" s="267"/>
      <c r="OM6" s="267"/>
      <c r="ON6" s="267"/>
      <c r="OO6" s="267"/>
      <c r="OP6" s="268"/>
      <c r="OT6" s="734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SEABOARD FOODS</v>
      </c>
      <c r="C7" s="79" t="str">
        <f t="shared" ref="C7:I7" si="3">AP5</f>
        <v>Seaboard</v>
      </c>
      <c r="D7" s="107" t="str">
        <f t="shared" si="3"/>
        <v>PED. 67376353</v>
      </c>
      <c r="E7" s="144">
        <f t="shared" si="3"/>
        <v>44386</v>
      </c>
      <c r="F7" s="90">
        <f t="shared" si="3"/>
        <v>18357.259999999998</v>
      </c>
      <c r="G7" s="76">
        <f t="shared" si="3"/>
        <v>21</v>
      </c>
      <c r="H7" s="49">
        <f t="shared" si="3"/>
        <v>18364.599999999999</v>
      </c>
      <c r="I7" s="110">
        <f t="shared" si="3"/>
        <v>-7.3400000000001455</v>
      </c>
      <c r="K7" s="998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88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84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88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88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88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88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88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88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88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88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88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88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88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88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88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88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88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88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88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88"/>
      <c r="IQ7" s="672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88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88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88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88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88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88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88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88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88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 t="str">
        <f>AY5</f>
        <v>SEABOARD FOODS</v>
      </c>
      <c r="C8" s="79" t="str">
        <f t="shared" ref="C8:I8" si="4">AZ5</f>
        <v>Pernil con piel</v>
      </c>
      <c r="D8" s="107" t="str">
        <f t="shared" si="4"/>
        <v>PED. 67376354</v>
      </c>
      <c r="E8" s="144">
        <f t="shared" si="4"/>
        <v>44386</v>
      </c>
      <c r="F8" s="90">
        <f t="shared" si="4"/>
        <v>18402.41</v>
      </c>
      <c r="G8" s="76">
        <f t="shared" si="4"/>
        <v>21</v>
      </c>
      <c r="H8" s="49">
        <f t="shared" si="4"/>
        <v>18427.099999999999</v>
      </c>
      <c r="I8" s="110">
        <f t="shared" si="4"/>
        <v>-24.68999999999869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88"/>
      <c r="T8" s="267"/>
      <c r="U8" s="64"/>
      <c r="V8" s="111"/>
      <c r="W8" s="15">
        <v>1</v>
      </c>
      <c r="X8" s="306">
        <v>847.76</v>
      </c>
      <c r="Y8" s="362">
        <v>44384</v>
      </c>
      <c r="Z8" s="306">
        <v>847.76</v>
      </c>
      <c r="AA8" s="422" t="s">
        <v>420</v>
      </c>
      <c r="AB8" s="292">
        <v>43</v>
      </c>
      <c r="AC8" s="354">
        <f>Z8*AB8</f>
        <v>36453.68</v>
      </c>
      <c r="AE8" s="64"/>
      <c r="AF8" s="111"/>
      <c r="AG8" s="15">
        <v>1</v>
      </c>
      <c r="AH8" s="96">
        <v>944.83</v>
      </c>
      <c r="AI8" s="357">
        <v>44385</v>
      </c>
      <c r="AJ8" s="72">
        <v>944.83</v>
      </c>
      <c r="AK8" s="99" t="s">
        <v>427</v>
      </c>
      <c r="AL8" s="74">
        <v>45</v>
      </c>
      <c r="AM8" s="684">
        <f>AL8*AJ8</f>
        <v>42517.35</v>
      </c>
      <c r="AO8" s="64"/>
      <c r="AP8" s="111"/>
      <c r="AQ8" s="15">
        <v>1</v>
      </c>
      <c r="AR8" s="389">
        <v>879.5</v>
      </c>
      <c r="AS8" s="362">
        <v>44386</v>
      </c>
      <c r="AT8" s="389">
        <v>879.5</v>
      </c>
      <c r="AU8" s="350" t="s">
        <v>435</v>
      </c>
      <c r="AV8" s="292">
        <v>46</v>
      </c>
      <c r="AW8" s="354">
        <f>AV8*AT8</f>
        <v>40457</v>
      </c>
      <c r="AY8" s="64"/>
      <c r="AZ8" s="111"/>
      <c r="BA8" s="15">
        <v>1</v>
      </c>
      <c r="BB8" s="96">
        <v>861.4</v>
      </c>
      <c r="BC8" s="144">
        <v>44386</v>
      </c>
      <c r="BD8" s="96">
        <v>861.4</v>
      </c>
      <c r="BE8" s="99" t="s">
        <v>437</v>
      </c>
      <c r="BF8" s="416">
        <v>46</v>
      </c>
      <c r="BG8" s="704">
        <f>BF8*BD8</f>
        <v>39624.400000000001</v>
      </c>
      <c r="BI8" s="64"/>
      <c r="BJ8" s="111"/>
      <c r="BK8" s="15">
        <v>1</v>
      </c>
      <c r="BL8" s="96">
        <v>875</v>
      </c>
      <c r="BM8" s="144">
        <v>44390</v>
      </c>
      <c r="BN8" s="96">
        <v>875</v>
      </c>
      <c r="BO8" s="99" t="s">
        <v>458</v>
      </c>
      <c r="BP8" s="416">
        <v>48</v>
      </c>
      <c r="BQ8" s="704">
        <f>BP8*BN8</f>
        <v>42000</v>
      </c>
      <c r="BS8" s="64"/>
      <c r="BT8" s="111"/>
      <c r="BU8" s="15">
        <v>1</v>
      </c>
      <c r="BV8" s="96">
        <v>801.5</v>
      </c>
      <c r="BW8" s="417">
        <v>44390</v>
      </c>
      <c r="BX8" s="96">
        <v>801.5</v>
      </c>
      <c r="BY8" s="418" t="s">
        <v>457</v>
      </c>
      <c r="BZ8" s="419">
        <v>48</v>
      </c>
      <c r="CA8" s="676">
        <f>BZ8*BX8</f>
        <v>38472</v>
      </c>
      <c r="CC8" s="64"/>
      <c r="CD8" s="111"/>
      <c r="CE8" s="15">
        <v>1</v>
      </c>
      <c r="CF8" s="96">
        <v>888.58</v>
      </c>
      <c r="CG8" s="417">
        <v>44391</v>
      </c>
      <c r="CH8" s="96">
        <v>888.58</v>
      </c>
      <c r="CI8" s="420" t="s">
        <v>469</v>
      </c>
      <c r="CJ8" s="419">
        <v>48</v>
      </c>
      <c r="CK8" s="676">
        <f>CJ8*CH8</f>
        <v>42651.840000000004</v>
      </c>
      <c r="CM8" s="64"/>
      <c r="CN8" s="98"/>
      <c r="CO8" s="15">
        <v>1</v>
      </c>
      <c r="CP8" s="96">
        <v>911.26</v>
      </c>
      <c r="CQ8" s="417">
        <v>44392</v>
      </c>
      <c r="CR8" s="306">
        <v>911.26</v>
      </c>
      <c r="CS8" s="420" t="s">
        <v>473</v>
      </c>
      <c r="CT8" s="419">
        <v>49</v>
      </c>
      <c r="CU8" s="689">
        <f>CT8*CR8</f>
        <v>44651.74</v>
      </c>
      <c r="CW8" s="64"/>
      <c r="CX8" s="111"/>
      <c r="CY8" s="15">
        <v>1</v>
      </c>
      <c r="CZ8" s="96">
        <v>890.4</v>
      </c>
      <c r="DA8" s="357">
        <v>44393</v>
      </c>
      <c r="DB8" s="96">
        <v>890.4</v>
      </c>
      <c r="DC8" s="99" t="s">
        <v>481</v>
      </c>
      <c r="DD8" s="74">
        <v>50</v>
      </c>
      <c r="DE8" s="676">
        <f>DD8*DB8</f>
        <v>44520</v>
      </c>
      <c r="DG8" s="64"/>
      <c r="DH8" s="111"/>
      <c r="DI8" s="15">
        <v>1</v>
      </c>
      <c r="DJ8" s="96">
        <v>887.7</v>
      </c>
      <c r="DK8" s="417">
        <v>44393</v>
      </c>
      <c r="DL8" s="96">
        <v>887.7</v>
      </c>
      <c r="DM8" s="420" t="s">
        <v>484</v>
      </c>
      <c r="DN8" s="419">
        <v>50</v>
      </c>
      <c r="DO8" s="689">
        <f>DN8*DL8</f>
        <v>44385</v>
      </c>
      <c r="DQ8" s="64"/>
      <c r="DR8" s="111"/>
      <c r="DS8" s="15">
        <v>1</v>
      </c>
      <c r="DT8" s="96">
        <v>899.9</v>
      </c>
      <c r="DU8" s="417">
        <v>44397</v>
      </c>
      <c r="DV8" s="96">
        <v>899.9</v>
      </c>
      <c r="DW8" s="420" t="s">
        <v>505</v>
      </c>
      <c r="DX8" s="419">
        <v>52</v>
      </c>
      <c r="DY8" s="676">
        <f>DX8*DV8</f>
        <v>46794.799999999996</v>
      </c>
      <c r="EA8" s="64"/>
      <c r="EB8" s="111"/>
      <c r="EC8" s="15">
        <v>1</v>
      </c>
      <c r="ED8" s="96">
        <v>924.9</v>
      </c>
      <c r="EE8" s="373">
        <v>44398</v>
      </c>
      <c r="EF8" s="72">
        <v>924.9</v>
      </c>
      <c r="EG8" s="73" t="s">
        <v>511</v>
      </c>
      <c r="EH8" s="74">
        <v>52</v>
      </c>
      <c r="EI8" s="676">
        <f>EH8*EF8</f>
        <v>48094.799999999996</v>
      </c>
      <c r="EK8" s="64"/>
      <c r="EL8" s="472"/>
      <c r="EM8" s="15">
        <v>1</v>
      </c>
      <c r="EN8" s="306">
        <v>929.41</v>
      </c>
      <c r="EO8" s="362">
        <v>44399</v>
      </c>
      <c r="EP8" s="306">
        <v>929.41</v>
      </c>
      <c r="EQ8" s="291" t="s">
        <v>521</v>
      </c>
      <c r="ER8" s="292">
        <v>52</v>
      </c>
      <c r="ES8" s="676">
        <f>ER8*EP8</f>
        <v>48329.32</v>
      </c>
      <c r="EU8" s="64"/>
      <c r="EV8" s="111"/>
      <c r="EW8" s="15">
        <v>1</v>
      </c>
      <c r="EX8" s="96">
        <v>864.1</v>
      </c>
      <c r="EY8" s="373">
        <v>44400</v>
      </c>
      <c r="EZ8" s="72">
        <v>864.1</v>
      </c>
      <c r="FA8" s="291" t="s">
        <v>528</v>
      </c>
      <c r="FB8" s="74">
        <v>52</v>
      </c>
      <c r="FC8" s="354">
        <f>FB8*EZ8</f>
        <v>44933.200000000004</v>
      </c>
      <c r="FE8" s="64"/>
      <c r="FF8" s="472"/>
      <c r="FG8" s="15">
        <v>1</v>
      </c>
      <c r="FH8" s="306">
        <v>892.2</v>
      </c>
      <c r="FI8" s="362">
        <v>44400</v>
      </c>
      <c r="FJ8" s="306">
        <v>892.2</v>
      </c>
      <c r="FK8" s="421" t="s">
        <v>523</v>
      </c>
      <c r="FL8" s="292">
        <v>52</v>
      </c>
      <c r="FM8" s="676">
        <f>FL8*FJ8</f>
        <v>46394.400000000001</v>
      </c>
      <c r="FO8" s="64"/>
      <c r="FP8" s="111"/>
      <c r="FQ8" s="15">
        <v>1</v>
      </c>
      <c r="FR8" s="96">
        <v>930.77</v>
      </c>
      <c r="FS8" s="357">
        <v>44401</v>
      </c>
      <c r="FT8" s="96">
        <v>930.77</v>
      </c>
      <c r="FU8" s="73" t="s">
        <v>537</v>
      </c>
      <c r="FV8" s="74">
        <v>54</v>
      </c>
      <c r="FW8" s="676">
        <f>FV8*FT8</f>
        <v>50261.58</v>
      </c>
      <c r="FY8" s="64"/>
      <c r="FZ8" s="111"/>
      <c r="GA8" s="15">
        <v>1</v>
      </c>
      <c r="GB8" s="306">
        <v>795.1</v>
      </c>
      <c r="GC8" s="573">
        <v>44404</v>
      </c>
      <c r="GD8" s="306">
        <v>795.1</v>
      </c>
      <c r="GE8" s="291" t="s">
        <v>515</v>
      </c>
      <c r="GF8" s="292">
        <v>54</v>
      </c>
      <c r="GG8" s="354">
        <f>GF8*GD8</f>
        <v>42935.4</v>
      </c>
      <c r="GI8" s="64"/>
      <c r="GJ8" s="111"/>
      <c r="GK8" s="15">
        <v>1</v>
      </c>
      <c r="GL8" s="550">
        <v>892.2</v>
      </c>
      <c r="GM8" s="357">
        <v>44404</v>
      </c>
      <c r="GN8" s="577">
        <v>892.2</v>
      </c>
      <c r="GO8" s="99" t="s">
        <v>547</v>
      </c>
      <c r="GP8" s="74">
        <v>54</v>
      </c>
      <c r="GQ8" s="676">
        <f>GP8*GN8</f>
        <v>48178.8</v>
      </c>
      <c r="GS8" s="64"/>
      <c r="GT8" s="111"/>
      <c r="GU8" s="15">
        <v>1</v>
      </c>
      <c r="GV8" s="96">
        <v>916.25</v>
      </c>
      <c r="GW8" s="357">
        <v>44405</v>
      </c>
      <c r="GX8" s="691">
        <v>916.25</v>
      </c>
      <c r="GY8" s="99" t="s">
        <v>551</v>
      </c>
      <c r="GZ8" s="74">
        <v>54</v>
      </c>
      <c r="HA8" s="676">
        <f>GZ8*GX8</f>
        <v>49477.5</v>
      </c>
      <c r="HC8" s="64"/>
      <c r="HD8" s="111"/>
      <c r="HE8" s="15">
        <v>1</v>
      </c>
      <c r="HF8" s="96">
        <v>948.91</v>
      </c>
      <c r="HG8" s="357">
        <v>44407</v>
      </c>
      <c r="HH8" s="96">
        <v>948.91</v>
      </c>
      <c r="HI8" s="99" t="s">
        <v>558</v>
      </c>
      <c r="HJ8" s="74">
        <v>54</v>
      </c>
      <c r="HK8" s="676">
        <f>HJ8*HH8</f>
        <v>51241.14</v>
      </c>
      <c r="HM8" s="64"/>
      <c r="HN8" s="111"/>
      <c r="HO8" s="15">
        <v>1</v>
      </c>
      <c r="HP8" s="306">
        <v>897.7</v>
      </c>
      <c r="HQ8" s="362">
        <v>44408</v>
      </c>
      <c r="HR8" s="306">
        <v>897.7</v>
      </c>
      <c r="HS8" s="422" t="s">
        <v>567</v>
      </c>
      <c r="HT8" s="292">
        <v>54</v>
      </c>
      <c r="HU8" s="354">
        <f>HT8*HR8</f>
        <v>48475.8</v>
      </c>
      <c r="HW8" s="64"/>
      <c r="HX8" s="111"/>
      <c r="HY8" s="15">
        <v>1</v>
      </c>
      <c r="HZ8" s="96">
        <v>918.1</v>
      </c>
      <c r="IA8" s="373">
        <v>44407</v>
      </c>
      <c r="IB8" s="72">
        <v>918.1</v>
      </c>
      <c r="IC8" s="73" t="s">
        <v>559</v>
      </c>
      <c r="ID8" s="74">
        <v>54</v>
      </c>
      <c r="IE8" s="676">
        <f>ID8*IB8</f>
        <v>49577.4</v>
      </c>
      <c r="IG8" s="64"/>
      <c r="IH8" s="111"/>
      <c r="II8" s="15">
        <v>1</v>
      </c>
      <c r="IJ8" s="96"/>
      <c r="IK8" s="373"/>
      <c r="IL8" s="72"/>
      <c r="IM8" s="73"/>
      <c r="IN8" s="74"/>
      <c r="IO8" s="676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6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6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6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6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6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6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6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6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67598629</v>
      </c>
      <c r="E9" s="144">
        <f t="shared" si="6"/>
        <v>44390</v>
      </c>
      <c r="F9" s="90">
        <f t="shared" si="6"/>
        <v>17426</v>
      </c>
      <c r="G9" s="76">
        <f t="shared" si="6"/>
        <v>20</v>
      </c>
      <c r="H9" s="49">
        <f t="shared" si="6"/>
        <v>17415.2</v>
      </c>
      <c r="I9" s="110">
        <f>BP5</f>
        <v>10.799999999999272</v>
      </c>
      <c r="K9" s="424"/>
      <c r="L9" s="425"/>
      <c r="M9" s="15">
        <v>1</v>
      </c>
      <c r="N9" s="96">
        <v>845.9</v>
      </c>
      <c r="O9" s="357">
        <v>44383</v>
      </c>
      <c r="P9" s="96">
        <v>845.9</v>
      </c>
      <c r="Q9" s="73" t="s">
        <v>409</v>
      </c>
      <c r="R9" s="74">
        <v>43</v>
      </c>
      <c r="S9" s="676">
        <f>R9*P9</f>
        <v>36373.699999999997</v>
      </c>
      <c r="T9" s="267"/>
      <c r="V9" s="98"/>
      <c r="W9" s="15">
        <v>2</v>
      </c>
      <c r="X9" s="306">
        <v>850.48</v>
      </c>
      <c r="Y9" s="362">
        <v>44384</v>
      </c>
      <c r="Z9" s="306">
        <v>850.48</v>
      </c>
      <c r="AA9" s="422" t="s">
        <v>420</v>
      </c>
      <c r="AB9" s="292">
        <v>43</v>
      </c>
      <c r="AC9" s="354">
        <f t="shared" ref="AC9:AC29" si="7">Z9*AB9</f>
        <v>36570.639999999999</v>
      </c>
      <c r="AF9" s="98"/>
      <c r="AG9" s="15">
        <v>2</v>
      </c>
      <c r="AH9" s="96">
        <v>884.95</v>
      </c>
      <c r="AI9" s="357">
        <v>44385</v>
      </c>
      <c r="AJ9" s="96">
        <v>884.95</v>
      </c>
      <c r="AK9" s="99" t="s">
        <v>427</v>
      </c>
      <c r="AL9" s="74">
        <v>45</v>
      </c>
      <c r="AM9" s="684">
        <f t="shared" ref="AM9:AM29" si="8">AL9*AJ9</f>
        <v>39822.75</v>
      </c>
      <c r="AP9" s="98"/>
      <c r="AQ9" s="15">
        <v>2</v>
      </c>
      <c r="AR9" s="351">
        <v>859.6</v>
      </c>
      <c r="AS9" s="362">
        <v>44386</v>
      </c>
      <c r="AT9" s="351">
        <v>859.6</v>
      </c>
      <c r="AU9" s="350" t="s">
        <v>435</v>
      </c>
      <c r="AV9" s="292">
        <v>46</v>
      </c>
      <c r="AW9" s="354">
        <f t="shared" ref="AW9:AW29" si="9">AV9*AT9</f>
        <v>39541.599999999999</v>
      </c>
      <c r="AZ9" s="111"/>
      <c r="BA9" s="15">
        <v>2</v>
      </c>
      <c r="BB9" s="96">
        <v>880.4</v>
      </c>
      <c r="BC9" s="144">
        <v>44386</v>
      </c>
      <c r="BD9" s="96">
        <v>880.4</v>
      </c>
      <c r="BE9" s="99" t="s">
        <v>437</v>
      </c>
      <c r="BF9" s="416">
        <v>46</v>
      </c>
      <c r="BG9" s="704">
        <f t="shared" ref="BG9:BG29" si="10">BF9*BD9</f>
        <v>40498.400000000001</v>
      </c>
      <c r="BJ9" s="98"/>
      <c r="BK9" s="15">
        <v>2</v>
      </c>
      <c r="BL9" s="96">
        <v>858.6</v>
      </c>
      <c r="BM9" s="144">
        <v>44390</v>
      </c>
      <c r="BN9" s="96">
        <v>858.6</v>
      </c>
      <c r="BO9" s="99" t="s">
        <v>458</v>
      </c>
      <c r="BP9" s="416">
        <v>48</v>
      </c>
      <c r="BQ9" s="704">
        <f t="shared" ref="BQ9:BQ29" si="11">BP9*BN9</f>
        <v>41212.800000000003</v>
      </c>
      <c r="BT9" s="111"/>
      <c r="BU9" s="15">
        <v>2</v>
      </c>
      <c r="BV9" s="96">
        <v>859.6</v>
      </c>
      <c r="BW9" s="417">
        <v>44390</v>
      </c>
      <c r="BX9" s="96">
        <v>859.6</v>
      </c>
      <c r="BY9" s="418" t="s">
        <v>457</v>
      </c>
      <c r="BZ9" s="419">
        <v>48</v>
      </c>
      <c r="CA9" s="676">
        <f t="shared" ref="CA9:CA28" si="12">BZ9*BX9</f>
        <v>41260.800000000003</v>
      </c>
      <c r="CD9" s="98"/>
      <c r="CE9" s="15">
        <v>2</v>
      </c>
      <c r="CF9" s="96">
        <v>949.82</v>
      </c>
      <c r="CG9" s="417">
        <v>44391</v>
      </c>
      <c r="CH9" s="96">
        <v>949.82</v>
      </c>
      <c r="CI9" s="420" t="s">
        <v>469</v>
      </c>
      <c r="CJ9" s="419">
        <v>48</v>
      </c>
      <c r="CK9" s="676">
        <f t="shared" ref="CK9:CK29" si="13">CJ9*CH9</f>
        <v>45591.360000000001</v>
      </c>
      <c r="CN9" s="98"/>
      <c r="CO9" s="15">
        <v>2</v>
      </c>
      <c r="CP9" s="96">
        <v>894.48</v>
      </c>
      <c r="CQ9" s="417">
        <v>44392</v>
      </c>
      <c r="CR9" s="96">
        <v>894.48</v>
      </c>
      <c r="CS9" s="420" t="s">
        <v>473</v>
      </c>
      <c r="CT9" s="419">
        <v>49</v>
      </c>
      <c r="CU9" s="689">
        <f>CT9*CR9</f>
        <v>43829.520000000004</v>
      </c>
      <c r="CX9" s="98"/>
      <c r="CY9" s="15">
        <v>2</v>
      </c>
      <c r="CZ9" s="96">
        <v>888.6</v>
      </c>
      <c r="DA9" s="357">
        <v>44393</v>
      </c>
      <c r="DB9" s="96">
        <v>888.6</v>
      </c>
      <c r="DC9" s="99" t="s">
        <v>481</v>
      </c>
      <c r="DD9" s="74">
        <v>50</v>
      </c>
      <c r="DE9" s="676">
        <f t="shared" ref="DE9:DE29" si="14">DD9*DB9</f>
        <v>44430</v>
      </c>
      <c r="DH9" s="98"/>
      <c r="DI9" s="15">
        <v>2</v>
      </c>
      <c r="DJ9" s="96">
        <v>900.4</v>
      </c>
      <c r="DK9" s="417">
        <v>44393</v>
      </c>
      <c r="DL9" s="96">
        <v>900.4</v>
      </c>
      <c r="DM9" s="420" t="s">
        <v>484</v>
      </c>
      <c r="DN9" s="419">
        <v>50</v>
      </c>
      <c r="DO9" s="689">
        <f t="shared" ref="DO9:DO29" si="15">DN9*DL9</f>
        <v>45020</v>
      </c>
      <c r="DR9" s="98"/>
      <c r="DS9" s="15">
        <v>2</v>
      </c>
      <c r="DT9" s="96">
        <v>870.9</v>
      </c>
      <c r="DU9" s="417">
        <v>44397</v>
      </c>
      <c r="DV9" s="96">
        <v>870.9</v>
      </c>
      <c r="DW9" s="420" t="s">
        <v>505</v>
      </c>
      <c r="DX9" s="419">
        <v>52</v>
      </c>
      <c r="DY9" s="676">
        <f t="shared" ref="DY9:DY29" si="16">DX9*DV9</f>
        <v>45286.799999999996</v>
      </c>
      <c r="EB9" s="98"/>
      <c r="EC9" s="15">
        <v>2</v>
      </c>
      <c r="ED9" s="72">
        <v>885</v>
      </c>
      <c r="EE9" s="373">
        <v>44398</v>
      </c>
      <c r="EF9" s="72">
        <v>885</v>
      </c>
      <c r="EG9" s="73" t="s">
        <v>511</v>
      </c>
      <c r="EH9" s="74">
        <v>52</v>
      </c>
      <c r="EI9" s="676">
        <f t="shared" ref="EI9:EI28" si="17">EH9*EF9</f>
        <v>46020</v>
      </c>
      <c r="EL9" s="472"/>
      <c r="EM9" s="15">
        <v>2</v>
      </c>
      <c r="EN9" s="306">
        <v>971.59</v>
      </c>
      <c r="EO9" s="362">
        <v>44399</v>
      </c>
      <c r="EP9" s="306">
        <v>971.59</v>
      </c>
      <c r="EQ9" s="291" t="s">
        <v>521</v>
      </c>
      <c r="ER9" s="292">
        <v>52</v>
      </c>
      <c r="ES9" s="676">
        <f t="shared" ref="ES9:ES29" si="18">ER9*EP9</f>
        <v>50522.68</v>
      </c>
      <c r="EV9" s="98"/>
      <c r="EW9" s="15">
        <v>2</v>
      </c>
      <c r="EX9" s="72">
        <v>892.2</v>
      </c>
      <c r="EY9" s="373">
        <v>44400</v>
      </c>
      <c r="EZ9" s="72">
        <v>892.2</v>
      </c>
      <c r="FA9" s="291" t="s">
        <v>528</v>
      </c>
      <c r="FB9" s="74">
        <v>52</v>
      </c>
      <c r="FC9" s="354">
        <f t="shared" ref="FC9:FC29" si="19">FB9*EZ9</f>
        <v>46394.400000000001</v>
      </c>
      <c r="FF9" s="472"/>
      <c r="FG9" s="15">
        <v>2</v>
      </c>
      <c r="FH9" s="306">
        <v>882.2</v>
      </c>
      <c r="FI9" s="362">
        <v>44400</v>
      </c>
      <c r="FJ9" s="306">
        <v>882.2</v>
      </c>
      <c r="FK9" s="291" t="s">
        <v>523</v>
      </c>
      <c r="FL9" s="292">
        <v>52</v>
      </c>
      <c r="FM9" s="676">
        <f t="shared" ref="FM9:FM29" si="20">FL9*FJ9</f>
        <v>45874.400000000001</v>
      </c>
      <c r="FP9" s="98" t="s">
        <v>41</v>
      </c>
      <c r="FQ9" s="15">
        <v>2</v>
      </c>
      <c r="FR9" s="96">
        <v>950.72</v>
      </c>
      <c r="FS9" s="357">
        <v>44401</v>
      </c>
      <c r="FT9" s="96">
        <v>950.72</v>
      </c>
      <c r="FU9" s="73" t="s">
        <v>537</v>
      </c>
      <c r="FV9" s="74">
        <v>54</v>
      </c>
      <c r="FW9" s="676">
        <f t="shared" ref="FW9:FW29" si="21">FV9*FT9</f>
        <v>51338.880000000005</v>
      </c>
      <c r="FZ9" s="98"/>
      <c r="GA9" s="15">
        <v>2</v>
      </c>
      <c r="GB9" s="290">
        <v>894.9</v>
      </c>
      <c r="GC9" s="573">
        <v>44404</v>
      </c>
      <c r="GD9" s="290">
        <v>894.9</v>
      </c>
      <c r="GE9" s="291" t="s">
        <v>515</v>
      </c>
      <c r="GF9" s="292">
        <v>54</v>
      </c>
      <c r="GG9" s="354">
        <f t="shared" ref="GG9:GG29" si="22">GF9*GD9</f>
        <v>48324.6</v>
      </c>
      <c r="GJ9" s="98"/>
      <c r="GK9" s="15">
        <v>2</v>
      </c>
      <c r="GL9" s="551">
        <v>891.3</v>
      </c>
      <c r="GM9" s="357">
        <v>44404</v>
      </c>
      <c r="GN9" s="551">
        <v>891.3</v>
      </c>
      <c r="GO9" s="99" t="s">
        <v>547</v>
      </c>
      <c r="GP9" s="74">
        <v>54</v>
      </c>
      <c r="GQ9" s="676">
        <f t="shared" ref="GQ9:GQ29" si="23">GP9*GN9</f>
        <v>48130.2</v>
      </c>
      <c r="GT9" s="98"/>
      <c r="GU9" s="15">
        <v>2</v>
      </c>
      <c r="GV9" s="110">
        <v>959.34</v>
      </c>
      <c r="GW9" s="357">
        <v>44405</v>
      </c>
      <c r="GX9" s="110">
        <v>959.34</v>
      </c>
      <c r="GY9" s="99" t="s">
        <v>551</v>
      </c>
      <c r="GZ9" s="74">
        <v>54</v>
      </c>
      <c r="HA9" s="676">
        <f t="shared" ref="HA9:HA28" si="24">GZ9*GX9</f>
        <v>51804.36</v>
      </c>
      <c r="HD9" s="98"/>
      <c r="HE9" s="15">
        <v>2</v>
      </c>
      <c r="HF9" s="96">
        <v>953.45</v>
      </c>
      <c r="HG9" s="357">
        <v>44407</v>
      </c>
      <c r="HH9" s="96">
        <v>953.45</v>
      </c>
      <c r="HI9" s="99" t="s">
        <v>558</v>
      </c>
      <c r="HJ9" s="74">
        <v>54</v>
      </c>
      <c r="HK9" s="676">
        <f t="shared" ref="HK9:HK28" si="25">HJ9*HH9</f>
        <v>51486.3</v>
      </c>
      <c r="HN9" s="98"/>
      <c r="HO9" s="15">
        <v>2</v>
      </c>
      <c r="HP9" s="306">
        <v>892.2</v>
      </c>
      <c r="HQ9" s="362">
        <v>44408</v>
      </c>
      <c r="HR9" s="306">
        <v>892.2</v>
      </c>
      <c r="HS9" s="422" t="s">
        <v>567</v>
      </c>
      <c r="HT9" s="292">
        <v>54</v>
      </c>
      <c r="HU9" s="354">
        <f t="shared" ref="HU9:HU29" si="26">HT9*HR9</f>
        <v>48178.8</v>
      </c>
      <c r="HX9" s="111"/>
      <c r="HY9" s="15">
        <v>2</v>
      </c>
      <c r="HZ9" s="72">
        <v>905.4</v>
      </c>
      <c r="IA9" s="373">
        <v>44407</v>
      </c>
      <c r="IB9" s="72">
        <v>905.4</v>
      </c>
      <c r="IC9" s="73" t="s">
        <v>559</v>
      </c>
      <c r="ID9" s="74">
        <v>54</v>
      </c>
      <c r="IE9" s="676">
        <f t="shared" ref="IE9:IE28" si="27">ID9*IB9</f>
        <v>48891.6</v>
      </c>
      <c r="IH9" s="111"/>
      <c r="II9" s="15">
        <v>2</v>
      </c>
      <c r="IJ9" s="72"/>
      <c r="IK9" s="373"/>
      <c r="IL9" s="72"/>
      <c r="IM9" s="73"/>
      <c r="IN9" s="74"/>
      <c r="IO9" s="676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6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6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6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6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6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6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6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6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6">BS5</f>
        <v>SEABOARD FOODS</v>
      </c>
      <c r="C10" s="79" t="str">
        <f t="shared" si="46"/>
        <v>Seaboard</v>
      </c>
      <c r="D10" s="107" t="str">
        <f t="shared" si="46"/>
        <v>PED. 67598934</v>
      </c>
      <c r="E10" s="144">
        <f t="shared" si="46"/>
        <v>44390</v>
      </c>
      <c r="F10" s="90">
        <f t="shared" si="46"/>
        <v>17228.71</v>
      </c>
      <c r="G10" s="76">
        <f t="shared" si="46"/>
        <v>20</v>
      </c>
      <c r="H10" s="49">
        <f t="shared" si="46"/>
        <v>17238.3</v>
      </c>
      <c r="I10" s="110">
        <f t="shared" si="46"/>
        <v>-9.5900000000001455</v>
      </c>
      <c r="L10" s="98"/>
      <c r="M10" s="15">
        <v>2</v>
      </c>
      <c r="N10" s="96">
        <v>868.6</v>
      </c>
      <c r="O10" s="357">
        <v>44383</v>
      </c>
      <c r="P10" s="96">
        <v>868.6</v>
      </c>
      <c r="Q10" s="73" t="s">
        <v>409</v>
      </c>
      <c r="R10" s="74">
        <v>43</v>
      </c>
      <c r="S10" s="676">
        <f t="shared" ref="S10:S28" si="47">R10*P10</f>
        <v>37349.800000000003</v>
      </c>
      <c r="T10" s="267"/>
      <c r="V10" s="98"/>
      <c r="W10" s="15">
        <v>3</v>
      </c>
      <c r="X10" s="306">
        <v>855.02</v>
      </c>
      <c r="Y10" s="362">
        <v>44384</v>
      </c>
      <c r="Z10" s="306">
        <v>855.02</v>
      </c>
      <c r="AA10" s="422" t="s">
        <v>420</v>
      </c>
      <c r="AB10" s="292">
        <v>43</v>
      </c>
      <c r="AC10" s="354">
        <f t="shared" si="7"/>
        <v>36765.86</v>
      </c>
      <c r="AF10" s="98"/>
      <c r="AG10" s="15">
        <v>3</v>
      </c>
      <c r="AH10" s="96">
        <v>891.3</v>
      </c>
      <c r="AI10" s="357">
        <v>44385</v>
      </c>
      <c r="AJ10" s="96">
        <v>891.3</v>
      </c>
      <c r="AK10" s="99" t="s">
        <v>427</v>
      </c>
      <c r="AL10" s="74">
        <v>45</v>
      </c>
      <c r="AM10" s="684">
        <f t="shared" si="8"/>
        <v>40108.5</v>
      </c>
      <c r="AP10" s="98"/>
      <c r="AQ10" s="15">
        <v>3</v>
      </c>
      <c r="AR10" s="351">
        <v>894.9</v>
      </c>
      <c r="AS10" s="362">
        <v>44386</v>
      </c>
      <c r="AT10" s="351">
        <v>894.9</v>
      </c>
      <c r="AU10" s="350" t="s">
        <v>435</v>
      </c>
      <c r="AV10" s="292">
        <v>46</v>
      </c>
      <c r="AW10" s="354">
        <f t="shared" si="9"/>
        <v>41165.4</v>
      </c>
      <c r="AZ10" s="111"/>
      <c r="BA10" s="15">
        <v>3</v>
      </c>
      <c r="BB10" s="96">
        <v>885.9</v>
      </c>
      <c r="BC10" s="144">
        <v>44386</v>
      </c>
      <c r="BD10" s="96">
        <v>885.9</v>
      </c>
      <c r="BE10" s="99" t="s">
        <v>437</v>
      </c>
      <c r="BF10" s="416">
        <v>46</v>
      </c>
      <c r="BG10" s="704">
        <f t="shared" si="10"/>
        <v>40751.4</v>
      </c>
      <c r="BJ10" s="98"/>
      <c r="BK10" s="15">
        <v>3</v>
      </c>
      <c r="BL10" s="96">
        <v>828.7</v>
      </c>
      <c r="BM10" s="144">
        <v>44390</v>
      </c>
      <c r="BN10" s="96">
        <v>828.7</v>
      </c>
      <c r="BO10" s="99" t="s">
        <v>458</v>
      </c>
      <c r="BP10" s="416">
        <v>48</v>
      </c>
      <c r="BQ10" s="704">
        <f t="shared" si="11"/>
        <v>39777.600000000006</v>
      </c>
      <c r="BT10" s="111"/>
      <c r="BU10" s="15">
        <v>3</v>
      </c>
      <c r="BV10" s="96">
        <v>856.8</v>
      </c>
      <c r="BW10" s="417">
        <v>44390</v>
      </c>
      <c r="BX10" s="96">
        <v>856.8</v>
      </c>
      <c r="BY10" s="418" t="s">
        <v>457</v>
      </c>
      <c r="BZ10" s="419">
        <v>48</v>
      </c>
      <c r="CA10" s="676">
        <f t="shared" si="12"/>
        <v>41126.399999999994</v>
      </c>
      <c r="CD10" s="98"/>
      <c r="CE10" s="15">
        <v>3</v>
      </c>
      <c r="CF10" s="96">
        <v>948</v>
      </c>
      <c r="CG10" s="417">
        <v>44391</v>
      </c>
      <c r="CH10" s="96">
        <v>948</v>
      </c>
      <c r="CI10" s="420" t="s">
        <v>469</v>
      </c>
      <c r="CJ10" s="419">
        <v>48</v>
      </c>
      <c r="CK10" s="676">
        <f t="shared" si="13"/>
        <v>45504</v>
      </c>
      <c r="CN10" s="98"/>
      <c r="CO10" s="15">
        <v>3</v>
      </c>
      <c r="CP10" s="96">
        <v>923.06</v>
      </c>
      <c r="CQ10" s="417">
        <v>44392</v>
      </c>
      <c r="CR10" s="96">
        <v>923.06</v>
      </c>
      <c r="CS10" s="420" t="s">
        <v>473</v>
      </c>
      <c r="CT10" s="419">
        <v>49</v>
      </c>
      <c r="CU10" s="689">
        <f t="shared" ref="CU10:CU30" si="48">CT10*CR10</f>
        <v>45229.939999999995</v>
      </c>
      <c r="CX10" s="98"/>
      <c r="CY10" s="15">
        <v>3</v>
      </c>
      <c r="CZ10" s="96">
        <v>881.3</v>
      </c>
      <c r="DA10" s="357">
        <v>44393</v>
      </c>
      <c r="DB10" s="96">
        <v>881.3</v>
      </c>
      <c r="DC10" s="99" t="s">
        <v>481</v>
      </c>
      <c r="DD10" s="74">
        <v>50</v>
      </c>
      <c r="DE10" s="676">
        <f t="shared" si="14"/>
        <v>44065</v>
      </c>
      <c r="DH10" s="98"/>
      <c r="DI10" s="15">
        <v>3</v>
      </c>
      <c r="DJ10" s="96">
        <v>880.4</v>
      </c>
      <c r="DK10" s="417">
        <v>44393</v>
      </c>
      <c r="DL10" s="96">
        <v>880.4</v>
      </c>
      <c r="DM10" s="420" t="s">
        <v>484</v>
      </c>
      <c r="DN10" s="419">
        <v>50</v>
      </c>
      <c r="DO10" s="689">
        <f t="shared" si="15"/>
        <v>44020</v>
      </c>
      <c r="DR10" s="98"/>
      <c r="DS10" s="15">
        <v>3</v>
      </c>
      <c r="DT10" s="96">
        <v>938.9</v>
      </c>
      <c r="DU10" s="417">
        <v>44397</v>
      </c>
      <c r="DV10" s="96">
        <v>938.9</v>
      </c>
      <c r="DW10" s="420" t="s">
        <v>505</v>
      </c>
      <c r="DX10" s="419">
        <v>52</v>
      </c>
      <c r="DY10" s="676">
        <f t="shared" si="16"/>
        <v>48822.799999999996</v>
      </c>
      <c r="EB10" s="98"/>
      <c r="EC10" s="15">
        <v>3</v>
      </c>
      <c r="ED10" s="72">
        <v>921.2</v>
      </c>
      <c r="EE10" s="373">
        <v>44398</v>
      </c>
      <c r="EF10" s="72">
        <v>921.2</v>
      </c>
      <c r="EG10" s="73" t="s">
        <v>511</v>
      </c>
      <c r="EH10" s="74">
        <v>52</v>
      </c>
      <c r="EI10" s="676">
        <f t="shared" si="17"/>
        <v>47902.400000000001</v>
      </c>
      <c r="EL10" s="472"/>
      <c r="EM10" s="15">
        <v>3</v>
      </c>
      <c r="EN10" s="306">
        <v>952.54</v>
      </c>
      <c r="EO10" s="362">
        <v>44399</v>
      </c>
      <c r="EP10" s="306">
        <v>952.54</v>
      </c>
      <c r="EQ10" s="291" t="s">
        <v>521</v>
      </c>
      <c r="ER10" s="292">
        <v>52</v>
      </c>
      <c r="ES10" s="676">
        <f t="shared" si="18"/>
        <v>49532.08</v>
      </c>
      <c r="EV10" s="98"/>
      <c r="EW10" s="15">
        <v>3</v>
      </c>
      <c r="EX10" s="72">
        <v>927.6</v>
      </c>
      <c r="EY10" s="373">
        <v>44400</v>
      </c>
      <c r="EZ10" s="72">
        <v>927.6</v>
      </c>
      <c r="FA10" s="291" t="s">
        <v>528</v>
      </c>
      <c r="FB10" s="74">
        <v>52</v>
      </c>
      <c r="FC10" s="354">
        <f t="shared" si="19"/>
        <v>48235.200000000004</v>
      </c>
      <c r="FF10" s="472"/>
      <c r="FG10" s="15">
        <v>3</v>
      </c>
      <c r="FH10" s="306">
        <v>885.9</v>
      </c>
      <c r="FI10" s="362">
        <v>44400</v>
      </c>
      <c r="FJ10" s="306">
        <v>885.9</v>
      </c>
      <c r="FK10" s="291" t="s">
        <v>523</v>
      </c>
      <c r="FL10" s="292">
        <v>52</v>
      </c>
      <c r="FM10" s="676">
        <f t="shared" si="20"/>
        <v>46066.799999999996</v>
      </c>
      <c r="FP10" s="98"/>
      <c r="FQ10" s="15">
        <v>3</v>
      </c>
      <c r="FR10" s="96">
        <v>969.78</v>
      </c>
      <c r="FS10" s="357">
        <v>44401</v>
      </c>
      <c r="FT10" s="96">
        <v>969.78</v>
      </c>
      <c r="FU10" s="73" t="s">
        <v>537</v>
      </c>
      <c r="FV10" s="74">
        <v>54</v>
      </c>
      <c r="FW10" s="676">
        <f t="shared" si="21"/>
        <v>52368.119999999995</v>
      </c>
      <c r="FZ10" s="98"/>
      <c r="GA10" s="15">
        <v>3</v>
      </c>
      <c r="GB10" s="290">
        <v>884</v>
      </c>
      <c r="GC10" s="573">
        <v>44404</v>
      </c>
      <c r="GD10" s="290">
        <v>884</v>
      </c>
      <c r="GE10" s="291" t="s">
        <v>515</v>
      </c>
      <c r="GF10" s="292">
        <v>54</v>
      </c>
      <c r="GG10" s="354">
        <f t="shared" si="22"/>
        <v>47736</v>
      </c>
      <c r="GJ10" s="98"/>
      <c r="GK10" s="15">
        <v>3</v>
      </c>
      <c r="GL10" s="551">
        <v>888.6</v>
      </c>
      <c r="GM10" s="357">
        <v>44404</v>
      </c>
      <c r="GN10" s="551">
        <v>888.6</v>
      </c>
      <c r="GO10" s="99" t="s">
        <v>547</v>
      </c>
      <c r="GP10" s="74">
        <v>54</v>
      </c>
      <c r="GQ10" s="676">
        <f t="shared" si="23"/>
        <v>47984.4</v>
      </c>
      <c r="GT10" s="98"/>
      <c r="GU10" s="15">
        <v>3</v>
      </c>
      <c r="GV10" s="96">
        <v>946.19</v>
      </c>
      <c r="GW10" s="357">
        <v>44405</v>
      </c>
      <c r="GX10" s="96">
        <v>946.19</v>
      </c>
      <c r="GY10" s="99" t="s">
        <v>551</v>
      </c>
      <c r="GZ10" s="74">
        <v>54</v>
      </c>
      <c r="HA10" s="676">
        <f t="shared" si="24"/>
        <v>51094.26</v>
      </c>
      <c r="HD10" s="98"/>
      <c r="HE10" s="15">
        <v>3</v>
      </c>
      <c r="HF10" s="96">
        <v>938.93</v>
      </c>
      <c r="HG10" s="357">
        <v>44407</v>
      </c>
      <c r="HH10" s="96">
        <v>938.93</v>
      </c>
      <c r="HI10" s="99" t="s">
        <v>558</v>
      </c>
      <c r="HJ10" s="74">
        <v>54</v>
      </c>
      <c r="HK10" s="676">
        <f t="shared" si="25"/>
        <v>50702.219999999994</v>
      </c>
      <c r="HN10" s="98"/>
      <c r="HO10" s="15">
        <v>3</v>
      </c>
      <c r="HP10" s="306">
        <v>908.5</v>
      </c>
      <c r="HQ10" s="362">
        <v>44408</v>
      </c>
      <c r="HR10" s="306">
        <v>908.11</v>
      </c>
      <c r="HS10" s="422" t="s">
        <v>567</v>
      </c>
      <c r="HT10" s="292">
        <v>54</v>
      </c>
      <c r="HU10" s="354">
        <f t="shared" si="26"/>
        <v>49037.94</v>
      </c>
      <c r="HX10" s="111"/>
      <c r="HY10" s="15">
        <v>3</v>
      </c>
      <c r="HZ10" s="72">
        <v>935.3</v>
      </c>
      <c r="IA10" s="373">
        <v>44407</v>
      </c>
      <c r="IB10" s="72">
        <v>935.3</v>
      </c>
      <c r="IC10" s="73" t="s">
        <v>559</v>
      </c>
      <c r="ID10" s="74">
        <v>54</v>
      </c>
      <c r="IE10" s="676">
        <f t="shared" si="27"/>
        <v>50506.2</v>
      </c>
      <c r="IH10" s="111"/>
      <c r="II10" s="15">
        <v>3</v>
      </c>
      <c r="IJ10" s="72"/>
      <c r="IK10" s="373"/>
      <c r="IL10" s="72"/>
      <c r="IM10" s="73"/>
      <c r="IN10" s="74"/>
      <c r="IO10" s="676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6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6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6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6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6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6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6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6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TYSON FRESH MEAT</v>
      </c>
      <c r="C11" s="79" t="str">
        <f t="shared" si="49"/>
        <v xml:space="preserve">I B P </v>
      </c>
      <c r="D11" s="107" t="str">
        <f t="shared" si="49"/>
        <v>PED. 67651435</v>
      </c>
      <c r="E11" s="144">
        <f t="shared" si="49"/>
        <v>44391</v>
      </c>
      <c r="F11" s="90">
        <f t="shared" si="49"/>
        <v>18470.04</v>
      </c>
      <c r="G11" s="76">
        <f t="shared" si="49"/>
        <v>20</v>
      </c>
      <c r="H11" s="49">
        <f t="shared" si="49"/>
        <v>18473.759999999998</v>
      </c>
      <c r="I11" s="110">
        <f t="shared" si="49"/>
        <v>-3.7199999999975262</v>
      </c>
      <c r="L11" s="98"/>
      <c r="M11" s="15">
        <v>3</v>
      </c>
      <c r="N11" s="96">
        <v>876.8</v>
      </c>
      <c r="O11" s="357">
        <v>44383</v>
      </c>
      <c r="P11" s="96">
        <v>876.8</v>
      </c>
      <c r="Q11" s="73" t="s">
        <v>409</v>
      </c>
      <c r="R11" s="74">
        <v>43</v>
      </c>
      <c r="S11" s="676">
        <f t="shared" si="47"/>
        <v>37702.400000000001</v>
      </c>
      <c r="T11" s="267"/>
      <c r="U11" s="64"/>
      <c r="V11" s="111"/>
      <c r="W11" s="15">
        <v>4</v>
      </c>
      <c r="X11" s="306">
        <v>913.53</v>
      </c>
      <c r="Y11" s="362">
        <v>44384</v>
      </c>
      <c r="Z11" s="306">
        <v>913.53</v>
      </c>
      <c r="AA11" s="422" t="s">
        <v>420</v>
      </c>
      <c r="AB11" s="292">
        <v>43</v>
      </c>
      <c r="AC11" s="354">
        <f t="shared" si="7"/>
        <v>39281.79</v>
      </c>
      <c r="AE11" s="64"/>
      <c r="AF11" s="111"/>
      <c r="AG11" s="15">
        <v>4</v>
      </c>
      <c r="AH11" s="96">
        <v>966.6</v>
      </c>
      <c r="AI11" s="357">
        <v>44385</v>
      </c>
      <c r="AJ11" s="96">
        <v>966.6</v>
      </c>
      <c r="AK11" s="99" t="s">
        <v>427</v>
      </c>
      <c r="AL11" s="74">
        <v>45</v>
      </c>
      <c r="AM11" s="684">
        <f t="shared" si="8"/>
        <v>43497</v>
      </c>
      <c r="AO11" s="64"/>
      <c r="AP11" s="111"/>
      <c r="AQ11" s="15">
        <v>4</v>
      </c>
      <c r="AR11" s="351">
        <v>883.1</v>
      </c>
      <c r="AS11" s="362">
        <v>44386</v>
      </c>
      <c r="AT11" s="351">
        <v>883.1</v>
      </c>
      <c r="AU11" s="350" t="s">
        <v>435</v>
      </c>
      <c r="AV11" s="292">
        <v>46</v>
      </c>
      <c r="AW11" s="354">
        <f t="shared" si="9"/>
        <v>40622.6</v>
      </c>
      <c r="AY11" s="64"/>
      <c r="AZ11" s="111"/>
      <c r="BA11" s="15">
        <v>4</v>
      </c>
      <c r="BB11" s="96">
        <v>871.3</v>
      </c>
      <c r="BC11" s="144">
        <v>44386</v>
      </c>
      <c r="BD11" s="96">
        <v>871.3</v>
      </c>
      <c r="BE11" s="99" t="s">
        <v>437</v>
      </c>
      <c r="BF11" s="416">
        <v>46</v>
      </c>
      <c r="BG11" s="704">
        <f t="shared" si="10"/>
        <v>40079.799999999996</v>
      </c>
      <c r="BI11" s="64"/>
      <c r="BJ11" s="111"/>
      <c r="BK11" s="15">
        <v>4</v>
      </c>
      <c r="BL11" s="96">
        <v>892.2</v>
      </c>
      <c r="BM11" s="144">
        <v>44390</v>
      </c>
      <c r="BN11" s="96">
        <v>892.2</v>
      </c>
      <c r="BO11" s="99" t="s">
        <v>458</v>
      </c>
      <c r="BP11" s="416">
        <v>48</v>
      </c>
      <c r="BQ11" s="704">
        <f t="shared" si="11"/>
        <v>42825.600000000006</v>
      </c>
      <c r="BS11" s="64"/>
      <c r="BT11" s="111"/>
      <c r="BU11" s="289">
        <v>4</v>
      </c>
      <c r="BV11" s="306">
        <v>853.2</v>
      </c>
      <c r="BW11" s="417">
        <v>44390</v>
      </c>
      <c r="BX11" s="306">
        <v>853.2</v>
      </c>
      <c r="BY11" s="418" t="s">
        <v>457</v>
      </c>
      <c r="BZ11" s="419">
        <v>48</v>
      </c>
      <c r="CA11" s="676">
        <f t="shared" si="12"/>
        <v>40953.600000000006</v>
      </c>
      <c r="CC11" s="64"/>
      <c r="CD11" s="111"/>
      <c r="CE11" s="15">
        <v>4</v>
      </c>
      <c r="CF11" s="96">
        <v>920.33</v>
      </c>
      <c r="CG11" s="417">
        <v>44391</v>
      </c>
      <c r="CH11" s="96">
        <v>920.33</v>
      </c>
      <c r="CI11" s="420" t="s">
        <v>469</v>
      </c>
      <c r="CJ11" s="419">
        <v>48</v>
      </c>
      <c r="CK11" s="676">
        <f t="shared" si="13"/>
        <v>44175.840000000004</v>
      </c>
      <c r="CM11" s="64"/>
      <c r="CN11" s="98"/>
      <c r="CO11" s="15">
        <v>4</v>
      </c>
      <c r="CP11" s="96">
        <v>908.09</v>
      </c>
      <c r="CQ11" s="417">
        <v>44392</v>
      </c>
      <c r="CR11" s="96">
        <v>908.09</v>
      </c>
      <c r="CS11" s="420" t="s">
        <v>473</v>
      </c>
      <c r="CT11" s="419">
        <v>49</v>
      </c>
      <c r="CU11" s="689">
        <f t="shared" si="48"/>
        <v>44496.41</v>
      </c>
      <c r="CW11" s="64"/>
      <c r="CX11" s="111"/>
      <c r="CY11" s="15">
        <v>4</v>
      </c>
      <c r="CZ11" s="96">
        <v>880.4</v>
      </c>
      <c r="DA11" s="357">
        <v>44393</v>
      </c>
      <c r="DB11" s="96">
        <v>880.4</v>
      </c>
      <c r="DC11" s="99" t="s">
        <v>481</v>
      </c>
      <c r="DD11" s="74">
        <v>50</v>
      </c>
      <c r="DE11" s="676">
        <f t="shared" si="14"/>
        <v>44020</v>
      </c>
      <c r="DG11" s="64"/>
      <c r="DH11" s="111"/>
      <c r="DI11" s="15">
        <v>4</v>
      </c>
      <c r="DJ11" s="96">
        <v>966.6</v>
      </c>
      <c r="DK11" s="417">
        <v>44393</v>
      </c>
      <c r="DL11" s="96">
        <v>966.6</v>
      </c>
      <c r="DM11" s="420" t="s">
        <v>484</v>
      </c>
      <c r="DN11" s="419">
        <v>50</v>
      </c>
      <c r="DO11" s="689">
        <f t="shared" si="15"/>
        <v>48330</v>
      </c>
      <c r="DQ11" s="64"/>
      <c r="DR11" s="111"/>
      <c r="DS11" s="15">
        <v>4</v>
      </c>
      <c r="DT11" s="96">
        <v>895.4</v>
      </c>
      <c r="DU11" s="417">
        <v>44397</v>
      </c>
      <c r="DV11" s="96">
        <v>895.4</v>
      </c>
      <c r="DW11" s="420" t="s">
        <v>505</v>
      </c>
      <c r="DX11" s="419">
        <v>52</v>
      </c>
      <c r="DY11" s="676">
        <f t="shared" si="16"/>
        <v>46560.799999999996</v>
      </c>
      <c r="EA11" s="64"/>
      <c r="EB11" s="111"/>
      <c r="EC11" s="15">
        <v>4</v>
      </c>
      <c r="ED11" s="72">
        <v>861.8</v>
      </c>
      <c r="EE11" s="373">
        <v>44398</v>
      </c>
      <c r="EF11" s="72">
        <v>861.8</v>
      </c>
      <c r="EG11" s="73" t="s">
        <v>511</v>
      </c>
      <c r="EH11" s="74">
        <v>52</v>
      </c>
      <c r="EI11" s="676">
        <f t="shared" si="17"/>
        <v>44813.599999999999</v>
      </c>
      <c r="EK11" s="64"/>
      <c r="EL11" s="472"/>
      <c r="EM11" s="15">
        <v>4</v>
      </c>
      <c r="EN11" s="306">
        <v>933.49</v>
      </c>
      <c r="EO11" s="362">
        <v>44399</v>
      </c>
      <c r="EP11" s="306">
        <v>933.49</v>
      </c>
      <c r="EQ11" s="291" t="s">
        <v>521</v>
      </c>
      <c r="ER11" s="292">
        <v>52</v>
      </c>
      <c r="ES11" s="676">
        <f t="shared" si="18"/>
        <v>48541.48</v>
      </c>
      <c r="EU11" s="64"/>
      <c r="EV11" s="111"/>
      <c r="EW11" s="15">
        <v>4</v>
      </c>
      <c r="EX11" s="72">
        <v>887.7</v>
      </c>
      <c r="EY11" s="373">
        <v>44400</v>
      </c>
      <c r="EZ11" s="72">
        <v>887.7</v>
      </c>
      <c r="FA11" s="291" t="s">
        <v>528</v>
      </c>
      <c r="FB11" s="74">
        <v>52</v>
      </c>
      <c r="FC11" s="354">
        <f t="shared" si="19"/>
        <v>46160.4</v>
      </c>
      <c r="FE11" s="64"/>
      <c r="FF11" s="472"/>
      <c r="FG11" s="15">
        <v>4</v>
      </c>
      <c r="FH11" s="306">
        <v>904</v>
      </c>
      <c r="FI11" s="362">
        <v>44400</v>
      </c>
      <c r="FJ11" s="306">
        <v>904</v>
      </c>
      <c r="FK11" s="291" t="s">
        <v>523</v>
      </c>
      <c r="FL11" s="292">
        <v>52</v>
      </c>
      <c r="FM11" s="676">
        <f t="shared" si="20"/>
        <v>47008</v>
      </c>
      <c r="FO11" s="64"/>
      <c r="FP11" s="111"/>
      <c r="FQ11" s="15">
        <v>4</v>
      </c>
      <c r="FR11" s="96">
        <v>954.35</v>
      </c>
      <c r="FS11" s="357">
        <v>44401</v>
      </c>
      <c r="FT11" s="96">
        <v>954.35</v>
      </c>
      <c r="FU11" s="73" t="s">
        <v>537</v>
      </c>
      <c r="FV11" s="74">
        <v>54</v>
      </c>
      <c r="FW11" s="676">
        <f t="shared" si="21"/>
        <v>51534.9</v>
      </c>
      <c r="FY11" s="64"/>
      <c r="FZ11" s="111"/>
      <c r="GA11" s="15">
        <v>4</v>
      </c>
      <c r="GB11" s="290">
        <v>890.4</v>
      </c>
      <c r="GC11" s="573">
        <v>44404</v>
      </c>
      <c r="GD11" s="290">
        <v>890.4</v>
      </c>
      <c r="GE11" s="291" t="s">
        <v>515</v>
      </c>
      <c r="GF11" s="292">
        <v>54</v>
      </c>
      <c r="GG11" s="354">
        <f t="shared" si="22"/>
        <v>48081.599999999999</v>
      </c>
      <c r="GI11" s="64"/>
      <c r="GJ11" s="111"/>
      <c r="GK11" s="15">
        <v>4</v>
      </c>
      <c r="GL11" s="551">
        <v>908.5</v>
      </c>
      <c r="GM11" s="357">
        <v>44404</v>
      </c>
      <c r="GN11" s="551">
        <v>908.5</v>
      </c>
      <c r="GO11" s="99" t="s">
        <v>547</v>
      </c>
      <c r="GP11" s="74">
        <v>54</v>
      </c>
      <c r="GQ11" s="676">
        <f t="shared" si="23"/>
        <v>49059</v>
      </c>
      <c r="GS11" s="64"/>
      <c r="GT11" s="111"/>
      <c r="GU11" s="15">
        <v>4</v>
      </c>
      <c r="GV11" s="96">
        <v>940.29</v>
      </c>
      <c r="GW11" s="357">
        <v>44405</v>
      </c>
      <c r="GX11" s="96">
        <v>940.29</v>
      </c>
      <c r="GY11" s="99" t="s">
        <v>551</v>
      </c>
      <c r="GZ11" s="74">
        <v>54</v>
      </c>
      <c r="HA11" s="676">
        <f t="shared" si="24"/>
        <v>50775.659999999996</v>
      </c>
      <c r="HC11" s="64"/>
      <c r="HD11" s="111"/>
      <c r="HE11" s="15">
        <v>4</v>
      </c>
      <c r="HF11" s="96">
        <v>948.91</v>
      </c>
      <c r="HG11" s="357">
        <v>44407</v>
      </c>
      <c r="HH11" s="96">
        <v>948.91</v>
      </c>
      <c r="HI11" s="99" t="s">
        <v>558</v>
      </c>
      <c r="HJ11" s="74">
        <v>54</v>
      </c>
      <c r="HK11" s="676">
        <f t="shared" si="25"/>
        <v>51241.14</v>
      </c>
      <c r="HM11" s="64"/>
      <c r="HN11" s="111"/>
      <c r="HO11" s="15">
        <v>4</v>
      </c>
      <c r="HP11" s="306">
        <v>918.1</v>
      </c>
      <c r="HQ11" s="362">
        <v>44408</v>
      </c>
      <c r="HR11" s="306">
        <v>918.1</v>
      </c>
      <c r="HS11" s="422" t="s">
        <v>568</v>
      </c>
      <c r="HT11" s="292">
        <v>54</v>
      </c>
      <c r="HU11" s="354">
        <f t="shared" si="26"/>
        <v>49577.4</v>
      </c>
      <c r="HW11" s="64"/>
      <c r="HX11" s="111"/>
      <c r="HY11" s="15">
        <v>4</v>
      </c>
      <c r="HZ11" s="72">
        <v>880</v>
      </c>
      <c r="IA11" s="373">
        <v>44407</v>
      </c>
      <c r="IB11" s="72">
        <v>880</v>
      </c>
      <c r="IC11" s="73" t="s">
        <v>559</v>
      </c>
      <c r="ID11" s="74">
        <v>54</v>
      </c>
      <c r="IE11" s="676">
        <f t="shared" si="27"/>
        <v>47520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6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6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6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6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6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6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6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6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6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</v>
      </c>
      <c r="C12" s="79" t="str">
        <f t="shared" si="50"/>
        <v xml:space="preserve">I  B P </v>
      </c>
      <c r="D12" s="107" t="str">
        <f t="shared" si="50"/>
        <v>PED. 67721256</v>
      </c>
      <c r="E12" s="144">
        <f t="shared" si="50"/>
        <v>44392</v>
      </c>
      <c r="F12" s="90">
        <f t="shared" si="50"/>
        <v>18111.57</v>
      </c>
      <c r="G12" s="76">
        <f t="shared" si="50"/>
        <v>20</v>
      </c>
      <c r="H12" s="49">
        <f t="shared" si="50"/>
        <v>18428.46</v>
      </c>
      <c r="I12" s="110">
        <f t="shared" si="50"/>
        <v>-316.88999999999942</v>
      </c>
      <c r="K12" s="64"/>
      <c r="L12" s="111"/>
      <c r="M12" s="15">
        <v>4</v>
      </c>
      <c r="N12" s="96">
        <v>865.9</v>
      </c>
      <c r="O12" s="357">
        <v>44383</v>
      </c>
      <c r="P12" s="96">
        <v>865.9</v>
      </c>
      <c r="Q12" s="73" t="s">
        <v>409</v>
      </c>
      <c r="R12" s="74">
        <v>43</v>
      </c>
      <c r="S12" s="676">
        <f t="shared" si="47"/>
        <v>37233.699999999997</v>
      </c>
      <c r="T12" s="267"/>
      <c r="V12" s="111"/>
      <c r="W12" s="15">
        <v>5</v>
      </c>
      <c r="X12" s="306">
        <v>922.15</v>
      </c>
      <c r="Y12" s="362">
        <v>44384</v>
      </c>
      <c r="Z12" s="306">
        <v>922.15</v>
      </c>
      <c r="AA12" s="422" t="s">
        <v>420</v>
      </c>
      <c r="AB12" s="292">
        <v>43</v>
      </c>
      <c r="AC12" s="354">
        <f t="shared" si="7"/>
        <v>39652.449999999997</v>
      </c>
      <c r="AF12" s="111"/>
      <c r="AG12" s="15">
        <v>5</v>
      </c>
      <c r="AH12" s="96">
        <v>954.81</v>
      </c>
      <c r="AI12" s="357">
        <v>44385</v>
      </c>
      <c r="AJ12" s="96">
        <v>954.81</v>
      </c>
      <c r="AK12" s="99" t="s">
        <v>427</v>
      </c>
      <c r="AL12" s="74">
        <v>45</v>
      </c>
      <c r="AM12" s="684">
        <f t="shared" si="8"/>
        <v>42966.45</v>
      </c>
      <c r="AP12" s="111"/>
      <c r="AQ12" s="15">
        <v>5</v>
      </c>
      <c r="AR12" s="351">
        <v>841.4</v>
      </c>
      <c r="AS12" s="362">
        <v>44386</v>
      </c>
      <c r="AT12" s="351">
        <v>841.4</v>
      </c>
      <c r="AU12" s="350" t="s">
        <v>435</v>
      </c>
      <c r="AV12" s="292">
        <v>46</v>
      </c>
      <c r="AW12" s="354">
        <f t="shared" si="9"/>
        <v>38704.400000000001</v>
      </c>
      <c r="AZ12" s="111"/>
      <c r="BA12" s="15">
        <v>5</v>
      </c>
      <c r="BB12" s="96">
        <v>826.9</v>
      </c>
      <c r="BC12" s="144">
        <v>44386</v>
      </c>
      <c r="BD12" s="96">
        <v>826.9</v>
      </c>
      <c r="BE12" s="99" t="s">
        <v>437</v>
      </c>
      <c r="BF12" s="416">
        <v>46</v>
      </c>
      <c r="BG12" s="704">
        <f t="shared" si="10"/>
        <v>38037.4</v>
      </c>
      <c r="BJ12" s="111"/>
      <c r="BK12" s="15">
        <v>5</v>
      </c>
      <c r="BL12" s="96">
        <v>873.2</v>
      </c>
      <c r="BM12" s="144">
        <v>44390</v>
      </c>
      <c r="BN12" s="96">
        <v>873.2</v>
      </c>
      <c r="BO12" s="99" t="s">
        <v>458</v>
      </c>
      <c r="BP12" s="416">
        <v>48</v>
      </c>
      <c r="BQ12" s="704">
        <f t="shared" si="11"/>
        <v>41913.600000000006</v>
      </c>
      <c r="BT12" s="111"/>
      <c r="BU12" s="289">
        <v>5</v>
      </c>
      <c r="BV12" s="306">
        <v>885</v>
      </c>
      <c r="BW12" s="417">
        <v>44390</v>
      </c>
      <c r="BX12" s="306">
        <v>885</v>
      </c>
      <c r="BY12" s="418" t="s">
        <v>457</v>
      </c>
      <c r="BZ12" s="419">
        <v>48</v>
      </c>
      <c r="CA12" s="676">
        <f t="shared" si="12"/>
        <v>42480</v>
      </c>
      <c r="CD12" s="111"/>
      <c r="CE12" s="15">
        <v>5</v>
      </c>
      <c r="CF12" s="96">
        <v>907.63</v>
      </c>
      <c r="CG12" s="417">
        <v>44391</v>
      </c>
      <c r="CH12" s="96">
        <v>907.63</v>
      </c>
      <c r="CI12" s="420" t="s">
        <v>469</v>
      </c>
      <c r="CJ12" s="419">
        <v>48</v>
      </c>
      <c r="CK12" s="676">
        <f t="shared" si="13"/>
        <v>43566.239999999998</v>
      </c>
      <c r="CN12" s="98"/>
      <c r="CO12" s="15">
        <v>5</v>
      </c>
      <c r="CP12" s="96">
        <v>904</v>
      </c>
      <c r="CQ12" s="417">
        <v>44392</v>
      </c>
      <c r="CR12" s="96">
        <v>904</v>
      </c>
      <c r="CS12" s="420" t="s">
        <v>473</v>
      </c>
      <c r="CT12" s="419">
        <v>49</v>
      </c>
      <c r="CU12" s="689">
        <f t="shared" si="48"/>
        <v>44296</v>
      </c>
      <c r="CX12" s="111"/>
      <c r="CY12" s="15">
        <v>5</v>
      </c>
      <c r="CZ12" s="96">
        <v>864.1</v>
      </c>
      <c r="DA12" s="357">
        <v>44393</v>
      </c>
      <c r="DB12" s="96">
        <v>864.1</v>
      </c>
      <c r="DC12" s="99" t="s">
        <v>481</v>
      </c>
      <c r="DD12" s="74">
        <v>50</v>
      </c>
      <c r="DE12" s="676">
        <f t="shared" si="14"/>
        <v>43205</v>
      </c>
      <c r="DH12" s="111"/>
      <c r="DI12" s="15">
        <v>5</v>
      </c>
      <c r="DJ12" s="96">
        <v>880.4</v>
      </c>
      <c r="DK12" s="417">
        <v>44393</v>
      </c>
      <c r="DL12" s="96">
        <v>880.4</v>
      </c>
      <c r="DM12" s="420" t="s">
        <v>484</v>
      </c>
      <c r="DN12" s="419">
        <v>50</v>
      </c>
      <c r="DO12" s="689">
        <f t="shared" si="15"/>
        <v>44020</v>
      </c>
      <c r="DR12" s="111"/>
      <c r="DS12" s="15">
        <v>5</v>
      </c>
      <c r="DT12" s="96">
        <v>922.6</v>
      </c>
      <c r="DU12" s="417">
        <v>44397</v>
      </c>
      <c r="DV12" s="96">
        <v>922.6</v>
      </c>
      <c r="DW12" s="420" t="s">
        <v>505</v>
      </c>
      <c r="DX12" s="419">
        <v>52</v>
      </c>
      <c r="DY12" s="676">
        <f t="shared" si="16"/>
        <v>47975.200000000004</v>
      </c>
      <c r="EB12" s="111"/>
      <c r="EC12" s="15">
        <v>5</v>
      </c>
      <c r="ED12" s="72">
        <v>917.6</v>
      </c>
      <c r="EE12" s="373">
        <v>44398</v>
      </c>
      <c r="EF12" s="72">
        <v>917.6</v>
      </c>
      <c r="EG12" s="73" t="s">
        <v>511</v>
      </c>
      <c r="EH12" s="74">
        <v>52</v>
      </c>
      <c r="EI12" s="676">
        <f t="shared" si="17"/>
        <v>47715.200000000004</v>
      </c>
      <c r="EL12" s="472"/>
      <c r="EM12" s="15">
        <v>5</v>
      </c>
      <c r="EN12" s="306">
        <v>898.11</v>
      </c>
      <c r="EO12" s="362">
        <v>44399</v>
      </c>
      <c r="EP12" s="306">
        <v>898.11</v>
      </c>
      <c r="EQ12" s="291" t="s">
        <v>520</v>
      </c>
      <c r="ER12" s="292">
        <v>52</v>
      </c>
      <c r="ES12" s="676">
        <f t="shared" si="18"/>
        <v>46701.72</v>
      </c>
      <c r="EV12" s="111"/>
      <c r="EW12" s="15">
        <v>5</v>
      </c>
      <c r="EX12" s="72">
        <v>930.3</v>
      </c>
      <c r="EY12" s="373">
        <v>44400</v>
      </c>
      <c r="EZ12" s="72">
        <v>930.3</v>
      </c>
      <c r="FA12" s="291" t="s">
        <v>528</v>
      </c>
      <c r="FB12" s="74">
        <v>52</v>
      </c>
      <c r="FC12" s="354">
        <f t="shared" si="19"/>
        <v>48375.6</v>
      </c>
      <c r="FF12" s="472"/>
      <c r="FG12" s="15">
        <v>5</v>
      </c>
      <c r="FH12" s="306">
        <v>899.5</v>
      </c>
      <c r="FI12" s="362">
        <v>44400</v>
      </c>
      <c r="FJ12" s="306">
        <v>899.5</v>
      </c>
      <c r="FK12" s="291" t="s">
        <v>523</v>
      </c>
      <c r="FL12" s="292">
        <v>52</v>
      </c>
      <c r="FM12" s="676">
        <f t="shared" si="20"/>
        <v>46774</v>
      </c>
      <c r="FN12" s="79" t="s">
        <v>41</v>
      </c>
      <c r="FP12" s="111"/>
      <c r="FQ12" s="15">
        <v>5</v>
      </c>
      <c r="FR12" s="96">
        <v>915.34</v>
      </c>
      <c r="FS12" s="357">
        <v>44401</v>
      </c>
      <c r="FT12" s="96">
        <v>915.34</v>
      </c>
      <c r="FU12" s="73" t="s">
        <v>537</v>
      </c>
      <c r="FV12" s="74">
        <v>54</v>
      </c>
      <c r="FW12" s="676">
        <f t="shared" si="21"/>
        <v>49428.36</v>
      </c>
      <c r="FZ12" s="111"/>
      <c r="GA12" s="15">
        <v>5</v>
      </c>
      <c r="GB12" s="290">
        <v>906.7</v>
      </c>
      <c r="GC12" s="573">
        <v>44404</v>
      </c>
      <c r="GD12" s="290">
        <v>906.7</v>
      </c>
      <c r="GE12" s="291" t="s">
        <v>515</v>
      </c>
      <c r="GF12" s="292">
        <v>54</v>
      </c>
      <c r="GG12" s="354">
        <f t="shared" si="22"/>
        <v>48961.8</v>
      </c>
      <c r="GJ12" s="111"/>
      <c r="GK12" s="15">
        <v>5</v>
      </c>
      <c r="GL12" s="551">
        <v>914</v>
      </c>
      <c r="GM12" s="357">
        <v>44404</v>
      </c>
      <c r="GN12" s="551">
        <v>914</v>
      </c>
      <c r="GO12" s="99" t="s">
        <v>547</v>
      </c>
      <c r="GP12" s="74">
        <v>54</v>
      </c>
      <c r="GQ12" s="676">
        <f t="shared" si="23"/>
        <v>49356</v>
      </c>
      <c r="GT12" s="111"/>
      <c r="GU12" s="15">
        <v>5</v>
      </c>
      <c r="GV12" s="96">
        <v>922.6</v>
      </c>
      <c r="GW12" s="357">
        <v>44405</v>
      </c>
      <c r="GX12" s="96">
        <v>922.6</v>
      </c>
      <c r="GY12" s="99" t="s">
        <v>551</v>
      </c>
      <c r="GZ12" s="74">
        <v>54</v>
      </c>
      <c r="HA12" s="676">
        <f t="shared" si="24"/>
        <v>49820.4</v>
      </c>
      <c r="HD12" s="111"/>
      <c r="HE12" s="15">
        <v>5</v>
      </c>
      <c r="HF12" s="96">
        <v>956.17</v>
      </c>
      <c r="HG12" s="357">
        <v>44407</v>
      </c>
      <c r="HH12" s="96">
        <v>956.17</v>
      </c>
      <c r="HI12" s="99" t="s">
        <v>558</v>
      </c>
      <c r="HJ12" s="74">
        <v>54</v>
      </c>
      <c r="HK12" s="676">
        <f t="shared" si="25"/>
        <v>51633.18</v>
      </c>
      <c r="HN12" s="111"/>
      <c r="HO12" s="15">
        <v>5</v>
      </c>
      <c r="HP12" s="306">
        <v>918.5</v>
      </c>
      <c r="HQ12" s="362">
        <v>44408</v>
      </c>
      <c r="HR12" s="306">
        <v>918.5</v>
      </c>
      <c r="HS12" s="422" t="s">
        <v>567</v>
      </c>
      <c r="HT12" s="292">
        <v>54</v>
      </c>
      <c r="HU12" s="354">
        <f t="shared" si="26"/>
        <v>49599</v>
      </c>
      <c r="HX12" s="111"/>
      <c r="HY12" s="15">
        <v>5</v>
      </c>
      <c r="HZ12" s="72">
        <v>877.2</v>
      </c>
      <c r="IA12" s="373">
        <v>44407</v>
      </c>
      <c r="IB12" s="72">
        <v>877.2</v>
      </c>
      <c r="IC12" s="73" t="s">
        <v>559</v>
      </c>
      <c r="ID12" s="74">
        <v>54</v>
      </c>
      <c r="IE12" s="676">
        <f t="shared" si="27"/>
        <v>47368.800000000003</v>
      </c>
      <c r="IH12" s="111"/>
      <c r="II12" s="15">
        <v>5</v>
      </c>
      <c r="IJ12" s="72"/>
      <c r="IK12" s="373"/>
      <c r="IL12" s="72"/>
      <c r="IM12" s="73"/>
      <c r="IN12" s="74"/>
      <c r="IO12" s="676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6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6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6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6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6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6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6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6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67783274</v>
      </c>
      <c r="E13" s="144">
        <f t="shared" si="51"/>
        <v>44393</v>
      </c>
      <c r="F13" s="90">
        <f t="shared" si="51"/>
        <v>17560.47</v>
      </c>
      <c r="G13" s="76">
        <f t="shared" si="51"/>
        <v>20</v>
      </c>
      <c r="H13" s="49">
        <f t="shared" si="51"/>
        <v>17595.099999999999</v>
      </c>
      <c r="I13" s="110">
        <f t="shared" si="51"/>
        <v>-34.629999999997381</v>
      </c>
      <c r="L13" s="111"/>
      <c r="M13" s="15">
        <v>5</v>
      </c>
      <c r="N13" s="96">
        <v>898.6</v>
      </c>
      <c r="O13" s="357">
        <v>44383</v>
      </c>
      <c r="P13" s="96">
        <v>898.6</v>
      </c>
      <c r="Q13" s="73" t="s">
        <v>409</v>
      </c>
      <c r="R13" s="74">
        <v>43</v>
      </c>
      <c r="S13" s="676">
        <f t="shared" si="47"/>
        <v>38639.800000000003</v>
      </c>
      <c r="T13" s="267"/>
      <c r="V13" s="111"/>
      <c r="W13" s="15">
        <v>6</v>
      </c>
      <c r="X13" s="306">
        <v>939.84</v>
      </c>
      <c r="Y13" s="362">
        <v>44384</v>
      </c>
      <c r="Z13" s="306">
        <v>939.84</v>
      </c>
      <c r="AA13" s="422" t="s">
        <v>420</v>
      </c>
      <c r="AB13" s="292">
        <v>43</v>
      </c>
      <c r="AC13" s="354">
        <f t="shared" si="7"/>
        <v>40413.120000000003</v>
      </c>
      <c r="AF13" s="111"/>
      <c r="AG13" s="15">
        <v>6</v>
      </c>
      <c r="AH13" s="96">
        <v>888.58</v>
      </c>
      <c r="AI13" s="357">
        <v>44385</v>
      </c>
      <c r="AJ13" s="96">
        <v>888.58</v>
      </c>
      <c r="AK13" s="99" t="s">
        <v>427</v>
      </c>
      <c r="AL13" s="74">
        <v>45</v>
      </c>
      <c r="AM13" s="684">
        <f t="shared" si="8"/>
        <v>39986.1</v>
      </c>
      <c r="AP13" s="111"/>
      <c r="AQ13" s="15">
        <v>6</v>
      </c>
      <c r="AR13" s="351">
        <v>864.1</v>
      </c>
      <c r="AS13" s="362">
        <v>44386</v>
      </c>
      <c r="AT13" s="351">
        <v>864.1</v>
      </c>
      <c r="AU13" s="350" t="s">
        <v>435</v>
      </c>
      <c r="AV13" s="292">
        <v>46</v>
      </c>
      <c r="AW13" s="354">
        <f t="shared" si="9"/>
        <v>39748.6</v>
      </c>
      <c r="AZ13" s="111"/>
      <c r="BA13" s="15">
        <v>6</v>
      </c>
      <c r="BB13" s="96">
        <v>880.4</v>
      </c>
      <c r="BC13" s="144">
        <v>44386</v>
      </c>
      <c r="BD13" s="96">
        <v>880.4</v>
      </c>
      <c r="BE13" s="99" t="s">
        <v>437</v>
      </c>
      <c r="BF13" s="416">
        <v>46</v>
      </c>
      <c r="BG13" s="704">
        <f t="shared" si="10"/>
        <v>40498.400000000001</v>
      </c>
      <c r="BJ13" s="230"/>
      <c r="BK13" s="15">
        <v>6</v>
      </c>
      <c r="BL13" s="96">
        <v>865.9</v>
      </c>
      <c r="BM13" s="144">
        <v>44390</v>
      </c>
      <c r="BN13" s="96">
        <v>865.9</v>
      </c>
      <c r="BO13" s="99" t="s">
        <v>458</v>
      </c>
      <c r="BP13" s="416">
        <v>48</v>
      </c>
      <c r="BQ13" s="704">
        <f t="shared" si="11"/>
        <v>41563.199999999997</v>
      </c>
      <c r="BT13" s="111"/>
      <c r="BU13" s="289">
        <v>6</v>
      </c>
      <c r="BV13" s="306">
        <v>873.2</v>
      </c>
      <c r="BW13" s="417">
        <v>44390</v>
      </c>
      <c r="BX13" s="306">
        <v>873.2</v>
      </c>
      <c r="BY13" s="418" t="s">
        <v>457</v>
      </c>
      <c r="BZ13" s="419">
        <v>48</v>
      </c>
      <c r="CA13" s="676">
        <f t="shared" si="12"/>
        <v>41913.600000000006</v>
      </c>
      <c r="CD13" s="111"/>
      <c r="CE13" s="15">
        <v>6</v>
      </c>
      <c r="CF13" s="96">
        <v>913.53</v>
      </c>
      <c r="CG13" s="417">
        <v>44391</v>
      </c>
      <c r="CH13" s="96">
        <v>913.53</v>
      </c>
      <c r="CI13" s="420" t="s">
        <v>469</v>
      </c>
      <c r="CJ13" s="419">
        <v>48</v>
      </c>
      <c r="CK13" s="676">
        <f t="shared" si="13"/>
        <v>43849.440000000002</v>
      </c>
      <c r="CN13" s="98"/>
      <c r="CO13" s="15">
        <v>6</v>
      </c>
      <c r="CP13" s="96">
        <v>918.07</v>
      </c>
      <c r="CQ13" s="417">
        <v>44392</v>
      </c>
      <c r="CR13" s="96">
        <v>918.07</v>
      </c>
      <c r="CS13" s="420" t="s">
        <v>473</v>
      </c>
      <c r="CT13" s="419">
        <v>49</v>
      </c>
      <c r="CU13" s="689">
        <f t="shared" si="48"/>
        <v>44985.43</v>
      </c>
      <c r="CX13" s="111"/>
      <c r="CY13" s="15">
        <v>6</v>
      </c>
      <c r="CZ13" s="96">
        <v>868.6</v>
      </c>
      <c r="DA13" s="357">
        <v>44393</v>
      </c>
      <c r="DB13" s="96">
        <v>868.6</v>
      </c>
      <c r="DC13" s="99" t="s">
        <v>481</v>
      </c>
      <c r="DD13" s="74">
        <v>50</v>
      </c>
      <c r="DE13" s="676">
        <f t="shared" si="14"/>
        <v>43430</v>
      </c>
      <c r="DH13" s="111"/>
      <c r="DI13" s="15">
        <v>6</v>
      </c>
      <c r="DJ13" s="96">
        <v>903.1</v>
      </c>
      <c r="DK13" s="417">
        <v>44393</v>
      </c>
      <c r="DL13" s="96">
        <v>903.1</v>
      </c>
      <c r="DM13" s="420" t="s">
        <v>484</v>
      </c>
      <c r="DN13" s="419">
        <v>50</v>
      </c>
      <c r="DO13" s="689">
        <f t="shared" si="15"/>
        <v>45155</v>
      </c>
      <c r="DR13" s="111"/>
      <c r="DS13" s="15">
        <v>6</v>
      </c>
      <c r="DT13" s="96">
        <v>878.6</v>
      </c>
      <c r="DU13" s="417">
        <v>44397</v>
      </c>
      <c r="DV13" s="96">
        <v>878.6</v>
      </c>
      <c r="DW13" s="420" t="s">
        <v>505</v>
      </c>
      <c r="DX13" s="419">
        <v>52</v>
      </c>
      <c r="DY13" s="676">
        <f t="shared" si="16"/>
        <v>45687.200000000004</v>
      </c>
      <c r="EB13" s="111"/>
      <c r="EC13" s="15">
        <v>6</v>
      </c>
      <c r="ED13" s="72">
        <v>895.8</v>
      </c>
      <c r="EE13" s="373">
        <v>44398</v>
      </c>
      <c r="EF13" s="72">
        <v>895.8</v>
      </c>
      <c r="EG13" s="73" t="s">
        <v>511</v>
      </c>
      <c r="EH13" s="74">
        <v>52</v>
      </c>
      <c r="EI13" s="676">
        <f t="shared" si="17"/>
        <v>46581.599999999999</v>
      </c>
      <c r="EL13" s="472"/>
      <c r="EM13" s="15">
        <v>6</v>
      </c>
      <c r="EN13" s="306">
        <v>925.78</v>
      </c>
      <c r="EO13" s="362">
        <v>44399</v>
      </c>
      <c r="EP13" s="306">
        <v>925.78</v>
      </c>
      <c r="EQ13" s="291" t="s">
        <v>520</v>
      </c>
      <c r="ER13" s="292">
        <v>52</v>
      </c>
      <c r="ES13" s="676">
        <f t="shared" si="18"/>
        <v>48140.56</v>
      </c>
      <c r="EV13" s="111"/>
      <c r="EW13" s="15">
        <v>6</v>
      </c>
      <c r="EX13" s="72">
        <v>912.2</v>
      </c>
      <c r="EY13" s="373">
        <v>44400</v>
      </c>
      <c r="EZ13" s="72">
        <v>912.2</v>
      </c>
      <c r="FA13" s="291" t="s">
        <v>528</v>
      </c>
      <c r="FB13" s="74">
        <v>52</v>
      </c>
      <c r="FC13" s="354">
        <f t="shared" si="19"/>
        <v>47434.400000000001</v>
      </c>
      <c r="FF13" s="472"/>
      <c r="FG13" s="15">
        <v>6</v>
      </c>
      <c r="FH13" s="306">
        <v>899.5</v>
      </c>
      <c r="FI13" s="362">
        <v>44400</v>
      </c>
      <c r="FJ13" s="306">
        <v>899.5</v>
      </c>
      <c r="FK13" s="291" t="s">
        <v>523</v>
      </c>
      <c r="FL13" s="292">
        <v>52</v>
      </c>
      <c r="FM13" s="676">
        <f t="shared" si="20"/>
        <v>46774</v>
      </c>
      <c r="FP13" s="111"/>
      <c r="FQ13" s="15">
        <v>6</v>
      </c>
      <c r="FR13" s="96">
        <v>903.55</v>
      </c>
      <c r="FS13" s="357">
        <v>44401</v>
      </c>
      <c r="FT13" s="96">
        <v>903.55</v>
      </c>
      <c r="FU13" s="73" t="s">
        <v>537</v>
      </c>
      <c r="FV13" s="74">
        <v>54</v>
      </c>
      <c r="FW13" s="676">
        <f t="shared" si="21"/>
        <v>48791.7</v>
      </c>
      <c r="FZ13" s="111"/>
      <c r="GA13" s="15">
        <v>6</v>
      </c>
      <c r="GB13" s="72">
        <v>867.7</v>
      </c>
      <c r="GC13" s="573">
        <v>44404</v>
      </c>
      <c r="GD13" s="72">
        <v>867.7</v>
      </c>
      <c r="GE13" s="291" t="s">
        <v>515</v>
      </c>
      <c r="GF13" s="292">
        <v>54</v>
      </c>
      <c r="GG13" s="354">
        <f t="shared" si="22"/>
        <v>46855.8</v>
      </c>
      <c r="GJ13" s="111"/>
      <c r="GK13" s="15">
        <v>6</v>
      </c>
      <c r="GL13" s="551">
        <v>899.5</v>
      </c>
      <c r="GM13" s="357">
        <v>44404</v>
      </c>
      <c r="GN13" s="551">
        <v>899.5</v>
      </c>
      <c r="GO13" s="99" t="s">
        <v>547</v>
      </c>
      <c r="GP13" s="74">
        <v>54</v>
      </c>
      <c r="GQ13" s="676">
        <f t="shared" si="23"/>
        <v>48573</v>
      </c>
      <c r="GT13" s="111"/>
      <c r="GU13" s="15">
        <v>6</v>
      </c>
      <c r="GV13" s="96">
        <v>900.38</v>
      </c>
      <c r="GW13" s="357">
        <v>44405</v>
      </c>
      <c r="GX13" s="96">
        <v>900.38</v>
      </c>
      <c r="GY13" s="99" t="s">
        <v>551</v>
      </c>
      <c r="GZ13" s="74">
        <v>54</v>
      </c>
      <c r="HA13" s="676">
        <f t="shared" si="24"/>
        <v>48620.52</v>
      </c>
      <c r="HD13" s="111"/>
      <c r="HE13" s="15">
        <v>6</v>
      </c>
      <c r="HF13" s="96">
        <v>969.78</v>
      </c>
      <c r="HG13" s="357">
        <v>44407</v>
      </c>
      <c r="HH13" s="96">
        <v>969.78</v>
      </c>
      <c r="HI13" s="99" t="s">
        <v>558</v>
      </c>
      <c r="HJ13" s="74">
        <v>54</v>
      </c>
      <c r="HK13" s="676">
        <f t="shared" si="25"/>
        <v>52368.119999999995</v>
      </c>
      <c r="HN13" s="111"/>
      <c r="HO13" s="15">
        <v>6</v>
      </c>
      <c r="HP13" s="306">
        <v>905.4</v>
      </c>
      <c r="HQ13" s="362">
        <v>44408</v>
      </c>
      <c r="HR13" s="306">
        <v>905.4</v>
      </c>
      <c r="HS13" s="422" t="s">
        <v>567</v>
      </c>
      <c r="HT13" s="292">
        <v>54</v>
      </c>
      <c r="HU13" s="354">
        <f t="shared" si="26"/>
        <v>48891.6</v>
      </c>
      <c r="HX13" s="111"/>
      <c r="HY13" s="15">
        <v>6</v>
      </c>
      <c r="HZ13" s="72">
        <v>896.7</v>
      </c>
      <c r="IA13" s="373">
        <v>44407</v>
      </c>
      <c r="IB13" s="72">
        <v>896.7</v>
      </c>
      <c r="IC13" s="73" t="s">
        <v>559</v>
      </c>
      <c r="ID13" s="74">
        <v>54</v>
      </c>
      <c r="IE13" s="676">
        <f t="shared" si="27"/>
        <v>48421.8</v>
      </c>
      <c r="IH13" s="111"/>
      <c r="II13" s="15">
        <v>6</v>
      </c>
      <c r="IJ13" s="72"/>
      <c r="IK13" s="373"/>
      <c r="IL13" s="72"/>
      <c r="IM13" s="73"/>
      <c r="IN13" s="74"/>
      <c r="IO13" s="676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6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6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6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6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6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6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6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6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67783308</v>
      </c>
      <c r="E14" s="144">
        <f t="shared" si="52"/>
        <v>44393</v>
      </c>
      <c r="F14" s="90">
        <f t="shared" si="52"/>
        <v>17728.400000000001</v>
      </c>
      <c r="G14" s="76">
        <f t="shared" si="52"/>
        <v>20</v>
      </c>
      <c r="H14" s="49">
        <f t="shared" si="52"/>
        <v>17730.8</v>
      </c>
      <c r="I14" s="110">
        <f t="shared" si="52"/>
        <v>-2.3999999999978172</v>
      </c>
      <c r="L14" s="111"/>
      <c r="M14" s="15">
        <v>6</v>
      </c>
      <c r="N14" s="96">
        <v>914.9</v>
      </c>
      <c r="O14" s="357">
        <v>44383</v>
      </c>
      <c r="P14" s="96">
        <v>914.9</v>
      </c>
      <c r="Q14" s="73" t="s">
        <v>409</v>
      </c>
      <c r="R14" s="74">
        <v>43</v>
      </c>
      <c r="S14" s="676">
        <f t="shared" si="47"/>
        <v>39340.699999999997</v>
      </c>
      <c r="T14" s="267"/>
      <c r="V14" s="111"/>
      <c r="W14" s="15">
        <v>7</v>
      </c>
      <c r="X14" s="306">
        <v>961.61</v>
      </c>
      <c r="Y14" s="362">
        <v>44384</v>
      </c>
      <c r="Z14" s="306">
        <v>961.61</v>
      </c>
      <c r="AA14" s="422" t="s">
        <v>420</v>
      </c>
      <c r="AB14" s="292">
        <v>43</v>
      </c>
      <c r="AC14" s="354">
        <f t="shared" si="7"/>
        <v>41349.230000000003</v>
      </c>
      <c r="AF14" s="111"/>
      <c r="AG14" s="15">
        <v>7</v>
      </c>
      <c r="AH14" s="96">
        <v>950.27</v>
      </c>
      <c r="AI14" s="357">
        <v>44385</v>
      </c>
      <c r="AJ14" s="96">
        <v>950.27</v>
      </c>
      <c r="AK14" s="99" t="s">
        <v>427</v>
      </c>
      <c r="AL14" s="74">
        <v>45</v>
      </c>
      <c r="AM14" s="684">
        <f t="shared" si="8"/>
        <v>42762.15</v>
      </c>
      <c r="AP14" s="111"/>
      <c r="AQ14" s="15">
        <v>7</v>
      </c>
      <c r="AR14" s="351">
        <v>901.3</v>
      </c>
      <c r="AS14" s="362">
        <v>44386</v>
      </c>
      <c r="AT14" s="351">
        <v>901.3</v>
      </c>
      <c r="AU14" s="350" t="s">
        <v>435</v>
      </c>
      <c r="AV14" s="292">
        <v>46</v>
      </c>
      <c r="AW14" s="354">
        <f t="shared" si="9"/>
        <v>41459.799999999996</v>
      </c>
      <c r="AZ14" s="111"/>
      <c r="BA14" s="15">
        <v>7</v>
      </c>
      <c r="BB14" s="96">
        <v>899.5</v>
      </c>
      <c r="BC14" s="144">
        <v>44386</v>
      </c>
      <c r="BD14" s="96">
        <v>899.5</v>
      </c>
      <c r="BE14" s="99" t="s">
        <v>437</v>
      </c>
      <c r="BF14" s="416">
        <v>46</v>
      </c>
      <c r="BG14" s="704">
        <f t="shared" si="10"/>
        <v>41377</v>
      </c>
      <c r="BJ14" s="111"/>
      <c r="BK14" s="15">
        <v>7</v>
      </c>
      <c r="BL14" s="96">
        <v>885</v>
      </c>
      <c r="BM14" s="144">
        <v>44390</v>
      </c>
      <c r="BN14" s="96">
        <v>885</v>
      </c>
      <c r="BO14" s="99" t="s">
        <v>458</v>
      </c>
      <c r="BP14" s="416">
        <v>48</v>
      </c>
      <c r="BQ14" s="704">
        <f t="shared" si="11"/>
        <v>42480</v>
      </c>
      <c r="BT14" s="111"/>
      <c r="BU14" s="289">
        <v>7</v>
      </c>
      <c r="BV14" s="306">
        <v>861.4</v>
      </c>
      <c r="BW14" s="417">
        <v>44390</v>
      </c>
      <c r="BX14" s="306">
        <v>861.4</v>
      </c>
      <c r="BY14" s="418" t="s">
        <v>457</v>
      </c>
      <c r="BZ14" s="419">
        <v>48</v>
      </c>
      <c r="CA14" s="676">
        <f t="shared" si="12"/>
        <v>41347.199999999997</v>
      </c>
      <c r="CD14" s="111"/>
      <c r="CE14" s="15">
        <v>7</v>
      </c>
      <c r="CF14" s="96">
        <v>957.53</v>
      </c>
      <c r="CG14" s="417">
        <v>44391</v>
      </c>
      <c r="CH14" s="96">
        <v>957.53</v>
      </c>
      <c r="CI14" s="420" t="s">
        <v>469</v>
      </c>
      <c r="CJ14" s="419">
        <v>48</v>
      </c>
      <c r="CK14" s="676">
        <f t="shared" si="13"/>
        <v>45961.440000000002</v>
      </c>
      <c r="CN14" s="98"/>
      <c r="CO14" s="15">
        <v>7</v>
      </c>
      <c r="CP14" s="96">
        <v>939.84</v>
      </c>
      <c r="CQ14" s="417">
        <v>44392</v>
      </c>
      <c r="CR14" s="96">
        <v>939.84</v>
      </c>
      <c r="CS14" s="420" t="s">
        <v>473</v>
      </c>
      <c r="CT14" s="419">
        <v>49</v>
      </c>
      <c r="CU14" s="689">
        <f t="shared" si="48"/>
        <v>46052.160000000003</v>
      </c>
      <c r="CX14" s="111"/>
      <c r="CY14" s="15">
        <v>7</v>
      </c>
      <c r="CZ14" s="96">
        <v>875</v>
      </c>
      <c r="DA14" s="357">
        <v>44393</v>
      </c>
      <c r="DB14" s="96">
        <v>875</v>
      </c>
      <c r="DC14" s="99" t="s">
        <v>481</v>
      </c>
      <c r="DD14" s="74">
        <v>50</v>
      </c>
      <c r="DE14" s="676">
        <f t="shared" si="14"/>
        <v>43750</v>
      </c>
      <c r="DH14" s="111"/>
      <c r="DI14" s="15">
        <v>7</v>
      </c>
      <c r="DJ14" s="96">
        <v>879.5</v>
      </c>
      <c r="DK14" s="417">
        <v>44393</v>
      </c>
      <c r="DL14" s="96">
        <v>879.5</v>
      </c>
      <c r="DM14" s="420" t="s">
        <v>484</v>
      </c>
      <c r="DN14" s="419">
        <v>50</v>
      </c>
      <c r="DO14" s="689">
        <f t="shared" si="15"/>
        <v>43975</v>
      </c>
      <c r="DR14" s="111"/>
      <c r="DS14" s="15">
        <v>7</v>
      </c>
      <c r="DT14" s="96">
        <v>862.7</v>
      </c>
      <c r="DU14" s="417">
        <v>44397</v>
      </c>
      <c r="DV14" s="96">
        <v>862.7</v>
      </c>
      <c r="DW14" s="420" t="s">
        <v>505</v>
      </c>
      <c r="DX14" s="419">
        <v>52</v>
      </c>
      <c r="DY14" s="676">
        <f t="shared" si="16"/>
        <v>44860.4</v>
      </c>
      <c r="EB14" s="111"/>
      <c r="EC14" s="15">
        <v>7</v>
      </c>
      <c r="ED14" s="72">
        <v>924.9</v>
      </c>
      <c r="EE14" s="373">
        <v>44398</v>
      </c>
      <c r="EF14" s="72">
        <v>924.9</v>
      </c>
      <c r="EG14" s="73" t="s">
        <v>511</v>
      </c>
      <c r="EH14" s="74">
        <v>52</v>
      </c>
      <c r="EI14" s="676">
        <f t="shared" si="17"/>
        <v>48094.799999999996</v>
      </c>
      <c r="EL14" s="472"/>
      <c r="EM14" s="15">
        <v>7</v>
      </c>
      <c r="EN14" s="306">
        <v>903.55</v>
      </c>
      <c r="EO14" s="362">
        <v>44399</v>
      </c>
      <c r="EP14" s="306">
        <v>903.55</v>
      </c>
      <c r="EQ14" s="291" t="s">
        <v>520</v>
      </c>
      <c r="ER14" s="292">
        <v>52</v>
      </c>
      <c r="ES14" s="676">
        <f t="shared" si="18"/>
        <v>46984.6</v>
      </c>
      <c r="EV14" s="111"/>
      <c r="EW14" s="15">
        <v>7</v>
      </c>
      <c r="EX14" s="72">
        <v>915.8</v>
      </c>
      <c r="EY14" s="373">
        <v>44400</v>
      </c>
      <c r="EZ14" s="72">
        <v>915.8</v>
      </c>
      <c r="FA14" s="291" t="s">
        <v>528</v>
      </c>
      <c r="FB14" s="74">
        <v>52</v>
      </c>
      <c r="FC14" s="354">
        <f t="shared" si="19"/>
        <v>47621.599999999999</v>
      </c>
      <c r="FF14" s="472"/>
      <c r="FG14" s="15">
        <v>7</v>
      </c>
      <c r="FH14" s="306">
        <v>903.1</v>
      </c>
      <c r="FI14" s="362">
        <v>44400</v>
      </c>
      <c r="FJ14" s="306">
        <v>903.1</v>
      </c>
      <c r="FK14" s="291" t="s">
        <v>523</v>
      </c>
      <c r="FL14" s="292">
        <v>52</v>
      </c>
      <c r="FM14" s="676">
        <f t="shared" si="20"/>
        <v>46961.200000000004</v>
      </c>
      <c r="FP14" s="111"/>
      <c r="FQ14" s="15">
        <v>7</v>
      </c>
      <c r="FR14" s="96">
        <v>938.93</v>
      </c>
      <c r="FS14" s="357">
        <v>44401</v>
      </c>
      <c r="FT14" s="96">
        <v>938.93</v>
      </c>
      <c r="FU14" s="73" t="s">
        <v>537</v>
      </c>
      <c r="FV14" s="74">
        <v>54</v>
      </c>
      <c r="FW14" s="676">
        <f t="shared" si="21"/>
        <v>50702.219999999994</v>
      </c>
      <c r="FZ14" s="111"/>
      <c r="GA14" s="15">
        <v>7</v>
      </c>
      <c r="GB14" s="72">
        <v>870.4</v>
      </c>
      <c r="GC14" s="573">
        <v>44404</v>
      </c>
      <c r="GD14" s="72">
        <v>870.4</v>
      </c>
      <c r="GE14" s="291" t="s">
        <v>515</v>
      </c>
      <c r="GF14" s="292">
        <v>54</v>
      </c>
      <c r="GG14" s="354">
        <f t="shared" si="22"/>
        <v>47001.599999999999</v>
      </c>
      <c r="GJ14" s="111"/>
      <c r="GK14" s="15">
        <v>7</v>
      </c>
      <c r="GL14" s="551">
        <v>879.5</v>
      </c>
      <c r="GM14" s="357">
        <v>44404</v>
      </c>
      <c r="GN14" s="551">
        <v>879.5</v>
      </c>
      <c r="GO14" s="99" t="s">
        <v>547</v>
      </c>
      <c r="GP14" s="74">
        <v>54</v>
      </c>
      <c r="GQ14" s="676">
        <f t="shared" si="23"/>
        <v>47493</v>
      </c>
      <c r="GT14" s="111"/>
      <c r="GU14" s="15">
        <v>7</v>
      </c>
      <c r="GV14" s="96">
        <v>957.53</v>
      </c>
      <c r="GW14" s="357">
        <v>44405</v>
      </c>
      <c r="GX14" s="96">
        <v>957.53</v>
      </c>
      <c r="GY14" s="99" t="s">
        <v>551</v>
      </c>
      <c r="GZ14" s="74">
        <v>54</v>
      </c>
      <c r="HA14" s="676">
        <f t="shared" si="24"/>
        <v>51706.619999999995</v>
      </c>
      <c r="HD14" s="111"/>
      <c r="HE14" s="15">
        <v>7</v>
      </c>
      <c r="HF14" s="96">
        <v>939.84</v>
      </c>
      <c r="HG14" s="357">
        <v>44407</v>
      </c>
      <c r="HH14" s="96">
        <v>939.84</v>
      </c>
      <c r="HI14" s="99" t="s">
        <v>557</v>
      </c>
      <c r="HJ14" s="74">
        <v>54</v>
      </c>
      <c r="HK14" s="676">
        <f t="shared" si="25"/>
        <v>50751.360000000001</v>
      </c>
      <c r="HN14" s="111"/>
      <c r="HO14" s="15">
        <v>7</v>
      </c>
      <c r="HP14" s="306">
        <v>923.5</v>
      </c>
      <c r="HQ14" s="362">
        <v>44408</v>
      </c>
      <c r="HR14" s="306">
        <v>923.5</v>
      </c>
      <c r="HS14" s="422" t="s">
        <v>567</v>
      </c>
      <c r="HT14" s="292">
        <v>54</v>
      </c>
      <c r="HU14" s="354">
        <f t="shared" si="26"/>
        <v>49869</v>
      </c>
      <c r="HX14" s="111"/>
      <c r="HY14" s="15">
        <v>7</v>
      </c>
      <c r="HZ14" s="72">
        <v>889.5</v>
      </c>
      <c r="IA14" s="373">
        <v>44407</v>
      </c>
      <c r="IB14" s="72">
        <v>889.5</v>
      </c>
      <c r="IC14" s="73" t="s">
        <v>559</v>
      </c>
      <c r="ID14" s="74">
        <v>54</v>
      </c>
      <c r="IE14" s="676">
        <f t="shared" si="27"/>
        <v>48033</v>
      </c>
      <c r="IH14" s="111"/>
      <c r="II14" s="15">
        <v>7</v>
      </c>
      <c r="IJ14" s="72"/>
      <c r="IK14" s="373"/>
      <c r="IL14" s="72"/>
      <c r="IM14" s="73"/>
      <c r="IN14" s="74"/>
      <c r="IO14" s="676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6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6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6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6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6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6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6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6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67915809</v>
      </c>
      <c r="E15" s="144">
        <f t="shared" si="53"/>
        <v>44397</v>
      </c>
      <c r="F15" s="90">
        <f t="shared" si="53"/>
        <v>18974.37</v>
      </c>
      <c r="G15" s="76">
        <f t="shared" si="53"/>
        <v>21</v>
      </c>
      <c r="H15" s="49">
        <f t="shared" si="53"/>
        <v>18970.599999999999</v>
      </c>
      <c r="I15" s="110">
        <f t="shared" si="53"/>
        <v>3.7700000000004366</v>
      </c>
      <c r="L15" s="111"/>
      <c r="M15" s="15">
        <v>7</v>
      </c>
      <c r="N15" s="96">
        <v>916.7</v>
      </c>
      <c r="O15" s="357">
        <v>44383</v>
      </c>
      <c r="P15" s="96">
        <v>916.7</v>
      </c>
      <c r="Q15" s="73" t="s">
        <v>409</v>
      </c>
      <c r="R15" s="74">
        <v>43</v>
      </c>
      <c r="S15" s="676">
        <f t="shared" si="47"/>
        <v>39418.1</v>
      </c>
      <c r="T15" s="267"/>
      <c r="V15" s="111"/>
      <c r="W15" s="15">
        <v>8</v>
      </c>
      <c r="X15" s="306">
        <v>900.83</v>
      </c>
      <c r="Y15" s="362">
        <v>44384</v>
      </c>
      <c r="Z15" s="306">
        <v>900.83</v>
      </c>
      <c r="AA15" s="422" t="s">
        <v>420</v>
      </c>
      <c r="AB15" s="292">
        <v>43</v>
      </c>
      <c r="AC15" s="354">
        <f t="shared" si="7"/>
        <v>38735.69</v>
      </c>
      <c r="AF15" s="111"/>
      <c r="AG15" s="15">
        <v>8</v>
      </c>
      <c r="AH15" s="96">
        <v>908.09</v>
      </c>
      <c r="AI15" s="357">
        <v>44385</v>
      </c>
      <c r="AJ15" s="96">
        <v>908.09</v>
      </c>
      <c r="AK15" s="99" t="s">
        <v>427</v>
      </c>
      <c r="AL15" s="74">
        <v>45</v>
      </c>
      <c r="AM15" s="684">
        <f t="shared" si="8"/>
        <v>40864.050000000003</v>
      </c>
      <c r="AP15" s="111"/>
      <c r="AQ15" s="15">
        <v>8</v>
      </c>
      <c r="AR15" s="351">
        <v>866.8</v>
      </c>
      <c r="AS15" s="362">
        <v>44386</v>
      </c>
      <c r="AT15" s="351">
        <v>866.8</v>
      </c>
      <c r="AU15" s="350" t="s">
        <v>435</v>
      </c>
      <c r="AV15" s="292">
        <v>46</v>
      </c>
      <c r="AW15" s="354">
        <f t="shared" si="9"/>
        <v>39872.799999999996</v>
      </c>
      <c r="AZ15" s="111"/>
      <c r="BA15" s="15">
        <v>8</v>
      </c>
      <c r="BB15" s="96">
        <v>883.1</v>
      </c>
      <c r="BC15" s="144">
        <v>44386</v>
      </c>
      <c r="BD15" s="96">
        <v>883.1</v>
      </c>
      <c r="BE15" s="99" t="s">
        <v>437</v>
      </c>
      <c r="BF15" s="416">
        <v>46</v>
      </c>
      <c r="BG15" s="704">
        <f t="shared" si="10"/>
        <v>40622.6</v>
      </c>
      <c r="BJ15" s="111"/>
      <c r="BK15" s="15">
        <v>8</v>
      </c>
      <c r="BL15" s="96">
        <v>880.4</v>
      </c>
      <c r="BM15" s="144">
        <v>44390</v>
      </c>
      <c r="BN15" s="96">
        <v>880.4</v>
      </c>
      <c r="BO15" s="99" t="s">
        <v>458</v>
      </c>
      <c r="BP15" s="416">
        <v>48</v>
      </c>
      <c r="BQ15" s="704">
        <f t="shared" si="11"/>
        <v>42259.199999999997</v>
      </c>
      <c r="BT15" s="111"/>
      <c r="BU15" s="289">
        <v>8</v>
      </c>
      <c r="BV15" s="306">
        <v>858.6</v>
      </c>
      <c r="BW15" s="417">
        <v>44390</v>
      </c>
      <c r="BX15" s="306">
        <v>858.6</v>
      </c>
      <c r="BY15" s="418" t="s">
        <v>457</v>
      </c>
      <c r="BZ15" s="419">
        <v>48</v>
      </c>
      <c r="CA15" s="676">
        <f t="shared" si="12"/>
        <v>41212.800000000003</v>
      </c>
      <c r="CD15" s="111"/>
      <c r="CE15" s="15">
        <v>8</v>
      </c>
      <c r="CF15" s="96">
        <v>915.8</v>
      </c>
      <c r="CG15" s="417">
        <v>44391</v>
      </c>
      <c r="CH15" s="96">
        <v>915.8</v>
      </c>
      <c r="CI15" s="420" t="s">
        <v>469</v>
      </c>
      <c r="CJ15" s="419">
        <v>48</v>
      </c>
      <c r="CK15" s="676">
        <f t="shared" si="13"/>
        <v>43958.399999999994</v>
      </c>
      <c r="CN15" s="98"/>
      <c r="CO15" s="15">
        <v>8</v>
      </c>
      <c r="CP15" s="96">
        <v>926.68</v>
      </c>
      <c r="CQ15" s="417">
        <v>44392</v>
      </c>
      <c r="CR15" s="96">
        <v>926.68</v>
      </c>
      <c r="CS15" s="420" t="s">
        <v>473</v>
      </c>
      <c r="CT15" s="419">
        <v>49</v>
      </c>
      <c r="CU15" s="689">
        <f t="shared" si="48"/>
        <v>45407.32</v>
      </c>
      <c r="CX15" s="111"/>
      <c r="CY15" s="15">
        <v>8</v>
      </c>
      <c r="CZ15" s="96">
        <v>889</v>
      </c>
      <c r="DA15" s="357">
        <v>44393</v>
      </c>
      <c r="DB15" s="96">
        <v>889</v>
      </c>
      <c r="DC15" s="99" t="s">
        <v>481</v>
      </c>
      <c r="DD15" s="74">
        <v>50</v>
      </c>
      <c r="DE15" s="676">
        <f t="shared" si="14"/>
        <v>44450</v>
      </c>
      <c r="DH15" s="111"/>
      <c r="DI15" s="15">
        <v>8</v>
      </c>
      <c r="DJ15" s="96">
        <v>878.6</v>
      </c>
      <c r="DK15" s="417">
        <v>44393</v>
      </c>
      <c r="DL15" s="96">
        <v>878.6</v>
      </c>
      <c r="DM15" s="420" t="s">
        <v>484</v>
      </c>
      <c r="DN15" s="419">
        <v>50</v>
      </c>
      <c r="DO15" s="689">
        <f t="shared" si="15"/>
        <v>43930</v>
      </c>
      <c r="DR15" s="111"/>
      <c r="DS15" s="15">
        <v>8</v>
      </c>
      <c r="DT15" s="96">
        <v>925.8</v>
      </c>
      <c r="DU15" s="417">
        <v>44397</v>
      </c>
      <c r="DV15" s="96">
        <v>925.8</v>
      </c>
      <c r="DW15" s="420" t="s">
        <v>505</v>
      </c>
      <c r="DX15" s="419">
        <v>52</v>
      </c>
      <c r="DY15" s="676">
        <f t="shared" si="16"/>
        <v>48141.599999999999</v>
      </c>
      <c r="EB15" s="111"/>
      <c r="EC15" s="15">
        <v>8</v>
      </c>
      <c r="ED15" s="72">
        <v>911.7</v>
      </c>
      <c r="EE15" s="373">
        <v>44398</v>
      </c>
      <c r="EF15" s="72">
        <v>911.7</v>
      </c>
      <c r="EG15" s="73" t="s">
        <v>511</v>
      </c>
      <c r="EH15" s="74">
        <v>52</v>
      </c>
      <c r="EI15" s="676">
        <f t="shared" si="17"/>
        <v>47408.4</v>
      </c>
      <c r="EL15" s="472"/>
      <c r="EM15" s="15">
        <v>8</v>
      </c>
      <c r="EN15" s="306">
        <v>957.07</v>
      </c>
      <c r="EO15" s="362">
        <v>44399</v>
      </c>
      <c r="EP15" s="306">
        <v>957.07</v>
      </c>
      <c r="EQ15" s="291" t="s">
        <v>520</v>
      </c>
      <c r="ER15" s="292">
        <v>52</v>
      </c>
      <c r="ES15" s="676">
        <f t="shared" si="18"/>
        <v>49767.64</v>
      </c>
      <c r="EV15" s="111"/>
      <c r="EW15" s="15">
        <v>8</v>
      </c>
      <c r="EX15" s="72">
        <v>912.2</v>
      </c>
      <c r="EY15" s="373">
        <v>44400</v>
      </c>
      <c r="EZ15" s="72">
        <v>912.2</v>
      </c>
      <c r="FA15" s="291" t="s">
        <v>528</v>
      </c>
      <c r="FB15" s="74">
        <v>52</v>
      </c>
      <c r="FC15" s="354">
        <f t="shared" si="19"/>
        <v>47434.400000000001</v>
      </c>
      <c r="FF15" s="472"/>
      <c r="FG15" s="15">
        <v>8</v>
      </c>
      <c r="FH15" s="306">
        <v>896.7</v>
      </c>
      <c r="FI15" s="362">
        <v>44400</v>
      </c>
      <c r="FJ15" s="306">
        <v>896.7</v>
      </c>
      <c r="FK15" s="291" t="s">
        <v>523</v>
      </c>
      <c r="FL15" s="292">
        <v>52</v>
      </c>
      <c r="FM15" s="676">
        <f t="shared" si="20"/>
        <v>46628.4</v>
      </c>
      <c r="FP15" s="111"/>
      <c r="FQ15" s="15">
        <v>8</v>
      </c>
      <c r="FR15" s="96">
        <v>939.84</v>
      </c>
      <c r="FS15" s="357">
        <v>44401</v>
      </c>
      <c r="FT15" s="96">
        <v>939.84</v>
      </c>
      <c r="FU15" s="73" t="s">
        <v>537</v>
      </c>
      <c r="FV15" s="74">
        <v>54</v>
      </c>
      <c r="FW15" s="676">
        <f t="shared" si="21"/>
        <v>50751.360000000001</v>
      </c>
      <c r="FZ15" s="111"/>
      <c r="GA15" s="15">
        <v>8</v>
      </c>
      <c r="GB15" s="72">
        <v>876.8</v>
      </c>
      <c r="GC15" s="573">
        <v>44404</v>
      </c>
      <c r="GD15" s="72">
        <v>876.8</v>
      </c>
      <c r="GE15" s="291" t="s">
        <v>515</v>
      </c>
      <c r="GF15" s="292">
        <v>54</v>
      </c>
      <c r="GG15" s="354">
        <f t="shared" si="22"/>
        <v>47347.199999999997</v>
      </c>
      <c r="GJ15" s="111"/>
      <c r="GK15" s="15">
        <v>8</v>
      </c>
      <c r="GL15" s="551">
        <v>918.5</v>
      </c>
      <c r="GM15" s="357">
        <v>44404</v>
      </c>
      <c r="GN15" s="551">
        <v>918.5</v>
      </c>
      <c r="GO15" s="99" t="s">
        <v>547</v>
      </c>
      <c r="GP15" s="74">
        <v>54</v>
      </c>
      <c r="GQ15" s="676">
        <f t="shared" si="23"/>
        <v>49599</v>
      </c>
      <c r="GT15" s="111"/>
      <c r="GU15" s="15">
        <v>8</v>
      </c>
      <c r="GV15" s="96">
        <v>952.54</v>
      </c>
      <c r="GW15" s="357">
        <v>44405</v>
      </c>
      <c r="GX15" s="96">
        <v>952.54</v>
      </c>
      <c r="GY15" s="99" t="s">
        <v>551</v>
      </c>
      <c r="GZ15" s="74">
        <v>54</v>
      </c>
      <c r="HA15" s="676">
        <f t="shared" si="24"/>
        <v>51437.159999999996</v>
      </c>
      <c r="HD15" s="111"/>
      <c r="HE15" s="15">
        <v>8</v>
      </c>
      <c r="HF15" s="96">
        <v>967.96</v>
      </c>
      <c r="HG15" s="357">
        <v>44407</v>
      </c>
      <c r="HH15" s="96">
        <v>967.96</v>
      </c>
      <c r="HI15" s="99" t="s">
        <v>558</v>
      </c>
      <c r="HJ15" s="74">
        <v>54</v>
      </c>
      <c r="HK15" s="676">
        <f t="shared" si="25"/>
        <v>52269.840000000004</v>
      </c>
      <c r="HN15" s="111"/>
      <c r="HO15" s="15">
        <v>8</v>
      </c>
      <c r="HP15" s="306">
        <v>901.3</v>
      </c>
      <c r="HQ15" s="362">
        <v>44408</v>
      </c>
      <c r="HR15" s="306">
        <v>901.3</v>
      </c>
      <c r="HS15" s="422" t="s">
        <v>567</v>
      </c>
      <c r="HT15" s="292">
        <v>54</v>
      </c>
      <c r="HU15" s="354">
        <f t="shared" si="26"/>
        <v>48670.2</v>
      </c>
      <c r="HX15" s="98"/>
      <c r="HY15" s="15">
        <v>8</v>
      </c>
      <c r="HZ15" s="72">
        <v>894.9</v>
      </c>
      <c r="IA15" s="373">
        <v>44407</v>
      </c>
      <c r="IB15" s="72">
        <v>894.9</v>
      </c>
      <c r="IC15" s="73" t="s">
        <v>559</v>
      </c>
      <c r="ID15" s="74">
        <v>54</v>
      </c>
      <c r="IE15" s="676">
        <f t="shared" si="27"/>
        <v>48324.6</v>
      </c>
      <c r="IH15" s="98"/>
      <c r="II15" s="15">
        <v>8</v>
      </c>
      <c r="IJ15" s="72"/>
      <c r="IK15" s="373"/>
      <c r="IL15" s="72"/>
      <c r="IM15" s="73"/>
      <c r="IN15" s="74"/>
      <c r="IO15" s="676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6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6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6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6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6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6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6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6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67949515</v>
      </c>
      <c r="E16" s="144">
        <f t="shared" si="54"/>
        <v>44398</v>
      </c>
      <c r="F16" s="90">
        <f t="shared" si="54"/>
        <v>18966.86</v>
      </c>
      <c r="G16" s="76">
        <f t="shared" si="54"/>
        <v>21</v>
      </c>
      <c r="H16" s="49">
        <f t="shared" si="54"/>
        <v>18992.2</v>
      </c>
      <c r="I16" s="110">
        <f t="shared" si="54"/>
        <v>-25.340000000000146</v>
      </c>
      <c r="L16" s="111"/>
      <c r="M16" s="15">
        <v>8</v>
      </c>
      <c r="N16" s="96">
        <v>888.6</v>
      </c>
      <c r="O16" s="357">
        <v>44383</v>
      </c>
      <c r="P16" s="96">
        <v>888.6</v>
      </c>
      <c r="Q16" s="73" t="s">
        <v>409</v>
      </c>
      <c r="R16" s="74">
        <v>43</v>
      </c>
      <c r="S16" s="676">
        <f t="shared" si="47"/>
        <v>38209.800000000003</v>
      </c>
      <c r="T16" s="267"/>
      <c r="V16" s="111"/>
      <c r="W16" s="15">
        <v>9</v>
      </c>
      <c r="X16" s="306">
        <v>923.51</v>
      </c>
      <c r="Y16" s="362">
        <v>44384</v>
      </c>
      <c r="Z16" s="306">
        <v>923.51</v>
      </c>
      <c r="AA16" s="422" t="s">
        <v>420</v>
      </c>
      <c r="AB16" s="292">
        <v>43</v>
      </c>
      <c r="AC16" s="354">
        <f t="shared" si="7"/>
        <v>39710.93</v>
      </c>
      <c r="AF16" s="111"/>
      <c r="AG16" s="15">
        <v>9</v>
      </c>
      <c r="AH16" s="96">
        <v>903.1</v>
      </c>
      <c r="AI16" s="357">
        <v>44385</v>
      </c>
      <c r="AJ16" s="96">
        <v>903.1</v>
      </c>
      <c r="AK16" s="99" t="s">
        <v>427</v>
      </c>
      <c r="AL16" s="74">
        <v>45</v>
      </c>
      <c r="AM16" s="684">
        <f t="shared" si="8"/>
        <v>40639.5</v>
      </c>
      <c r="AP16" s="111"/>
      <c r="AQ16" s="15">
        <v>9</v>
      </c>
      <c r="AR16" s="351">
        <v>863.2</v>
      </c>
      <c r="AS16" s="362">
        <v>44386</v>
      </c>
      <c r="AT16" s="351">
        <v>863.2</v>
      </c>
      <c r="AU16" s="350" t="s">
        <v>435</v>
      </c>
      <c r="AV16" s="292">
        <v>46</v>
      </c>
      <c r="AW16" s="354">
        <f t="shared" si="9"/>
        <v>39707.200000000004</v>
      </c>
      <c r="AZ16" s="111"/>
      <c r="BA16" s="15">
        <v>9</v>
      </c>
      <c r="BB16" s="96">
        <v>865.9</v>
      </c>
      <c r="BC16" s="144">
        <v>44386</v>
      </c>
      <c r="BD16" s="96">
        <v>865.9</v>
      </c>
      <c r="BE16" s="99" t="s">
        <v>437</v>
      </c>
      <c r="BF16" s="416">
        <v>46</v>
      </c>
      <c r="BG16" s="704">
        <f t="shared" si="10"/>
        <v>39831.4</v>
      </c>
      <c r="BJ16" s="111"/>
      <c r="BK16" s="15">
        <v>9</v>
      </c>
      <c r="BL16" s="96">
        <v>865</v>
      </c>
      <c r="BM16" s="144">
        <v>44390</v>
      </c>
      <c r="BN16" s="96">
        <v>865</v>
      </c>
      <c r="BO16" s="99" t="s">
        <v>458</v>
      </c>
      <c r="BP16" s="416">
        <v>48</v>
      </c>
      <c r="BQ16" s="704">
        <f t="shared" si="11"/>
        <v>41520</v>
      </c>
      <c r="BT16" s="111"/>
      <c r="BU16" s="289">
        <v>9</v>
      </c>
      <c r="BV16" s="306">
        <v>875.9</v>
      </c>
      <c r="BW16" s="417">
        <v>44390</v>
      </c>
      <c r="BX16" s="306">
        <v>875.9</v>
      </c>
      <c r="BY16" s="418" t="s">
        <v>457</v>
      </c>
      <c r="BZ16" s="419">
        <v>48</v>
      </c>
      <c r="CA16" s="676">
        <f t="shared" si="12"/>
        <v>42043.199999999997</v>
      </c>
      <c r="CD16" s="111"/>
      <c r="CE16" s="15">
        <v>9</v>
      </c>
      <c r="CF16" s="96">
        <v>944.83</v>
      </c>
      <c r="CG16" s="417">
        <v>44391</v>
      </c>
      <c r="CH16" s="96">
        <v>944.83</v>
      </c>
      <c r="CI16" s="420" t="s">
        <v>469</v>
      </c>
      <c r="CJ16" s="419">
        <v>48</v>
      </c>
      <c r="CK16" s="676">
        <f t="shared" si="13"/>
        <v>45351.840000000004</v>
      </c>
      <c r="CN16" s="98"/>
      <c r="CO16" s="15">
        <v>9</v>
      </c>
      <c r="CP16" s="96">
        <v>889.49</v>
      </c>
      <c r="CQ16" s="417">
        <v>44392</v>
      </c>
      <c r="CR16" s="96">
        <v>889.49</v>
      </c>
      <c r="CS16" s="420" t="s">
        <v>473</v>
      </c>
      <c r="CT16" s="419">
        <v>49</v>
      </c>
      <c r="CU16" s="689">
        <f t="shared" si="48"/>
        <v>43585.01</v>
      </c>
      <c r="CX16" s="111"/>
      <c r="CY16" s="15">
        <v>9</v>
      </c>
      <c r="CZ16" s="96">
        <v>875.9</v>
      </c>
      <c r="DA16" s="357">
        <v>44393</v>
      </c>
      <c r="DB16" s="96">
        <v>875.9</v>
      </c>
      <c r="DC16" s="99" t="s">
        <v>481</v>
      </c>
      <c r="DD16" s="74">
        <v>50</v>
      </c>
      <c r="DE16" s="676">
        <f t="shared" si="14"/>
        <v>43795</v>
      </c>
      <c r="DH16" s="111"/>
      <c r="DI16" s="15">
        <v>9</v>
      </c>
      <c r="DJ16" s="96">
        <v>892.2</v>
      </c>
      <c r="DK16" s="417">
        <v>44393</v>
      </c>
      <c r="DL16" s="96">
        <v>892.2</v>
      </c>
      <c r="DM16" s="420" t="s">
        <v>484</v>
      </c>
      <c r="DN16" s="419">
        <v>50</v>
      </c>
      <c r="DO16" s="689">
        <f t="shared" si="15"/>
        <v>44610</v>
      </c>
      <c r="DR16" s="111"/>
      <c r="DS16" s="15">
        <v>9</v>
      </c>
      <c r="DT16" s="96">
        <v>912.2</v>
      </c>
      <c r="DU16" s="417">
        <v>44397</v>
      </c>
      <c r="DV16" s="96">
        <v>912.2</v>
      </c>
      <c r="DW16" s="420" t="s">
        <v>504</v>
      </c>
      <c r="DX16" s="419">
        <v>52</v>
      </c>
      <c r="DY16" s="676">
        <f t="shared" si="16"/>
        <v>47434.400000000001</v>
      </c>
      <c r="EB16" s="111"/>
      <c r="EC16" s="15">
        <v>9</v>
      </c>
      <c r="ED16" s="72">
        <v>908.5</v>
      </c>
      <c r="EE16" s="373">
        <v>44398</v>
      </c>
      <c r="EF16" s="72">
        <v>908.5</v>
      </c>
      <c r="EG16" s="73" t="s">
        <v>511</v>
      </c>
      <c r="EH16" s="74">
        <v>52</v>
      </c>
      <c r="EI16" s="676">
        <f t="shared" si="17"/>
        <v>47242</v>
      </c>
      <c r="EL16" s="472"/>
      <c r="EM16" s="15">
        <v>9</v>
      </c>
      <c r="EN16" s="306">
        <v>942.11</v>
      </c>
      <c r="EO16" s="362">
        <v>44399</v>
      </c>
      <c r="EP16" s="306">
        <v>942.11</v>
      </c>
      <c r="EQ16" s="291" t="s">
        <v>520</v>
      </c>
      <c r="ER16" s="292">
        <v>52</v>
      </c>
      <c r="ES16" s="676">
        <f t="shared" si="18"/>
        <v>48989.72</v>
      </c>
      <c r="EV16" s="111"/>
      <c r="EW16" s="15">
        <v>9</v>
      </c>
      <c r="EX16" s="72">
        <v>885.9</v>
      </c>
      <c r="EY16" s="373">
        <v>44400</v>
      </c>
      <c r="EZ16" s="72">
        <v>885.9</v>
      </c>
      <c r="FA16" s="291" t="s">
        <v>528</v>
      </c>
      <c r="FB16" s="74">
        <v>52</v>
      </c>
      <c r="FC16" s="354">
        <f t="shared" si="19"/>
        <v>46066.799999999996</v>
      </c>
      <c r="FF16" s="472"/>
      <c r="FG16" s="15">
        <v>9</v>
      </c>
      <c r="FH16" s="306">
        <v>889.5</v>
      </c>
      <c r="FI16" s="362">
        <v>44400</v>
      </c>
      <c r="FJ16" s="306">
        <v>889.5</v>
      </c>
      <c r="FK16" s="291" t="s">
        <v>523</v>
      </c>
      <c r="FL16" s="292">
        <v>52</v>
      </c>
      <c r="FM16" s="676">
        <f t="shared" si="20"/>
        <v>46254</v>
      </c>
      <c r="FP16" s="111"/>
      <c r="FQ16" s="15">
        <v>9</v>
      </c>
      <c r="FR16" s="96">
        <v>962.52</v>
      </c>
      <c r="FS16" s="357">
        <v>44401</v>
      </c>
      <c r="FT16" s="96">
        <v>962.52</v>
      </c>
      <c r="FU16" s="73" t="s">
        <v>537</v>
      </c>
      <c r="FV16" s="74">
        <v>54</v>
      </c>
      <c r="FW16" s="676">
        <f t="shared" si="21"/>
        <v>51976.08</v>
      </c>
      <c r="FZ16" s="111"/>
      <c r="GA16" s="15">
        <v>9</v>
      </c>
      <c r="GB16" s="72">
        <v>879.5</v>
      </c>
      <c r="GC16" s="573">
        <v>44404</v>
      </c>
      <c r="GD16" s="72">
        <v>879.5</v>
      </c>
      <c r="GE16" s="291" t="s">
        <v>515</v>
      </c>
      <c r="GF16" s="292">
        <v>54</v>
      </c>
      <c r="GG16" s="354">
        <f t="shared" si="22"/>
        <v>47493</v>
      </c>
      <c r="GJ16" s="111"/>
      <c r="GK16" s="15">
        <v>9</v>
      </c>
      <c r="GL16" s="551">
        <v>892.2</v>
      </c>
      <c r="GM16" s="357">
        <v>44404</v>
      </c>
      <c r="GN16" s="551">
        <v>892.2</v>
      </c>
      <c r="GO16" s="99" t="s">
        <v>547</v>
      </c>
      <c r="GP16" s="74">
        <v>54</v>
      </c>
      <c r="GQ16" s="676">
        <f t="shared" si="23"/>
        <v>48178.8</v>
      </c>
      <c r="GT16" s="111"/>
      <c r="GU16" s="15">
        <v>9</v>
      </c>
      <c r="GV16" s="96">
        <v>937.12</v>
      </c>
      <c r="GW16" s="357">
        <v>44405</v>
      </c>
      <c r="GX16" s="96">
        <v>937.12</v>
      </c>
      <c r="GY16" s="99" t="s">
        <v>551</v>
      </c>
      <c r="GZ16" s="74">
        <v>54</v>
      </c>
      <c r="HA16" s="676">
        <f t="shared" si="24"/>
        <v>50604.480000000003</v>
      </c>
      <c r="HD16" s="111"/>
      <c r="HE16" s="15">
        <v>9</v>
      </c>
      <c r="HF16" s="96">
        <v>899.02</v>
      </c>
      <c r="HG16" s="357">
        <v>44407</v>
      </c>
      <c r="HH16" s="96">
        <v>899.02</v>
      </c>
      <c r="HI16" s="99" t="s">
        <v>558</v>
      </c>
      <c r="HJ16" s="74">
        <v>54</v>
      </c>
      <c r="HK16" s="676">
        <f t="shared" si="25"/>
        <v>48547.08</v>
      </c>
      <c r="HN16" s="111"/>
      <c r="HO16" s="15">
        <v>9</v>
      </c>
      <c r="HP16" s="306">
        <v>888.1</v>
      </c>
      <c r="HQ16" s="362">
        <v>44408</v>
      </c>
      <c r="HR16" s="306">
        <v>888.1</v>
      </c>
      <c r="HS16" s="422" t="s">
        <v>565</v>
      </c>
      <c r="HT16" s="292">
        <v>54</v>
      </c>
      <c r="HU16" s="354">
        <f t="shared" si="26"/>
        <v>47957.4</v>
      </c>
      <c r="HX16" s="98"/>
      <c r="HY16" s="15">
        <v>9</v>
      </c>
      <c r="HZ16" s="72">
        <v>934.4</v>
      </c>
      <c r="IA16" s="373">
        <v>44407</v>
      </c>
      <c r="IB16" s="72">
        <v>934.4</v>
      </c>
      <c r="IC16" s="73" t="s">
        <v>559</v>
      </c>
      <c r="ID16" s="74">
        <v>54</v>
      </c>
      <c r="IE16" s="676">
        <f t="shared" si="27"/>
        <v>50457.599999999999</v>
      </c>
      <c r="IH16" s="98"/>
      <c r="II16" s="15">
        <v>9</v>
      </c>
      <c r="IJ16" s="72"/>
      <c r="IK16" s="373"/>
      <c r="IL16" s="72"/>
      <c r="IM16" s="73"/>
      <c r="IN16" s="74"/>
      <c r="IO16" s="676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6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6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6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6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6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6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6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6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TYSON FRESH MEAT</v>
      </c>
      <c r="C17" s="79" t="str">
        <f t="shared" si="55"/>
        <v xml:space="preserve">I B P </v>
      </c>
      <c r="D17" s="107" t="str">
        <f t="shared" si="55"/>
        <v>PED. 67982019</v>
      </c>
      <c r="E17" s="144">
        <f t="shared" si="55"/>
        <v>44399</v>
      </c>
      <c r="F17" s="90">
        <f t="shared" si="55"/>
        <v>18606.96</v>
      </c>
      <c r="G17" s="76">
        <f t="shared" si="55"/>
        <v>20</v>
      </c>
      <c r="H17" s="49">
        <f t="shared" si="55"/>
        <v>18631.2</v>
      </c>
      <c r="I17" s="110">
        <f t="shared" si="55"/>
        <v>-24.240000000001601</v>
      </c>
      <c r="L17" s="111"/>
      <c r="M17" s="15">
        <v>9</v>
      </c>
      <c r="N17" s="96">
        <v>904.6</v>
      </c>
      <c r="O17" s="357">
        <v>44383</v>
      </c>
      <c r="P17" s="96">
        <v>904.9</v>
      </c>
      <c r="Q17" s="73" t="s">
        <v>409</v>
      </c>
      <c r="R17" s="74">
        <v>43</v>
      </c>
      <c r="S17" s="676">
        <f t="shared" si="47"/>
        <v>38910.699999999997</v>
      </c>
      <c r="T17" s="267"/>
      <c r="V17" s="111"/>
      <c r="W17" s="15">
        <v>10</v>
      </c>
      <c r="X17" s="306">
        <v>932.13</v>
      </c>
      <c r="Y17" s="362">
        <v>44384</v>
      </c>
      <c r="Z17" s="306">
        <v>932.13</v>
      </c>
      <c r="AA17" s="422" t="s">
        <v>420</v>
      </c>
      <c r="AB17" s="292">
        <v>43</v>
      </c>
      <c r="AC17" s="354">
        <f t="shared" si="7"/>
        <v>40081.589999999997</v>
      </c>
      <c r="AF17" s="111"/>
      <c r="AG17" s="15">
        <v>10</v>
      </c>
      <c r="AH17" s="96">
        <v>894.03</v>
      </c>
      <c r="AI17" s="357">
        <v>44385</v>
      </c>
      <c r="AJ17" s="96">
        <v>894.03</v>
      </c>
      <c r="AK17" s="99" t="s">
        <v>427</v>
      </c>
      <c r="AL17" s="74">
        <v>45</v>
      </c>
      <c r="AM17" s="684">
        <f t="shared" si="8"/>
        <v>40231.35</v>
      </c>
      <c r="AP17" s="111"/>
      <c r="AQ17" s="15">
        <v>10</v>
      </c>
      <c r="AR17" s="351">
        <v>837.8</v>
      </c>
      <c r="AS17" s="362">
        <v>44386</v>
      </c>
      <c r="AT17" s="351">
        <v>837.8</v>
      </c>
      <c r="AU17" s="350" t="s">
        <v>435</v>
      </c>
      <c r="AV17" s="292">
        <v>46</v>
      </c>
      <c r="AW17" s="354">
        <f t="shared" si="9"/>
        <v>38538.799999999996</v>
      </c>
      <c r="AZ17" s="111"/>
      <c r="BA17" s="15">
        <v>10</v>
      </c>
      <c r="BB17" s="96">
        <v>877.7</v>
      </c>
      <c r="BC17" s="144">
        <v>44386</v>
      </c>
      <c r="BD17" s="96">
        <v>877.7</v>
      </c>
      <c r="BE17" s="99" t="s">
        <v>437</v>
      </c>
      <c r="BF17" s="416">
        <v>46</v>
      </c>
      <c r="BG17" s="704">
        <f t="shared" si="10"/>
        <v>40374.200000000004</v>
      </c>
      <c r="BJ17" s="111"/>
      <c r="BK17" s="15">
        <v>10</v>
      </c>
      <c r="BL17" s="96">
        <v>880.4</v>
      </c>
      <c r="BM17" s="144">
        <v>44390</v>
      </c>
      <c r="BN17" s="96">
        <v>880.4</v>
      </c>
      <c r="BO17" s="99" t="s">
        <v>458</v>
      </c>
      <c r="BP17" s="416">
        <v>48</v>
      </c>
      <c r="BQ17" s="704">
        <f t="shared" si="11"/>
        <v>42259.199999999997</v>
      </c>
      <c r="BT17" s="111"/>
      <c r="BU17" s="289">
        <v>10</v>
      </c>
      <c r="BV17" s="290">
        <v>863.2</v>
      </c>
      <c r="BW17" s="417">
        <v>44390</v>
      </c>
      <c r="BX17" s="290">
        <v>863.2</v>
      </c>
      <c r="BY17" s="418" t="s">
        <v>457</v>
      </c>
      <c r="BZ17" s="419">
        <v>48</v>
      </c>
      <c r="CA17" s="676">
        <f t="shared" si="12"/>
        <v>41433.600000000006</v>
      </c>
      <c r="CD17" s="111"/>
      <c r="CE17" s="15">
        <v>10</v>
      </c>
      <c r="CF17" s="96">
        <v>933.94</v>
      </c>
      <c r="CG17" s="417">
        <v>44391</v>
      </c>
      <c r="CH17" s="96">
        <v>933.94</v>
      </c>
      <c r="CI17" s="420" t="s">
        <v>469</v>
      </c>
      <c r="CJ17" s="419">
        <v>48</v>
      </c>
      <c r="CK17" s="676">
        <f t="shared" si="13"/>
        <v>44829.120000000003</v>
      </c>
      <c r="CN17" s="98"/>
      <c r="CO17" s="15">
        <v>10</v>
      </c>
      <c r="CP17" s="96">
        <v>923.96</v>
      </c>
      <c r="CQ17" s="417">
        <v>44392</v>
      </c>
      <c r="CR17" s="96">
        <v>923.96</v>
      </c>
      <c r="CS17" s="420" t="s">
        <v>473</v>
      </c>
      <c r="CT17" s="419">
        <v>49</v>
      </c>
      <c r="CU17" s="689">
        <f t="shared" si="48"/>
        <v>45274.04</v>
      </c>
      <c r="CX17" s="111"/>
      <c r="CY17" s="15">
        <v>10</v>
      </c>
      <c r="CZ17" s="96">
        <v>882.2</v>
      </c>
      <c r="DA17" s="357">
        <v>44393</v>
      </c>
      <c r="DB17" s="96">
        <v>882.2</v>
      </c>
      <c r="DC17" s="99" t="s">
        <v>481</v>
      </c>
      <c r="DD17" s="74">
        <v>50</v>
      </c>
      <c r="DE17" s="676">
        <f t="shared" si="14"/>
        <v>44110</v>
      </c>
      <c r="DH17" s="111"/>
      <c r="DI17" s="15">
        <v>10</v>
      </c>
      <c r="DJ17" s="72">
        <v>889.5</v>
      </c>
      <c r="DK17" s="417">
        <v>44393</v>
      </c>
      <c r="DL17" s="72">
        <v>889.5</v>
      </c>
      <c r="DM17" s="420" t="s">
        <v>484</v>
      </c>
      <c r="DN17" s="419">
        <v>50</v>
      </c>
      <c r="DO17" s="689">
        <f t="shared" si="15"/>
        <v>44475</v>
      </c>
      <c r="DR17" s="111"/>
      <c r="DS17" s="15">
        <v>10</v>
      </c>
      <c r="DT17" s="72">
        <v>930.8</v>
      </c>
      <c r="DU17" s="417">
        <v>44397</v>
      </c>
      <c r="DV17" s="72">
        <v>930.8</v>
      </c>
      <c r="DW17" s="420" t="s">
        <v>504</v>
      </c>
      <c r="DX17" s="419">
        <v>52</v>
      </c>
      <c r="DY17" s="676">
        <f t="shared" si="16"/>
        <v>48401.599999999999</v>
      </c>
      <c r="EB17" s="111"/>
      <c r="EC17" s="15">
        <v>10</v>
      </c>
      <c r="ED17" s="72">
        <v>905.8</v>
      </c>
      <c r="EE17" s="373">
        <v>44398</v>
      </c>
      <c r="EF17" s="72">
        <v>905.8</v>
      </c>
      <c r="EG17" s="73" t="s">
        <v>511</v>
      </c>
      <c r="EH17" s="74">
        <v>52</v>
      </c>
      <c r="EI17" s="676">
        <f t="shared" si="17"/>
        <v>47101.599999999999</v>
      </c>
      <c r="EL17" s="111"/>
      <c r="EM17" s="15">
        <v>10</v>
      </c>
      <c r="EN17" s="306">
        <v>959.8</v>
      </c>
      <c r="EO17" s="362">
        <v>44399</v>
      </c>
      <c r="EP17" s="306">
        <v>959.8</v>
      </c>
      <c r="EQ17" s="291" t="s">
        <v>520</v>
      </c>
      <c r="ER17" s="292">
        <v>52</v>
      </c>
      <c r="ES17" s="676">
        <f t="shared" si="18"/>
        <v>49909.599999999999</v>
      </c>
      <c r="EV17" s="111"/>
      <c r="EW17" s="15">
        <v>10</v>
      </c>
      <c r="EX17" s="72">
        <v>903.1</v>
      </c>
      <c r="EY17" s="373">
        <v>44400</v>
      </c>
      <c r="EZ17" s="72">
        <v>903.1</v>
      </c>
      <c r="FA17" s="291" t="s">
        <v>528</v>
      </c>
      <c r="FB17" s="74">
        <v>52</v>
      </c>
      <c r="FC17" s="354">
        <f t="shared" si="19"/>
        <v>46961.200000000004</v>
      </c>
      <c r="FF17" s="111"/>
      <c r="FG17" s="15">
        <v>10</v>
      </c>
      <c r="FH17" s="306">
        <v>899.5</v>
      </c>
      <c r="FI17" s="362">
        <v>44400</v>
      </c>
      <c r="FJ17" s="306">
        <v>899.5</v>
      </c>
      <c r="FK17" s="291" t="s">
        <v>523</v>
      </c>
      <c r="FL17" s="292">
        <v>52</v>
      </c>
      <c r="FM17" s="676">
        <f t="shared" si="20"/>
        <v>46774</v>
      </c>
      <c r="FP17" s="111"/>
      <c r="FQ17" s="15">
        <v>10</v>
      </c>
      <c r="FR17" s="96">
        <v>962.52</v>
      </c>
      <c r="FS17" s="357">
        <v>44401</v>
      </c>
      <c r="FT17" s="96">
        <v>962.52</v>
      </c>
      <c r="FU17" s="73" t="s">
        <v>537</v>
      </c>
      <c r="FV17" s="74">
        <v>54</v>
      </c>
      <c r="FW17" s="676">
        <f t="shared" si="21"/>
        <v>51976.08</v>
      </c>
      <c r="FZ17" s="111"/>
      <c r="GA17" s="15">
        <v>10</v>
      </c>
      <c r="GB17" s="72">
        <v>874.1</v>
      </c>
      <c r="GC17" s="573">
        <v>44404</v>
      </c>
      <c r="GD17" s="72">
        <v>874.1</v>
      </c>
      <c r="GE17" s="291" t="s">
        <v>515</v>
      </c>
      <c r="GF17" s="292">
        <v>54</v>
      </c>
      <c r="GG17" s="354">
        <f t="shared" si="22"/>
        <v>47201.4</v>
      </c>
      <c r="GJ17" s="111"/>
      <c r="GK17" s="15">
        <v>10</v>
      </c>
      <c r="GL17" s="551">
        <v>906.7</v>
      </c>
      <c r="GM17" s="357">
        <v>44404</v>
      </c>
      <c r="GN17" s="551">
        <v>906.7</v>
      </c>
      <c r="GO17" s="99" t="s">
        <v>547</v>
      </c>
      <c r="GP17" s="74">
        <v>54</v>
      </c>
      <c r="GQ17" s="676">
        <f t="shared" si="23"/>
        <v>48961.8</v>
      </c>
      <c r="GT17" s="111"/>
      <c r="GU17" s="15">
        <v>10</v>
      </c>
      <c r="GV17" s="96">
        <v>943.47</v>
      </c>
      <c r="GW17" s="357">
        <v>44405</v>
      </c>
      <c r="GX17" s="96">
        <v>943.47</v>
      </c>
      <c r="GY17" s="99" t="s">
        <v>551</v>
      </c>
      <c r="GZ17" s="74">
        <v>54</v>
      </c>
      <c r="HA17" s="676">
        <f t="shared" si="24"/>
        <v>50947.380000000005</v>
      </c>
      <c r="HD17" s="111"/>
      <c r="HE17" s="15">
        <v>10</v>
      </c>
      <c r="HF17" s="96">
        <v>961.61</v>
      </c>
      <c r="HG17" s="357">
        <v>44407</v>
      </c>
      <c r="HH17" s="96">
        <v>961.61</v>
      </c>
      <c r="HI17" s="99" t="s">
        <v>558</v>
      </c>
      <c r="HJ17" s="74">
        <v>54</v>
      </c>
      <c r="HK17" s="676">
        <f t="shared" si="25"/>
        <v>51926.94</v>
      </c>
      <c r="HN17" s="111"/>
      <c r="HO17" s="15">
        <v>10</v>
      </c>
      <c r="HP17" s="306">
        <v>922.6</v>
      </c>
      <c r="HQ17" s="362">
        <v>44408</v>
      </c>
      <c r="HR17" s="306">
        <v>922.6</v>
      </c>
      <c r="HS17" s="422" t="s">
        <v>564</v>
      </c>
      <c r="HT17" s="292">
        <v>54</v>
      </c>
      <c r="HU17" s="354">
        <f t="shared" si="26"/>
        <v>49820.4</v>
      </c>
      <c r="HX17" s="98"/>
      <c r="HY17" s="15">
        <v>10</v>
      </c>
      <c r="HZ17" s="72">
        <v>925.3</v>
      </c>
      <c r="IA17" s="373">
        <v>44407</v>
      </c>
      <c r="IB17" s="72">
        <v>925.3</v>
      </c>
      <c r="IC17" s="73" t="s">
        <v>559</v>
      </c>
      <c r="ID17" s="74">
        <v>54</v>
      </c>
      <c r="IE17" s="676">
        <f t="shared" si="27"/>
        <v>49966.2</v>
      </c>
      <c r="IH17" s="98"/>
      <c r="II17" s="15">
        <v>10</v>
      </c>
      <c r="IJ17" s="72"/>
      <c r="IK17" s="373"/>
      <c r="IL17" s="72"/>
      <c r="IM17" s="73"/>
      <c r="IN17" s="74"/>
      <c r="IO17" s="676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6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6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6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6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6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6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6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6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68046789</v>
      </c>
      <c r="E18" s="144">
        <f t="shared" si="56"/>
        <v>44400</v>
      </c>
      <c r="F18" s="90">
        <f t="shared" si="56"/>
        <v>18873.689999999999</v>
      </c>
      <c r="G18" s="76">
        <f t="shared" si="56"/>
        <v>21</v>
      </c>
      <c r="H18" s="49">
        <f t="shared" si="56"/>
        <v>18921.7</v>
      </c>
      <c r="I18" s="110">
        <f t="shared" si="56"/>
        <v>-48.010000000002037</v>
      </c>
      <c r="L18" s="111"/>
      <c r="M18" s="15">
        <v>10</v>
      </c>
      <c r="N18" s="96">
        <v>907.6</v>
      </c>
      <c r="O18" s="357">
        <v>44382</v>
      </c>
      <c r="P18" s="96">
        <v>907.6</v>
      </c>
      <c r="Q18" s="73" t="s">
        <v>408</v>
      </c>
      <c r="R18" s="74">
        <v>43</v>
      </c>
      <c r="S18" s="676">
        <f t="shared" si="47"/>
        <v>39026.800000000003</v>
      </c>
      <c r="T18" s="267"/>
      <c r="V18" s="111"/>
      <c r="W18" s="15">
        <v>11</v>
      </c>
      <c r="X18" s="306">
        <v>906.27</v>
      </c>
      <c r="Y18" s="362">
        <v>44384</v>
      </c>
      <c r="Z18" s="306">
        <v>906.27</v>
      </c>
      <c r="AA18" s="422" t="s">
        <v>422</v>
      </c>
      <c r="AB18" s="292">
        <v>43</v>
      </c>
      <c r="AC18" s="354">
        <f t="shared" si="7"/>
        <v>38969.61</v>
      </c>
      <c r="AF18" s="111"/>
      <c r="AG18" s="15">
        <v>11</v>
      </c>
      <c r="AH18" s="72">
        <v>856.83</v>
      </c>
      <c r="AI18" s="357">
        <v>44385</v>
      </c>
      <c r="AJ18" s="72">
        <v>856.83</v>
      </c>
      <c r="AK18" s="99" t="s">
        <v>429</v>
      </c>
      <c r="AL18" s="74">
        <v>45</v>
      </c>
      <c r="AM18" s="684">
        <f t="shared" si="8"/>
        <v>38557.35</v>
      </c>
      <c r="AP18" s="111"/>
      <c r="AQ18" s="15">
        <v>11</v>
      </c>
      <c r="AR18" s="351">
        <v>896.7</v>
      </c>
      <c r="AS18" s="362">
        <v>44386</v>
      </c>
      <c r="AT18" s="351">
        <v>896.7</v>
      </c>
      <c r="AU18" s="350" t="s">
        <v>436</v>
      </c>
      <c r="AV18" s="292">
        <v>46</v>
      </c>
      <c r="AW18" s="354">
        <f t="shared" si="9"/>
        <v>41248.200000000004</v>
      </c>
      <c r="AZ18" s="111"/>
      <c r="BA18" s="15">
        <v>11</v>
      </c>
      <c r="BB18" s="96">
        <v>874.1</v>
      </c>
      <c r="BC18" s="144">
        <v>44386</v>
      </c>
      <c r="BD18" s="96">
        <v>874.1</v>
      </c>
      <c r="BE18" s="99" t="s">
        <v>437</v>
      </c>
      <c r="BF18" s="416">
        <v>46</v>
      </c>
      <c r="BG18" s="704">
        <f t="shared" si="10"/>
        <v>40208.6</v>
      </c>
      <c r="BJ18" s="111"/>
      <c r="BK18" s="15">
        <v>11</v>
      </c>
      <c r="BL18" s="96">
        <v>879.5</v>
      </c>
      <c r="BM18" s="144">
        <v>44390</v>
      </c>
      <c r="BN18" s="96">
        <v>879.5</v>
      </c>
      <c r="BO18" s="99" t="s">
        <v>459</v>
      </c>
      <c r="BP18" s="416">
        <v>48</v>
      </c>
      <c r="BQ18" s="704">
        <f t="shared" si="11"/>
        <v>42216</v>
      </c>
      <c r="BT18" s="111"/>
      <c r="BU18" s="289">
        <v>11</v>
      </c>
      <c r="BV18" s="306">
        <v>858.6</v>
      </c>
      <c r="BW18" s="417">
        <v>44390</v>
      </c>
      <c r="BX18" s="306">
        <v>858.6</v>
      </c>
      <c r="BY18" s="418" t="s">
        <v>457</v>
      </c>
      <c r="BZ18" s="419">
        <v>48</v>
      </c>
      <c r="CA18" s="676">
        <f t="shared" si="12"/>
        <v>41212.800000000003</v>
      </c>
      <c r="CD18" s="111"/>
      <c r="CE18" s="15">
        <v>11</v>
      </c>
      <c r="CF18" s="72">
        <v>895.34</v>
      </c>
      <c r="CG18" s="417">
        <v>44391</v>
      </c>
      <c r="CH18" s="72">
        <v>895.34</v>
      </c>
      <c r="CI18" s="420" t="s">
        <v>470</v>
      </c>
      <c r="CJ18" s="419">
        <v>48</v>
      </c>
      <c r="CK18" s="676">
        <f t="shared" si="13"/>
        <v>42976.32</v>
      </c>
      <c r="CN18" s="98"/>
      <c r="CO18" s="15">
        <v>11</v>
      </c>
      <c r="CP18" s="72">
        <v>904.46</v>
      </c>
      <c r="CQ18" s="417">
        <v>44392</v>
      </c>
      <c r="CR18" s="72">
        <v>904.46</v>
      </c>
      <c r="CS18" s="420" t="s">
        <v>474</v>
      </c>
      <c r="CT18" s="419">
        <v>49</v>
      </c>
      <c r="CU18" s="689">
        <f t="shared" si="48"/>
        <v>44318.54</v>
      </c>
      <c r="CX18" s="111"/>
      <c r="CY18" s="15">
        <v>11</v>
      </c>
      <c r="CZ18" s="96">
        <v>892.2</v>
      </c>
      <c r="DA18" s="357">
        <v>44393</v>
      </c>
      <c r="DB18" s="96">
        <v>892.2</v>
      </c>
      <c r="DC18" s="99" t="s">
        <v>482</v>
      </c>
      <c r="DD18" s="74">
        <v>50</v>
      </c>
      <c r="DE18" s="676">
        <f t="shared" si="14"/>
        <v>44610</v>
      </c>
      <c r="DH18" s="111"/>
      <c r="DI18" s="15">
        <v>11</v>
      </c>
      <c r="DJ18" s="96">
        <v>896.7</v>
      </c>
      <c r="DK18" s="417">
        <v>44393</v>
      </c>
      <c r="DL18" s="96">
        <v>896.7</v>
      </c>
      <c r="DM18" s="420" t="s">
        <v>483</v>
      </c>
      <c r="DN18" s="419">
        <v>50</v>
      </c>
      <c r="DO18" s="689">
        <f t="shared" si="15"/>
        <v>44835</v>
      </c>
      <c r="DR18" s="111"/>
      <c r="DS18" s="15">
        <v>11</v>
      </c>
      <c r="DT18" s="96">
        <v>875</v>
      </c>
      <c r="DU18" s="417">
        <v>44397</v>
      </c>
      <c r="DV18" s="96">
        <v>875</v>
      </c>
      <c r="DW18" s="420" t="s">
        <v>504</v>
      </c>
      <c r="DX18" s="419">
        <v>52</v>
      </c>
      <c r="DY18" s="676">
        <f t="shared" si="16"/>
        <v>45500</v>
      </c>
      <c r="EB18" s="111"/>
      <c r="EC18" s="15">
        <v>11</v>
      </c>
      <c r="ED18" s="72">
        <v>885</v>
      </c>
      <c r="EE18" s="373">
        <v>44398</v>
      </c>
      <c r="EF18" s="72">
        <v>885</v>
      </c>
      <c r="EG18" s="73" t="s">
        <v>510</v>
      </c>
      <c r="EH18" s="74">
        <v>52</v>
      </c>
      <c r="EI18" s="676">
        <f t="shared" si="17"/>
        <v>46020</v>
      </c>
      <c r="EL18" s="111"/>
      <c r="EM18" s="15">
        <v>11</v>
      </c>
      <c r="EN18" s="306">
        <v>892.66</v>
      </c>
      <c r="EO18" s="362">
        <v>44399</v>
      </c>
      <c r="EP18" s="306">
        <v>892.66</v>
      </c>
      <c r="EQ18" s="291" t="s">
        <v>520</v>
      </c>
      <c r="ER18" s="292">
        <v>52</v>
      </c>
      <c r="ES18" s="676">
        <f t="shared" si="18"/>
        <v>46418.32</v>
      </c>
      <c r="EV18" s="111"/>
      <c r="EW18" s="15">
        <v>11</v>
      </c>
      <c r="EX18" s="72">
        <v>886.8</v>
      </c>
      <c r="EY18" s="373">
        <v>44400</v>
      </c>
      <c r="EZ18" s="72">
        <v>886.8</v>
      </c>
      <c r="FA18" s="291" t="s">
        <v>529</v>
      </c>
      <c r="FB18" s="74">
        <v>52</v>
      </c>
      <c r="FC18" s="354">
        <f t="shared" si="19"/>
        <v>46113.599999999999</v>
      </c>
      <c r="FF18" s="111"/>
      <c r="FG18" s="15">
        <v>11</v>
      </c>
      <c r="FH18" s="306">
        <v>871.3</v>
      </c>
      <c r="FI18" s="362">
        <v>44400</v>
      </c>
      <c r="FJ18" s="306">
        <v>871.3</v>
      </c>
      <c r="FK18" s="291" t="s">
        <v>531</v>
      </c>
      <c r="FL18" s="292">
        <v>52</v>
      </c>
      <c r="FM18" s="676">
        <f t="shared" si="20"/>
        <v>45307.6</v>
      </c>
      <c r="FP18" s="111"/>
      <c r="FQ18" s="15">
        <v>11</v>
      </c>
      <c r="FR18" s="96">
        <v>971.59</v>
      </c>
      <c r="FS18" s="357">
        <v>44401</v>
      </c>
      <c r="FT18" s="96">
        <v>971.59</v>
      </c>
      <c r="FU18" s="73" t="s">
        <v>538</v>
      </c>
      <c r="FV18" s="74">
        <v>54</v>
      </c>
      <c r="FW18" s="676">
        <f t="shared" si="21"/>
        <v>52465.86</v>
      </c>
      <c r="FX18" s="74"/>
      <c r="FZ18" s="111"/>
      <c r="GA18" s="15">
        <v>11</v>
      </c>
      <c r="GB18" s="72">
        <v>912.2</v>
      </c>
      <c r="GC18" s="573">
        <v>44404</v>
      </c>
      <c r="GD18" s="72">
        <v>912.2</v>
      </c>
      <c r="GE18" s="291" t="s">
        <v>515</v>
      </c>
      <c r="GF18" s="292">
        <v>54</v>
      </c>
      <c r="GG18" s="354">
        <f t="shared" si="22"/>
        <v>49258.8</v>
      </c>
      <c r="GH18" s="74"/>
      <c r="GJ18" s="111"/>
      <c r="GK18" s="15">
        <v>11</v>
      </c>
      <c r="GL18" s="551">
        <v>887.7</v>
      </c>
      <c r="GM18" s="357">
        <v>44404</v>
      </c>
      <c r="GN18" s="551">
        <v>887.7</v>
      </c>
      <c r="GO18" s="99" t="s">
        <v>548</v>
      </c>
      <c r="GP18" s="74">
        <v>54</v>
      </c>
      <c r="GQ18" s="676">
        <f t="shared" si="23"/>
        <v>47935.8</v>
      </c>
      <c r="GT18" s="111"/>
      <c r="GU18" s="15">
        <v>11</v>
      </c>
      <c r="GV18" s="96">
        <v>929.41</v>
      </c>
      <c r="GW18" s="357">
        <v>44405</v>
      </c>
      <c r="GX18" s="96">
        <v>929.41</v>
      </c>
      <c r="GY18" s="99" t="s">
        <v>552</v>
      </c>
      <c r="GZ18" s="74">
        <v>54</v>
      </c>
      <c r="HA18" s="676">
        <f t="shared" si="24"/>
        <v>50188.14</v>
      </c>
      <c r="HD18" s="111"/>
      <c r="HE18" s="15">
        <v>11</v>
      </c>
      <c r="HF18" s="96">
        <v>938.93</v>
      </c>
      <c r="HG18" s="357">
        <v>44407</v>
      </c>
      <c r="HH18" s="96">
        <v>938.93</v>
      </c>
      <c r="HI18" s="99" t="s">
        <v>557</v>
      </c>
      <c r="HJ18" s="74">
        <v>54</v>
      </c>
      <c r="HK18" s="676">
        <f t="shared" si="25"/>
        <v>50702.219999999994</v>
      </c>
      <c r="HN18" s="111"/>
      <c r="HO18" s="15">
        <v>11</v>
      </c>
      <c r="HP18" s="306">
        <v>908.1</v>
      </c>
      <c r="HQ18" s="362">
        <v>44408</v>
      </c>
      <c r="HR18" s="306">
        <v>908.5</v>
      </c>
      <c r="HS18" s="422" t="s">
        <v>566</v>
      </c>
      <c r="HT18" s="292">
        <v>54</v>
      </c>
      <c r="HU18" s="354">
        <f t="shared" si="26"/>
        <v>49059</v>
      </c>
      <c r="HX18" s="98"/>
      <c r="HY18" s="15">
        <v>11</v>
      </c>
      <c r="HZ18" s="72">
        <v>919.9</v>
      </c>
      <c r="IA18" s="373">
        <v>44407</v>
      </c>
      <c r="IB18" s="72">
        <v>919.9</v>
      </c>
      <c r="IC18" s="73" t="s">
        <v>559</v>
      </c>
      <c r="ID18" s="74">
        <v>54</v>
      </c>
      <c r="IE18" s="676">
        <f t="shared" si="27"/>
        <v>49674.6</v>
      </c>
      <c r="IH18" s="98"/>
      <c r="II18" s="15">
        <v>11</v>
      </c>
      <c r="IJ18" s="72"/>
      <c r="IK18" s="373"/>
      <c r="IL18" s="72"/>
      <c r="IM18" s="73"/>
      <c r="IN18" s="74"/>
      <c r="IO18" s="676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6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6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6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6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6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6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6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6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SEABAORD FOODS</v>
      </c>
      <c r="C19" s="79" t="str">
        <f t="shared" si="58"/>
        <v>Seaboard</v>
      </c>
      <c r="D19" s="107" t="str">
        <f t="shared" si="58"/>
        <v>PED. 68046790</v>
      </c>
      <c r="E19" s="144">
        <f t="shared" si="58"/>
        <v>44400</v>
      </c>
      <c r="F19" s="90">
        <f t="shared" si="58"/>
        <v>18670.79</v>
      </c>
      <c r="G19" s="76">
        <f t="shared" si="58"/>
        <v>21</v>
      </c>
      <c r="H19" s="49">
        <f t="shared" si="58"/>
        <v>18681.2</v>
      </c>
      <c r="I19" s="110">
        <f t="shared" si="58"/>
        <v>-10.409999999999854</v>
      </c>
      <c r="L19" s="111"/>
      <c r="M19" s="15">
        <v>11</v>
      </c>
      <c r="N19" s="96">
        <v>901.3</v>
      </c>
      <c r="O19" s="357">
        <v>44383</v>
      </c>
      <c r="P19" s="96">
        <v>901.3</v>
      </c>
      <c r="Q19" s="73" t="s">
        <v>409</v>
      </c>
      <c r="R19" s="74">
        <v>43</v>
      </c>
      <c r="S19" s="676">
        <f t="shared" si="47"/>
        <v>38755.9</v>
      </c>
      <c r="T19" s="267"/>
      <c r="V19" s="111"/>
      <c r="W19" s="15">
        <v>12</v>
      </c>
      <c r="X19" s="306">
        <v>853.2</v>
      </c>
      <c r="Y19" s="362">
        <v>44384</v>
      </c>
      <c r="Z19" s="306">
        <v>853.2</v>
      </c>
      <c r="AA19" s="422" t="s">
        <v>422</v>
      </c>
      <c r="AB19" s="292">
        <v>43</v>
      </c>
      <c r="AC19" s="354">
        <f t="shared" si="7"/>
        <v>36687.599999999999</v>
      </c>
      <c r="AF19" s="111"/>
      <c r="AG19" s="15">
        <v>12</v>
      </c>
      <c r="AH19" s="96">
        <v>849.57</v>
      </c>
      <c r="AI19" s="357">
        <v>44385</v>
      </c>
      <c r="AJ19" s="96">
        <v>849.57</v>
      </c>
      <c r="AK19" s="99" t="s">
        <v>429</v>
      </c>
      <c r="AL19" s="74">
        <v>45</v>
      </c>
      <c r="AM19" s="684">
        <f t="shared" si="8"/>
        <v>38230.65</v>
      </c>
      <c r="AP19" s="111"/>
      <c r="AQ19" s="15">
        <v>12</v>
      </c>
      <c r="AR19" s="351">
        <v>878.6</v>
      </c>
      <c r="AS19" s="362">
        <v>44386</v>
      </c>
      <c r="AT19" s="351">
        <v>878.6</v>
      </c>
      <c r="AU19" s="350" t="s">
        <v>436</v>
      </c>
      <c r="AV19" s="292">
        <v>46</v>
      </c>
      <c r="AW19" s="354">
        <f t="shared" si="9"/>
        <v>40415.599999999999</v>
      </c>
      <c r="AZ19" s="111"/>
      <c r="BA19" s="15">
        <v>12</v>
      </c>
      <c r="BB19" s="72">
        <v>851.4</v>
      </c>
      <c r="BC19" s="144">
        <v>44386</v>
      </c>
      <c r="BD19" s="72">
        <v>851.4</v>
      </c>
      <c r="BE19" s="99" t="s">
        <v>428</v>
      </c>
      <c r="BF19" s="416">
        <v>46</v>
      </c>
      <c r="BG19" s="704">
        <f t="shared" si="10"/>
        <v>39164.400000000001</v>
      </c>
      <c r="BJ19" s="111"/>
      <c r="BK19" s="15">
        <v>12</v>
      </c>
      <c r="BL19" s="72">
        <v>869.5</v>
      </c>
      <c r="BM19" s="144">
        <v>44390</v>
      </c>
      <c r="BN19" s="72">
        <v>869.5</v>
      </c>
      <c r="BO19" s="99" t="s">
        <v>459</v>
      </c>
      <c r="BP19" s="416">
        <v>48</v>
      </c>
      <c r="BQ19" s="704">
        <f t="shared" si="11"/>
        <v>41736</v>
      </c>
      <c r="BT19" s="111"/>
      <c r="BU19" s="289">
        <v>12</v>
      </c>
      <c r="BV19" s="306">
        <v>883.1</v>
      </c>
      <c r="BW19" s="417">
        <v>44390</v>
      </c>
      <c r="BX19" s="306">
        <v>883.1</v>
      </c>
      <c r="BY19" s="420" t="s">
        <v>456</v>
      </c>
      <c r="BZ19" s="419">
        <v>48</v>
      </c>
      <c r="CA19" s="676">
        <f t="shared" si="12"/>
        <v>42388.800000000003</v>
      </c>
      <c r="CD19" s="111"/>
      <c r="CE19" s="15">
        <v>12</v>
      </c>
      <c r="CF19" s="96">
        <v>931.22</v>
      </c>
      <c r="CG19" s="417">
        <v>44391</v>
      </c>
      <c r="CH19" s="96">
        <v>931.22</v>
      </c>
      <c r="CI19" s="420" t="s">
        <v>470</v>
      </c>
      <c r="CJ19" s="419">
        <v>48</v>
      </c>
      <c r="CK19" s="676">
        <f t="shared" si="13"/>
        <v>44698.559999999998</v>
      </c>
      <c r="CN19" s="742"/>
      <c r="CO19" s="15">
        <v>12</v>
      </c>
      <c r="CP19" s="96">
        <v>927.14</v>
      </c>
      <c r="CQ19" s="417">
        <v>44392</v>
      </c>
      <c r="CR19" s="96">
        <v>927.14</v>
      </c>
      <c r="CS19" s="420" t="s">
        <v>474</v>
      </c>
      <c r="CT19" s="419">
        <v>49</v>
      </c>
      <c r="CU19" s="689">
        <f t="shared" si="48"/>
        <v>45429.86</v>
      </c>
      <c r="CX19" s="111"/>
      <c r="CY19" s="15">
        <v>12</v>
      </c>
      <c r="CZ19" s="96">
        <v>892.2</v>
      </c>
      <c r="DA19" s="357">
        <v>44393</v>
      </c>
      <c r="DB19" s="96">
        <v>892.2</v>
      </c>
      <c r="DC19" s="99" t="s">
        <v>482</v>
      </c>
      <c r="DD19" s="74">
        <v>50</v>
      </c>
      <c r="DE19" s="676">
        <f t="shared" si="14"/>
        <v>44610</v>
      </c>
      <c r="DH19" s="111"/>
      <c r="DI19" s="15">
        <v>12</v>
      </c>
      <c r="DJ19" s="96">
        <v>878.6</v>
      </c>
      <c r="DK19" s="417">
        <v>44393</v>
      </c>
      <c r="DL19" s="96">
        <v>878.6</v>
      </c>
      <c r="DM19" s="420" t="s">
        <v>483</v>
      </c>
      <c r="DN19" s="419">
        <v>50</v>
      </c>
      <c r="DO19" s="689">
        <f t="shared" si="15"/>
        <v>43930</v>
      </c>
      <c r="DR19" s="111"/>
      <c r="DS19" s="15">
        <v>12</v>
      </c>
      <c r="DT19" s="96">
        <v>883.6</v>
      </c>
      <c r="DU19" s="417">
        <v>44397</v>
      </c>
      <c r="DV19" s="96">
        <v>883.6</v>
      </c>
      <c r="DW19" s="420" t="s">
        <v>504</v>
      </c>
      <c r="DX19" s="419">
        <v>52</v>
      </c>
      <c r="DY19" s="676">
        <f t="shared" si="16"/>
        <v>45947.200000000004</v>
      </c>
      <c r="EB19" s="111"/>
      <c r="EC19" s="15">
        <v>12</v>
      </c>
      <c r="ED19" s="72">
        <v>883.6</v>
      </c>
      <c r="EE19" s="373">
        <v>44398</v>
      </c>
      <c r="EF19" s="72">
        <v>883.6</v>
      </c>
      <c r="EG19" s="73" t="s">
        <v>510</v>
      </c>
      <c r="EH19" s="74">
        <v>52</v>
      </c>
      <c r="EI19" s="676">
        <f t="shared" si="17"/>
        <v>45947.200000000004</v>
      </c>
      <c r="EL19" s="111"/>
      <c r="EM19" s="15">
        <v>12</v>
      </c>
      <c r="EN19" s="306">
        <v>907.63</v>
      </c>
      <c r="EO19" s="362">
        <v>44399</v>
      </c>
      <c r="EP19" s="306">
        <v>907.63</v>
      </c>
      <c r="EQ19" s="291" t="s">
        <v>520</v>
      </c>
      <c r="ER19" s="292">
        <v>52</v>
      </c>
      <c r="ES19" s="676">
        <f t="shared" si="18"/>
        <v>47196.76</v>
      </c>
      <c r="EV19" s="111"/>
      <c r="EW19" s="15">
        <v>12</v>
      </c>
      <c r="EX19" s="72">
        <v>917.6</v>
      </c>
      <c r="EY19" s="373">
        <v>44400</v>
      </c>
      <c r="EZ19" s="72">
        <v>917.6</v>
      </c>
      <c r="FA19" s="291" t="s">
        <v>529</v>
      </c>
      <c r="FB19" s="74">
        <v>52</v>
      </c>
      <c r="FC19" s="354">
        <f t="shared" si="19"/>
        <v>47715.200000000004</v>
      </c>
      <c r="FF19" s="111"/>
      <c r="FG19" s="15">
        <v>12</v>
      </c>
      <c r="FH19" s="306">
        <v>862.3</v>
      </c>
      <c r="FI19" s="362">
        <v>44400</v>
      </c>
      <c r="FJ19" s="306">
        <v>862.3</v>
      </c>
      <c r="FK19" s="291" t="s">
        <v>531</v>
      </c>
      <c r="FL19" s="292">
        <v>52</v>
      </c>
      <c r="FM19" s="676">
        <f t="shared" si="20"/>
        <v>44839.6</v>
      </c>
      <c r="FP19" s="111"/>
      <c r="FQ19" s="15">
        <v>12</v>
      </c>
      <c r="FR19" s="96">
        <v>926.23</v>
      </c>
      <c r="FS19" s="357">
        <v>44401</v>
      </c>
      <c r="FT19" s="96">
        <v>926.23</v>
      </c>
      <c r="FU19" s="73" t="s">
        <v>538</v>
      </c>
      <c r="FV19" s="74">
        <v>54</v>
      </c>
      <c r="FW19" s="676">
        <f t="shared" si="21"/>
        <v>50016.42</v>
      </c>
      <c r="FX19" s="74"/>
      <c r="FZ19" s="111"/>
      <c r="GA19" s="15">
        <v>12</v>
      </c>
      <c r="GB19" s="72">
        <v>907.6</v>
      </c>
      <c r="GC19" s="573">
        <v>44404</v>
      </c>
      <c r="GD19" s="72">
        <v>907.6</v>
      </c>
      <c r="GE19" s="291" t="s">
        <v>546</v>
      </c>
      <c r="GF19" s="292">
        <v>54</v>
      </c>
      <c r="GG19" s="354">
        <f t="shared" si="22"/>
        <v>49010.400000000001</v>
      </c>
      <c r="GJ19" s="111"/>
      <c r="GK19" s="15">
        <v>12</v>
      </c>
      <c r="GL19" s="551">
        <v>907.6</v>
      </c>
      <c r="GM19" s="357">
        <v>44404</v>
      </c>
      <c r="GN19" s="551">
        <v>907.6</v>
      </c>
      <c r="GO19" s="99" t="s">
        <v>548</v>
      </c>
      <c r="GP19" s="74">
        <v>54</v>
      </c>
      <c r="GQ19" s="676">
        <f t="shared" si="23"/>
        <v>49010.400000000001</v>
      </c>
      <c r="GT19" s="111"/>
      <c r="GU19" s="15">
        <v>12</v>
      </c>
      <c r="GV19" s="96">
        <v>938.48</v>
      </c>
      <c r="GW19" s="357">
        <v>44405</v>
      </c>
      <c r="GX19" s="96">
        <v>938.48</v>
      </c>
      <c r="GY19" s="99" t="s">
        <v>552</v>
      </c>
      <c r="GZ19" s="74">
        <v>54</v>
      </c>
      <c r="HA19" s="676">
        <f t="shared" si="24"/>
        <v>50677.919999999998</v>
      </c>
      <c r="HD19" s="111"/>
      <c r="HE19" s="15">
        <v>12</v>
      </c>
      <c r="HF19" s="96">
        <v>967.05</v>
      </c>
      <c r="HG19" s="357">
        <v>44407</v>
      </c>
      <c r="HH19" s="96">
        <v>967.05</v>
      </c>
      <c r="HI19" s="99" t="s">
        <v>557</v>
      </c>
      <c r="HJ19" s="74">
        <v>54</v>
      </c>
      <c r="HK19" s="676">
        <f t="shared" si="25"/>
        <v>52220.7</v>
      </c>
      <c r="HN19" s="111"/>
      <c r="HO19" s="15">
        <v>12</v>
      </c>
      <c r="HP19" s="306">
        <v>889.5</v>
      </c>
      <c r="HQ19" s="362">
        <v>44408</v>
      </c>
      <c r="HR19" s="306">
        <v>889.5</v>
      </c>
      <c r="HS19" s="422" t="s">
        <v>564</v>
      </c>
      <c r="HT19" s="292">
        <v>54</v>
      </c>
      <c r="HU19" s="354">
        <f t="shared" si="26"/>
        <v>48033</v>
      </c>
      <c r="HX19" s="98"/>
      <c r="HY19" s="15">
        <v>12</v>
      </c>
      <c r="HZ19" s="72">
        <v>887.7</v>
      </c>
      <c r="IA19" s="373">
        <v>44407</v>
      </c>
      <c r="IB19" s="72">
        <v>887.7</v>
      </c>
      <c r="IC19" s="73" t="s">
        <v>560</v>
      </c>
      <c r="ID19" s="74">
        <v>54</v>
      </c>
      <c r="IE19" s="676">
        <f t="shared" si="27"/>
        <v>47935.8</v>
      </c>
      <c r="IH19" s="98"/>
      <c r="II19" s="15">
        <v>12</v>
      </c>
      <c r="IJ19" s="72"/>
      <c r="IK19" s="373"/>
      <c r="IL19" s="72"/>
      <c r="IM19" s="73"/>
      <c r="IN19" s="74"/>
      <c r="IO19" s="676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6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6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6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6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6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6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6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6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TYSON FRESH MEAT</v>
      </c>
      <c r="C20" s="79" t="str">
        <f t="shared" si="59"/>
        <v xml:space="preserve">I B P </v>
      </c>
      <c r="D20" s="107" t="str">
        <f t="shared" si="59"/>
        <v>PED. 68114892</v>
      </c>
      <c r="E20" s="144">
        <f t="shared" si="59"/>
        <v>44401</v>
      </c>
      <c r="F20" s="90">
        <f t="shared" si="59"/>
        <v>18785.68</v>
      </c>
      <c r="G20" s="76">
        <f t="shared" si="59"/>
        <v>20</v>
      </c>
      <c r="H20" s="49">
        <f t="shared" si="59"/>
        <v>18876.14</v>
      </c>
      <c r="I20" s="110">
        <f t="shared" si="59"/>
        <v>-90.459999999999127</v>
      </c>
      <c r="L20" s="111"/>
      <c r="M20" s="15">
        <v>12</v>
      </c>
      <c r="N20" s="96">
        <v>847.8</v>
      </c>
      <c r="O20" s="357">
        <v>44382</v>
      </c>
      <c r="P20" s="96">
        <v>847.8</v>
      </c>
      <c r="Q20" s="73" t="s">
        <v>408</v>
      </c>
      <c r="R20" s="74">
        <v>43</v>
      </c>
      <c r="S20" s="676">
        <f t="shared" si="47"/>
        <v>36455.4</v>
      </c>
      <c r="T20" s="267"/>
      <c r="V20" s="111"/>
      <c r="W20" s="15">
        <v>13</v>
      </c>
      <c r="X20" s="306">
        <v>904</v>
      </c>
      <c r="Y20" s="362">
        <v>44384</v>
      </c>
      <c r="Z20" s="306">
        <v>904</v>
      </c>
      <c r="AA20" s="422" t="s">
        <v>422</v>
      </c>
      <c r="AB20" s="292">
        <v>43</v>
      </c>
      <c r="AC20" s="354">
        <f t="shared" si="7"/>
        <v>38872</v>
      </c>
      <c r="AF20" s="111"/>
      <c r="AG20" s="15">
        <v>13</v>
      </c>
      <c r="AH20" s="96">
        <v>908.09</v>
      </c>
      <c r="AI20" s="357">
        <v>44385</v>
      </c>
      <c r="AJ20" s="96">
        <v>908.09</v>
      </c>
      <c r="AK20" s="99" t="s">
        <v>429</v>
      </c>
      <c r="AL20" s="74">
        <v>45</v>
      </c>
      <c r="AM20" s="684">
        <f t="shared" si="8"/>
        <v>40864.050000000003</v>
      </c>
      <c r="AP20" s="111"/>
      <c r="AQ20" s="15">
        <v>13</v>
      </c>
      <c r="AR20" s="351">
        <v>899.5</v>
      </c>
      <c r="AS20" s="362">
        <v>44386</v>
      </c>
      <c r="AT20" s="351">
        <v>899.5</v>
      </c>
      <c r="AU20" s="350" t="s">
        <v>436</v>
      </c>
      <c r="AV20" s="292">
        <v>46</v>
      </c>
      <c r="AW20" s="354">
        <f t="shared" si="9"/>
        <v>41377</v>
      </c>
      <c r="AZ20" s="111"/>
      <c r="BA20" s="15">
        <v>13</v>
      </c>
      <c r="BB20" s="96">
        <v>882.2</v>
      </c>
      <c r="BC20" s="144">
        <v>44386</v>
      </c>
      <c r="BD20" s="96">
        <v>882.2</v>
      </c>
      <c r="BE20" s="99" t="s">
        <v>428</v>
      </c>
      <c r="BF20" s="416">
        <v>46</v>
      </c>
      <c r="BG20" s="704">
        <f t="shared" si="10"/>
        <v>40581.200000000004</v>
      </c>
      <c r="BJ20" s="111"/>
      <c r="BK20" s="15">
        <v>13</v>
      </c>
      <c r="BL20" s="96">
        <v>846.9</v>
      </c>
      <c r="BM20" s="144">
        <v>44390</v>
      </c>
      <c r="BN20" s="96">
        <v>846.9</v>
      </c>
      <c r="BO20" s="99" t="s">
        <v>459</v>
      </c>
      <c r="BP20" s="416">
        <v>48</v>
      </c>
      <c r="BQ20" s="704">
        <f t="shared" si="11"/>
        <v>40651.199999999997</v>
      </c>
      <c r="BT20" s="111"/>
      <c r="BU20" s="289">
        <v>13</v>
      </c>
      <c r="BV20" s="306">
        <v>843.2</v>
      </c>
      <c r="BW20" s="417">
        <v>44390</v>
      </c>
      <c r="BX20" s="306">
        <v>843.2</v>
      </c>
      <c r="BY20" s="420" t="s">
        <v>456</v>
      </c>
      <c r="BZ20" s="419">
        <v>48</v>
      </c>
      <c r="CA20" s="676">
        <f t="shared" si="12"/>
        <v>40473.600000000006</v>
      </c>
      <c r="CD20" s="111"/>
      <c r="CE20" s="15">
        <v>13</v>
      </c>
      <c r="CF20" s="96">
        <v>884.5</v>
      </c>
      <c r="CG20" s="417">
        <v>44391</v>
      </c>
      <c r="CH20" s="96">
        <v>884.5</v>
      </c>
      <c r="CI20" s="420" t="s">
        <v>470</v>
      </c>
      <c r="CJ20" s="419">
        <v>48</v>
      </c>
      <c r="CK20" s="676">
        <f t="shared" si="13"/>
        <v>42456</v>
      </c>
      <c r="CN20" s="742"/>
      <c r="CO20" s="15">
        <v>13</v>
      </c>
      <c r="CP20" s="306">
        <v>919.88</v>
      </c>
      <c r="CQ20" s="417">
        <v>44392</v>
      </c>
      <c r="CR20" s="306">
        <v>919.88</v>
      </c>
      <c r="CS20" s="420" t="s">
        <v>474</v>
      </c>
      <c r="CT20" s="419">
        <v>49</v>
      </c>
      <c r="CU20" s="689">
        <f t="shared" si="48"/>
        <v>45074.12</v>
      </c>
      <c r="CX20" s="111"/>
      <c r="CY20" s="15">
        <v>13</v>
      </c>
      <c r="CZ20" s="96">
        <v>891.3</v>
      </c>
      <c r="DA20" s="357">
        <v>44393</v>
      </c>
      <c r="DB20" s="96">
        <v>891.3</v>
      </c>
      <c r="DC20" s="99" t="s">
        <v>482</v>
      </c>
      <c r="DD20" s="74">
        <v>50</v>
      </c>
      <c r="DE20" s="676">
        <f t="shared" si="14"/>
        <v>44565</v>
      </c>
      <c r="DH20" s="111"/>
      <c r="DI20" s="15">
        <v>13</v>
      </c>
      <c r="DJ20" s="96">
        <v>882.2</v>
      </c>
      <c r="DK20" s="417">
        <v>44393</v>
      </c>
      <c r="DL20" s="96">
        <v>882.2</v>
      </c>
      <c r="DM20" s="420" t="s">
        <v>483</v>
      </c>
      <c r="DN20" s="419">
        <v>50</v>
      </c>
      <c r="DO20" s="689">
        <f t="shared" si="15"/>
        <v>44110</v>
      </c>
      <c r="DR20" s="111"/>
      <c r="DS20" s="15">
        <v>13</v>
      </c>
      <c r="DT20" s="96">
        <v>925.8</v>
      </c>
      <c r="DU20" s="417">
        <v>44397</v>
      </c>
      <c r="DV20" s="96">
        <v>925.8</v>
      </c>
      <c r="DW20" s="420" t="s">
        <v>504</v>
      </c>
      <c r="DX20" s="419">
        <v>52</v>
      </c>
      <c r="DY20" s="676">
        <f t="shared" si="16"/>
        <v>48141.599999999999</v>
      </c>
      <c r="EB20" s="111"/>
      <c r="EC20" s="15">
        <v>13</v>
      </c>
      <c r="ED20" s="72">
        <v>915.8</v>
      </c>
      <c r="EE20" s="373">
        <v>44398</v>
      </c>
      <c r="EF20" s="72">
        <v>915.8</v>
      </c>
      <c r="EG20" s="73" t="s">
        <v>510</v>
      </c>
      <c r="EH20" s="74">
        <v>52</v>
      </c>
      <c r="EI20" s="676">
        <f t="shared" si="17"/>
        <v>47621.599999999999</v>
      </c>
      <c r="EL20" s="111"/>
      <c r="EM20" s="15">
        <v>13</v>
      </c>
      <c r="EN20" s="306">
        <v>940.29</v>
      </c>
      <c r="EO20" s="362">
        <v>44399</v>
      </c>
      <c r="EP20" s="306">
        <v>940.24</v>
      </c>
      <c r="EQ20" s="291" t="s">
        <v>520</v>
      </c>
      <c r="ER20" s="292">
        <v>52</v>
      </c>
      <c r="ES20" s="676">
        <f t="shared" si="18"/>
        <v>48892.480000000003</v>
      </c>
      <c r="EV20" s="111"/>
      <c r="EW20" s="15">
        <v>13</v>
      </c>
      <c r="EX20" s="72">
        <v>899.5</v>
      </c>
      <c r="EY20" s="373">
        <v>44400</v>
      </c>
      <c r="EZ20" s="72">
        <v>899.5</v>
      </c>
      <c r="FA20" s="291" t="s">
        <v>529</v>
      </c>
      <c r="FB20" s="74">
        <v>52</v>
      </c>
      <c r="FC20" s="354">
        <f t="shared" si="19"/>
        <v>46774</v>
      </c>
      <c r="FF20" s="111"/>
      <c r="FG20" s="15">
        <v>13</v>
      </c>
      <c r="FH20" s="306">
        <v>901.3</v>
      </c>
      <c r="FI20" s="362">
        <v>44400</v>
      </c>
      <c r="FJ20" s="306">
        <v>901.3</v>
      </c>
      <c r="FK20" s="291" t="s">
        <v>531</v>
      </c>
      <c r="FL20" s="292">
        <v>52</v>
      </c>
      <c r="FM20" s="676">
        <f t="shared" si="20"/>
        <v>46867.6</v>
      </c>
      <c r="FP20" s="111"/>
      <c r="FQ20" s="15">
        <v>13</v>
      </c>
      <c r="FR20" s="96">
        <v>949.82</v>
      </c>
      <c r="FS20" s="357">
        <v>44401</v>
      </c>
      <c r="FT20" s="96">
        <v>949.82</v>
      </c>
      <c r="FU20" s="73" t="s">
        <v>538</v>
      </c>
      <c r="FV20" s="74">
        <v>54</v>
      </c>
      <c r="FW20" s="676">
        <f t="shared" si="21"/>
        <v>51290.280000000006</v>
      </c>
      <c r="FX20" s="74"/>
      <c r="FZ20" s="111"/>
      <c r="GA20" s="15">
        <v>13</v>
      </c>
      <c r="GB20" s="72">
        <v>885.9</v>
      </c>
      <c r="GC20" s="573">
        <v>44404</v>
      </c>
      <c r="GD20" s="72">
        <v>885.9</v>
      </c>
      <c r="GE20" s="291" t="s">
        <v>546</v>
      </c>
      <c r="GF20" s="292">
        <v>54</v>
      </c>
      <c r="GG20" s="354">
        <f t="shared" si="22"/>
        <v>47838.6</v>
      </c>
      <c r="GJ20" s="111"/>
      <c r="GK20" s="15">
        <v>13</v>
      </c>
      <c r="GL20" s="551">
        <v>904</v>
      </c>
      <c r="GM20" s="357">
        <v>44404</v>
      </c>
      <c r="GN20" s="551">
        <v>904</v>
      </c>
      <c r="GO20" s="99" t="s">
        <v>548</v>
      </c>
      <c r="GP20" s="74">
        <v>54</v>
      </c>
      <c r="GQ20" s="676">
        <f t="shared" si="23"/>
        <v>48816</v>
      </c>
      <c r="GT20" s="111"/>
      <c r="GU20" s="15">
        <v>13</v>
      </c>
      <c r="GV20" s="96">
        <v>940.75</v>
      </c>
      <c r="GW20" s="357">
        <v>44405</v>
      </c>
      <c r="GX20" s="96">
        <v>940.75</v>
      </c>
      <c r="GY20" s="99" t="s">
        <v>552</v>
      </c>
      <c r="GZ20" s="74">
        <v>54</v>
      </c>
      <c r="HA20" s="676">
        <f t="shared" si="24"/>
        <v>50800.5</v>
      </c>
      <c r="HD20" s="111"/>
      <c r="HE20" s="15">
        <v>13</v>
      </c>
      <c r="HF20" s="96">
        <v>970.68</v>
      </c>
      <c r="HG20" s="357">
        <v>44407</v>
      </c>
      <c r="HH20" s="96">
        <v>970.68</v>
      </c>
      <c r="HI20" s="99" t="s">
        <v>557</v>
      </c>
      <c r="HJ20" s="74">
        <v>54</v>
      </c>
      <c r="HK20" s="676">
        <f t="shared" si="25"/>
        <v>52416.719999999994</v>
      </c>
      <c r="HN20" s="111"/>
      <c r="HO20" s="15">
        <v>13</v>
      </c>
      <c r="HP20" s="306">
        <v>903.6</v>
      </c>
      <c r="HQ20" s="362">
        <v>44408</v>
      </c>
      <c r="HR20" s="306">
        <v>903.6</v>
      </c>
      <c r="HS20" s="422" t="s">
        <v>564</v>
      </c>
      <c r="HT20" s="292">
        <v>54</v>
      </c>
      <c r="HU20" s="354">
        <f t="shared" si="26"/>
        <v>48794.400000000001</v>
      </c>
      <c r="HX20" s="98"/>
      <c r="HY20" s="15">
        <v>13</v>
      </c>
      <c r="HZ20" s="72">
        <v>881.8</v>
      </c>
      <c r="IA20" s="373">
        <v>44407</v>
      </c>
      <c r="IB20" s="72">
        <v>881.8</v>
      </c>
      <c r="IC20" s="73" t="s">
        <v>560</v>
      </c>
      <c r="ID20" s="74">
        <v>54</v>
      </c>
      <c r="IE20" s="676">
        <f t="shared" si="27"/>
        <v>47617.2</v>
      </c>
      <c r="IH20" s="98"/>
      <c r="II20" s="15">
        <v>13</v>
      </c>
      <c r="IJ20" s="72"/>
      <c r="IK20" s="373"/>
      <c r="IL20" s="72"/>
      <c r="IM20" s="73"/>
      <c r="IN20" s="74"/>
      <c r="IO20" s="676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6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6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6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6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6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6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6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6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1" t="str">
        <f>GA5</f>
        <v>PED. 68242718</v>
      </c>
      <c r="E21" s="144">
        <f t="shared" si="60"/>
        <v>44404</v>
      </c>
      <c r="F21" s="90">
        <f t="shared" si="60"/>
        <v>18528.189999999999</v>
      </c>
      <c r="G21" s="76">
        <f t="shared" si="60"/>
        <v>21</v>
      </c>
      <c r="H21" s="49">
        <f t="shared" si="60"/>
        <v>18562.099999999999</v>
      </c>
      <c r="I21" s="110">
        <f t="shared" si="60"/>
        <v>-33.909999999999854</v>
      </c>
      <c r="L21" s="111"/>
      <c r="M21" s="15">
        <v>13</v>
      </c>
      <c r="N21" s="96">
        <v>900.4</v>
      </c>
      <c r="O21" s="357">
        <v>44383</v>
      </c>
      <c r="P21" s="96">
        <v>900.4</v>
      </c>
      <c r="Q21" s="73" t="s">
        <v>409</v>
      </c>
      <c r="R21" s="74">
        <v>43</v>
      </c>
      <c r="S21" s="676">
        <f t="shared" si="47"/>
        <v>38717.199999999997</v>
      </c>
      <c r="T21" s="267"/>
      <c r="V21" s="111"/>
      <c r="W21" s="15">
        <v>14</v>
      </c>
      <c r="X21" s="306">
        <v>916.71</v>
      </c>
      <c r="Y21" s="362">
        <v>44384</v>
      </c>
      <c r="Z21" s="306">
        <v>916.71</v>
      </c>
      <c r="AA21" s="422" t="s">
        <v>422</v>
      </c>
      <c r="AB21" s="292">
        <v>43</v>
      </c>
      <c r="AC21" s="354">
        <f t="shared" si="7"/>
        <v>39418.53</v>
      </c>
      <c r="AF21" s="111"/>
      <c r="AG21" s="15">
        <v>14</v>
      </c>
      <c r="AH21" s="96">
        <v>860.01</v>
      </c>
      <c r="AI21" s="357">
        <v>44385</v>
      </c>
      <c r="AJ21" s="96">
        <v>860.01</v>
      </c>
      <c r="AK21" s="99" t="s">
        <v>429</v>
      </c>
      <c r="AL21" s="74">
        <v>45</v>
      </c>
      <c r="AM21" s="684">
        <f t="shared" si="8"/>
        <v>38700.449999999997</v>
      </c>
      <c r="AP21" s="111"/>
      <c r="AQ21" s="15">
        <v>14</v>
      </c>
      <c r="AR21" s="351">
        <v>843.2</v>
      </c>
      <c r="AS21" s="362">
        <v>44386</v>
      </c>
      <c r="AT21" s="351">
        <v>843.2</v>
      </c>
      <c r="AU21" s="350" t="s">
        <v>436</v>
      </c>
      <c r="AV21" s="292">
        <v>46</v>
      </c>
      <c r="AW21" s="354">
        <f t="shared" si="9"/>
        <v>38787.200000000004</v>
      </c>
      <c r="AZ21" s="111"/>
      <c r="BA21" s="15">
        <v>14</v>
      </c>
      <c r="BB21" s="96">
        <v>895.8</v>
      </c>
      <c r="BC21" s="144">
        <v>44386</v>
      </c>
      <c r="BD21" s="96">
        <v>895.8</v>
      </c>
      <c r="BE21" s="99" t="s">
        <v>428</v>
      </c>
      <c r="BF21" s="416">
        <v>46</v>
      </c>
      <c r="BG21" s="704">
        <f t="shared" si="10"/>
        <v>41206.799999999996</v>
      </c>
      <c r="BJ21" s="111"/>
      <c r="BK21" s="15">
        <v>14</v>
      </c>
      <c r="BL21" s="96">
        <v>875.9</v>
      </c>
      <c r="BM21" s="144">
        <v>44390</v>
      </c>
      <c r="BN21" s="96">
        <v>875.9</v>
      </c>
      <c r="BO21" s="99" t="s">
        <v>459</v>
      </c>
      <c r="BP21" s="416">
        <v>48</v>
      </c>
      <c r="BQ21" s="704">
        <f t="shared" si="11"/>
        <v>42043.199999999997</v>
      </c>
      <c r="BT21" s="111"/>
      <c r="BU21" s="289">
        <v>14</v>
      </c>
      <c r="BV21" s="306">
        <v>866.8</v>
      </c>
      <c r="BW21" s="417">
        <v>44390</v>
      </c>
      <c r="BX21" s="306">
        <v>866.8</v>
      </c>
      <c r="BY21" s="420" t="s">
        <v>456</v>
      </c>
      <c r="BZ21" s="419">
        <v>48</v>
      </c>
      <c r="CA21" s="676">
        <f t="shared" si="12"/>
        <v>41606.399999999994</v>
      </c>
      <c r="CD21" s="111"/>
      <c r="CE21" s="15">
        <v>14</v>
      </c>
      <c r="CF21" s="96">
        <v>921.24</v>
      </c>
      <c r="CG21" s="417">
        <v>44391</v>
      </c>
      <c r="CH21" s="96">
        <v>921.24</v>
      </c>
      <c r="CI21" s="420" t="s">
        <v>470</v>
      </c>
      <c r="CJ21" s="419">
        <v>48</v>
      </c>
      <c r="CK21" s="676">
        <f t="shared" si="13"/>
        <v>44219.520000000004</v>
      </c>
      <c r="CN21" s="742"/>
      <c r="CO21" s="15">
        <v>14</v>
      </c>
      <c r="CP21" s="306">
        <v>939.84</v>
      </c>
      <c r="CQ21" s="417">
        <v>44392</v>
      </c>
      <c r="CR21" s="306">
        <v>939.84</v>
      </c>
      <c r="CS21" s="420" t="s">
        <v>474</v>
      </c>
      <c r="CT21" s="419">
        <v>49</v>
      </c>
      <c r="CU21" s="689">
        <f t="shared" si="48"/>
        <v>46052.160000000003</v>
      </c>
      <c r="CX21" s="111"/>
      <c r="CY21" s="15">
        <v>14</v>
      </c>
      <c r="CZ21" s="96">
        <v>879.5</v>
      </c>
      <c r="DA21" s="357">
        <v>44393</v>
      </c>
      <c r="DB21" s="96">
        <v>879.5</v>
      </c>
      <c r="DC21" s="99" t="s">
        <v>482</v>
      </c>
      <c r="DD21" s="74">
        <v>50</v>
      </c>
      <c r="DE21" s="676">
        <f t="shared" si="14"/>
        <v>43975</v>
      </c>
      <c r="DH21" s="111"/>
      <c r="DI21" s="15">
        <v>14</v>
      </c>
      <c r="DJ21" s="96">
        <v>867.7</v>
      </c>
      <c r="DK21" s="417">
        <v>44393</v>
      </c>
      <c r="DL21" s="96">
        <v>867.7</v>
      </c>
      <c r="DM21" s="420" t="s">
        <v>483</v>
      </c>
      <c r="DN21" s="419">
        <v>50</v>
      </c>
      <c r="DO21" s="689">
        <f t="shared" si="15"/>
        <v>43385</v>
      </c>
      <c r="DR21" s="111"/>
      <c r="DS21" s="15">
        <v>14</v>
      </c>
      <c r="DT21" s="96">
        <v>905.8</v>
      </c>
      <c r="DU21" s="417">
        <v>44397</v>
      </c>
      <c r="DV21" s="96">
        <v>905.8</v>
      </c>
      <c r="DW21" s="420" t="s">
        <v>504</v>
      </c>
      <c r="DX21" s="419">
        <v>52</v>
      </c>
      <c r="DY21" s="676">
        <f t="shared" si="16"/>
        <v>47101.599999999999</v>
      </c>
      <c r="EB21" s="111"/>
      <c r="EC21" s="15">
        <v>14</v>
      </c>
      <c r="ED21" s="72">
        <v>919.9</v>
      </c>
      <c r="EE21" s="373">
        <v>44398</v>
      </c>
      <c r="EF21" s="72">
        <v>919.9</v>
      </c>
      <c r="EG21" s="73" t="s">
        <v>510</v>
      </c>
      <c r="EH21" s="74">
        <v>52</v>
      </c>
      <c r="EI21" s="676">
        <f t="shared" si="17"/>
        <v>47834.799999999996</v>
      </c>
      <c r="EL21" s="111"/>
      <c r="EM21" s="15">
        <v>14</v>
      </c>
      <c r="EN21" s="306">
        <v>937.12</v>
      </c>
      <c r="EO21" s="362">
        <v>44399</v>
      </c>
      <c r="EP21" s="306">
        <v>937.12</v>
      </c>
      <c r="EQ21" s="291" t="s">
        <v>521</v>
      </c>
      <c r="ER21" s="292">
        <v>52</v>
      </c>
      <c r="ES21" s="676">
        <f t="shared" si="18"/>
        <v>48730.239999999998</v>
      </c>
      <c r="EV21" s="111"/>
      <c r="EW21" s="15">
        <v>14</v>
      </c>
      <c r="EX21" s="72">
        <v>968.4</v>
      </c>
      <c r="EY21" s="373">
        <v>44400</v>
      </c>
      <c r="EZ21" s="72">
        <v>968.4</v>
      </c>
      <c r="FA21" s="291" t="s">
        <v>529</v>
      </c>
      <c r="FB21" s="74">
        <v>52</v>
      </c>
      <c r="FC21" s="354">
        <f t="shared" si="19"/>
        <v>50356.799999999996</v>
      </c>
      <c r="FF21" s="111"/>
      <c r="FG21" s="15">
        <v>14</v>
      </c>
      <c r="FH21" s="306">
        <v>905.8</v>
      </c>
      <c r="FI21" s="362">
        <v>44400</v>
      </c>
      <c r="FJ21" s="306">
        <v>905.8</v>
      </c>
      <c r="FK21" s="291" t="s">
        <v>531</v>
      </c>
      <c r="FL21" s="292">
        <v>52</v>
      </c>
      <c r="FM21" s="676">
        <f t="shared" si="20"/>
        <v>47101.599999999999</v>
      </c>
      <c r="FP21" s="111"/>
      <c r="FQ21" s="15">
        <v>14</v>
      </c>
      <c r="FR21" s="96">
        <v>928.95</v>
      </c>
      <c r="FS21" s="357">
        <v>44401</v>
      </c>
      <c r="FT21" s="96">
        <v>928.95</v>
      </c>
      <c r="FU21" s="73" t="s">
        <v>538</v>
      </c>
      <c r="FV21" s="74">
        <v>54</v>
      </c>
      <c r="FW21" s="676">
        <f t="shared" si="21"/>
        <v>50163.3</v>
      </c>
      <c r="FX21" s="74"/>
      <c r="FZ21" s="111"/>
      <c r="GA21" s="15">
        <v>14</v>
      </c>
      <c r="GB21" s="72">
        <v>855.9</v>
      </c>
      <c r="GC21" s="573">
        <v>44404</v>
      </c>
      <c r="GD21" s="72">
        <v>855.9</v>
      </c>
      <c r="GE21" s="291" t="s">
        <v>546</v>
      </c>
      <c r="GF21" s="292">
        <v>54</v>
      </c>
      <c r="GG21" s="354">
        <f t="shared" si="22"/>
        <v>46218.6</v>
      </c>
      <c r="GJ21" s="111"/>
      <c r="GK21" s="15">
        <v>14</v>
      </c>
      <c r="GL21" s="551">
        <v>894</v>
      </c>
      <c r="GM21" s="357">
        <v>44404</v>
      </c>
      <c r="GN21" s="551">
        <v>894</v>
      </c>
      <c r="GO21" s="99" t="s">
        <v>548</v>
      </c>
      <c r="GP21" s="74">
        <v>54</v>
      </c>
      <c r="GQ21" s="676">
        <f t="shared" si="23"/>
        <v>48276</v>
      </c>
      <c r="GT21" s="111"/>
      <c r="GU21" s="15">
        <v>14</v>
      </c>
      <c r="GV21" s="96">
        <v>919.43</v>
      </c>
      <c r="GW21" s="357">
        <v>44405</v>
      </c>
      <c r="GX21" s="96">
        <v>919.43</v>
      </c>
      <c r="GY21" s="99" t="s">
        <v>552</v>
      </c>
      <c r="GZ21" s="74">
        <v>54</v>
      </c>
      <c r="HA21" s="676">
        <f t="shared" si="24"/>
        <v>49649.219999999994</v>
      </c>
      <c r="HD21" s="111"/>
      <c r="HE21" s="15">
        <v>14</v>
      </c>
      <c r="HF21" s="96">
        <v>966.15</v>
      </c>
      <c r="HG21" s="357">
        <v>44407</v>
      </c>
      <c r="HH21" s="96">
        <v>966.15</v>
      </c>
      <c r="HI21" s="99" t="s">
        <v>557</v>
      </c>
      <c r="HJ21" s="74">
        <v>54</v>
      </c>
      <c r="HK21" s="676">
        <f t="shared" si="25"/>
        <v>52172.1</v>
      </c>
      <c r="HN21" s="111"/>
      <c r="HO21" s="15">
        <v>14</v>
      </c>
      <c r="HP21" s="306">
        <v>878.6</v>
      </c>
      <c r="HQ21" s="362">
        <v>44408</v>
      </c>
      <c r="HR21" s="306">
        <v>878.6</v>
      </c>
      <c r="HS21" s="422" t="s">
        <v>567</v>
      </c>
      <c r="HT21" s="292">
        <v>54</v>
      </c>
      <c r="HU21" s="354">
        <f t="shared" si="26"/>
        <v>47444.4</v>
      </c>
      <c r="HX21" s="98"/>
      <c r="HY21" s="15">
        <v>14</v>
      </c>
      <c r="HZ21" s="72">
        <v>909.9</v>
      </c>
      <c r="IA21" s="373">
        <v>44407</v>
      </c>
      <c r="IB21" s="72">
        <v>909.9</v>
      </c>
      <c r="IC21" s="73" t="s">
        <v>560</v>
      </c>
      <c r="ID21" s="74">
        <v>54</v>
      </c>
      <c r="IE21" s="676">
        <f t="shared" si="27"/>
        <v>49134.6</v>
      </c>
      <c r="IH21" s="98"/>
      <c r="II21" s="15">
        <v>14</v>
      </c>
      <c r="IJ21" s="72"/>
      <c r="IK21" s="373"/>
      <c r="IL21" s="72"/>
      <c r="IM21" s="73"/>
      <c r="IN21" s="74"/>
      <c r="IO21" s="676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6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6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6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6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6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6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6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6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68242922</v>
      </c>
      <c r="E22" s="144">
        <f t="shared" si="61"/>
        <v>44404</v>
      </c>
      <c r="F22" s="90">
        <f t="shared" si="61"/>
        <v>18836.849999999999</v>
      </c>
      <c r="G22" s="76">
        <f t="shared" si="61"/>
        <v>21</v>
      </c>
      <c r="H22" s="49">
        <f t="shared" si="61"/>
        <v>18882.400000000001</v>
      </c>
      <c r="I22" s="110">
        <f>GP5</f>
        <v>-45.55000000000291</v>
      </c>
      <c r="L22" s="111"/>
      <c r="M22" s="15">
        <v>14</v>
      </c>
      <c r="N22" s="96">
        <v>919.4</v>
      </c>
      <c r="O22" s="357">
        <v>44382</v>
      </c>
      <c r="P22" s="96">
        <v>919.4</v>
      </c>
      <c r="Q22" s="73" t="s">
        <v>408</v>
      </c>
      <c r="R22" s="74">
        <v>43</v>
      </c>
      <c r="S22" s="676">
        <f t="shared" si="47"/>
        <v>39534.199999999997</v>
      </c>
      <c r="T22" s="267"/>
      <c r="V22" s="111"/>
      <c r="W22" s="15">
        <v>15</v>
      </c>
      <c r="X22" s="306">
        <v>927.14</v>
      </c>
      <c r="Y22" s="362">
        <v>44384</v>
      </c>
      <c r="Z22" s="306">
        <v>927.14</v>
      </c>
      <c r="AA22" s="422" t="s">
        <v>422</v>
      </c>
      <c r="AB22" s="292">
        <v>43</v>
      </c>
      <c r="AC22" s="354">
        <f t="shared" si="7"/>
        <v>39867.019999999997</v>
      </c>
      <c r="AF22" s="111"/>
      <c r="AG22" s="15">
        <v>15</v>
      </c>
      <c r="AH22" s="96">
        <v>920.79</v>
      </c>
      <c r="AI22" s="357">
        <v>44385</v>
      </c>
      <c r="AJ22" s="96">
        <v>920.79</v>
      </c>
      <c r="AK22" s="99" t="s">
        <v>429</v>
      </c>
      <c r="AL22" s="74">
        <v>45</v>
      </c>
      <c r="AM22" s="684">
        <f t="shared" si="8"/>
        <v>41435.549999999996</v>
      </c>
      <c r="AP22" s="111"/>
      <c r="AQ22" s="15">
        <v>15</v>
      </c>
      <c r="AR22" s="351">
        <v>873.2</v>
      </c>
      <c r="AS22" s="362">
        <v>44386</v>
      </c>
      <c r="AT22" s="351">
        <v>873.2</v>
      </c>
      <c r="AU22" s="350" t="s">
        <v>436</v>
      </c>
      <c r="AV22" s="292">
        <v>46</v>
      </c>
      <c r="AW22" s="354">
        <f t="shared" si="9"/>
        <v>40167.200000000004</v>
      </c>
      <c r="AZ22" s="111"/>
      <c r="BA22" s="15">
        <v>15</v>
      </c>
      <c r="BB22" s="96">
        <v>895.8</v>
      </c>
      <c r="BC22" s="144">
        <v>44386</v>
      </c>
      <c r="BD22" s="96">
        <v>895.8</v>
      </c>
      <c r="BE22" s="99" t="s">
        <v>428</v>
      </c>
      <c r="BF22" s="416">
        <v>46</v>
      </c>
      <c r="BG22" s="704">
        <f t="shared" si="10"/>
        <v>41206.799999999996</v>
      </c>
      <c r="BJ22" s="111"/>
      <c r="BK22" s="15">
        <v>15</v>
      </c>
      <c r="BL22" s="96">
        <v>869.5</v>
      </c>
      <c r="BM22" s="144">
        <v>44390</v>
      </c>
      <c r="BN22" s="96">
        <v>869.5</v>
      </c>
      <c r="BO22" s="99" t="s">
        <v>459</v>
      </c>
      <c r="BP22" s="416">
        <v>48</v>
      </c>
      <c r="BQ22" s="704">
        <f t="shared" si="11"/>
        <v>41736</v>
      </c>
      <c r="BT22" s="111"/>
      <c r="BU22" s="289">
        <v>15</v>
      </c>
      <c r="BV22" s="306">
        <v>845</v>
      </c>
      <c r="BW22" s="417">
        <v>44390</v>
      </c>
      <c r="BX22" s="306">
        <v>845</v>
      </c>
      <c r="BY22" s="420" t="s">
        <v>456</v>
      </c>
      <c r="BZ22" s="419">
        <v>48</v>
      </c>
      <c r="CA22" s="676">
        <f t="shared" si="12"/>
        <v>40560</v>
      </c>
      <c r="CD22" s="111"/>
      <c r="CE22" s="15">
        <v>15</v>
      </c>
      <c r="CF22" s="96">
        <v>920.79</v>
      </c>
      <c r="CG22" s="417">
        <v>44391</v>
      </c>
      <c r="CH22" s="96">
        <v>920.79</v>
      </c>
      <c r="CI22" s="420" t="s">
        <v>470</v>
      </c>
      <c r="CJ22" s="419">
        <v>48</v>
      </c>
      <c r="CK22" s="676">
        <f t="shared" si="13"/>
        <v>44197.919999999998</v>
      </c>
      <c r="CN22" s="742"/>
      <c r="CO22" s="15">
        <v>15</v>
      </c>
      <c r="CP22" s="290">
        <v>914.44</v>
      </c>
      <c r="CQ22" s="417">
        <v>44392</v>
      </c>
      <c r="CR22" s="290">
        <v>914.44</v>
      </c>
      <c r="CS22" s="420" t="s">
        <v>474</v>
      </c>
      <c r="CT22" s="419">
        <v>49</v>
      </c>
      <c r="CU22" s="689">
        <f t="shared" si="48"/>
        <v>44807.560000000005</v>
      </c>
      <c r="CX22" s="111"/>
      <c r="CY22" s="15">
        <v>15</v>
      </c>
      <c r="CZ22" s="96">
        <v>830.5</v>
      </c>
      <c r="DA22" s="357">
        <v>44393</v>
      </c>
      <c r="DB22" s="96">
        <v>830.5</v>
      </c>
      <c r="DC22" s="99" t="s">
        <v>482</v>
      </c>
      <c r="DD22" s="74">
        <v>50</v>
      </c>
      <c r="DE22" s="676">
        <f t="shared" si="14"/>
        <v>41525</v>
      </c>
      <c r="DH22" s="111"/>
      <c r="DI22" s="15">
        <v>15</v>
      </c>
      <c r="DJ22" s="96">
        <v>852.3</v>
      </c>
      <c r="DK22" s="417">
        <v>44393</v>
      </c>
      <c r="DL22" s="96">
        <v>852.3</v>
      </c>
      <c r="DM22" s="420" t="s">
        <v>483</v>
      </c>
      <c r="DN22" s="419">
        <v>50</v>
      </c>
      <c r="DO22" s="689">
        <f t="shared" si="15"/>
        <v>42615</v>
      </c>
      <c r="DR22" s="111"/>
      <c r="DS22" s="15">
        <v>15</v>
      </c>
      <c r="DT22" s="96">
        <v>914.9</v>
      </c>
      <c r="DU22" s="417">
        <v>44397</v>
      </c>
      <c r="DV22" s="96">
        <v>914.9</v>
      </c>
      <c r="DW22" s="420" t="s">
        <v>504</v>
      </c>
      <c r="DX22" s="419">
        <v>52</v>
      </c>
      <c r="DY22" s="676">
        <f t="shared" si="16"/>
        <v>47574.799999999996</v>
      </c>
      <c r="EB22" s="111"/>
      <c r="EC22" s="15">
        <v>15</v>
      </c>
      <c r="ED22" s="72">
        <v>910.8</v>
      </c>
      <c r="EE22" s="373">
        <v>44398</v>
      </c>
      <c r="EF22" s="72">
        <v>910.8</v>
      </c>
      <c r="EG22" s="73" t="s">
        <v>510</v>
      </c>
      <c r="EH22" s="74">
        <v>52</v>
      </c>
      <c r="EI22" s="676">
        <f t="shared" si="17"/>
        <v>47361.599999999999</v>
      </c>
      <c r="EL22" s="111"/>
      <c r="EM22" s="15">
        <v>15</v>
      </c>
      <c r="EN22" s="306">
        <v>913.98</v>
      </c>
      <c r="EO22" s="362">
        <v>44399</v>
      </c>
      <c r="EP22" s="306">
        <v>913.98</v>
      </c>
      <c r="EQ22" s="291" t="s">
        <v>521</v>
      </c>
      <c r="ER22" s="292">
        <v>52</v>
      </c>
      <c r="ES22" s="676">
        <f t="shared" si="18"/>
        <v>47526.96</v>
      </c>
      <c r="EV22" s="111"/>
      <c r="EW22" s="15">
        <v>15</v>
      </c>
      <c r="EX22" s="72">
        <v>904</v>
      </c>
      <c r="EY22" s="373">
        <v>44400</v>
      </c>
      <c r="EZ22" s="72">
        <v>904</v>
      </c>
      <c r="FA22" s="291" t="s">
        <v>529</v>
      </c>
      <c r="FB22" s="74">
        <v>52</v>
      </c>
      <c r="FC22" s="354">
        <f t="shared" si="19"/>
        <v>47008</v>
      </c>
      <c r="FF22" s="111"/>
      <c r="FG22" s="15">
        <v>15</v>
      </c>
      <c r="FH22" s="306">
        <v>885.9</v>
      </c>
      <c r="FI22" s="362">
        <v>44400</v>
      </c>
      <c r="FJ22" s="306">
        <v>885.9</v>
      </c>
      <c r="FK22" s="291" t="s">
        <v>531</v>
      </c>
      <c r="FL22" s="292">
        <v>52</v>
      </c>
      <c r="FM22" s="676">
        <f t="shared" si="20"/>
        <v>46066.799999999996</v>
      </c>
      <c r="FP22" s="111"/>
      <c r="FQ22" s="15">
        <v>15</v>
      </c>
      <c r="FR22" s="96">
        <v>931.67</v>
      </c>
      <c r="FS22" s="357">
        <v>44401</v>
      </c>
      <c r="FT22" s="96">
        <v>931.67</v>
      </c>
      <c r="FU22" s="73" t="s">
        <v>538</v>
      </c>
      <c r="FV22" s="74">
        <v>54</v>
      </c>
      <c r="FW22" s="676">
        <f t="shared" si="21"/>
        <v>50310.18</v>
      </c>
      <c r="FX22" s="74"/>
      <c r="FZ22" s="111"/>
      <c r="GA22" s="15">
        <v>15</v>
      </c>
      <c r="GB22" s="72">
        <v>897.7</v>
      </c>
      <c r="GC22" s="573">
        <v>44404</v>
      </c>
      <c r="GD22" s="72">
        <v>897.7</v>
      </c>
      <c r="GE22" s="291" t="s">
        <v>546</v>
      </c>
      <c r="GF22" s="292">
        <v>54</v>
      </c>
      <c r="GG22" s="354">
        <f t="shared" si="22"/>
        <v>48475.8</v>
      </c>
      <c r="GJ22" s="111"/>
      <c r="GK22" s="15">
        <v>15</v>
      </c>
      <c r="GL22" s="551">
        <v>899.5</v>
      </c>
      <c r="GM22" s="357">
        <v>44404</v>
      </c>
      <c r="GN22" s="551">
        <v>899.5</v>
      </c>
      <c r="GO22" s="99" t="s">
        <v>548</v>
      </c>
      <c r="GP22" s="74">
        <v>54</v>
      </c>
      <c r="GQ22" s="676">
        <f t="shared" si="23"/>
        <v>48573</v>
      </c>
      <c r="GT22" s="111"/>
      <c r="GU22" s="15">
        <v>15</v>
      </c>
      <c r="GV22" s="96">
        <v>938.48</v>
      </c>
      <c r="GW22" s="357">
        <v>44405</v>
      </c>
      <c r="GX22" s="96">
        <v>938.48</v>
      </c>
      <c r="GY22" s="99" t="s">
        <v>552</v>
      </c>
      <c r="GZ22" s="74">
        <v>54</v>
      </c>
      <c r="HA22" s="676">
        <f t="shared" si="24"/>
        <v>50677.919999999998</v>
      </c>
      <c r="HD22" s="111"/>
      <c r="HE22" s="15">
        <v>15</v>
      </c>
      <c r="HF22" s="96">
        <v>968.87</v>
      </c>
      <c r="HG22" s="357">
        <v>44407</v>
      </c>
      <c r="HH22" s="96">
        <v>968.87</v>
      </c>
      <c r="HI22" s="99" t="s">
        <v>557</v>
      </c>
      <c r="HJ22" s="74">
        <v>54</v>
      </c>
      <c r="HK22" s="676">
        <f t="shared" si="25"/>
        <v>52318.98</v>
      </c>
      <c r="HN22" s="111"/>
      <c r="HO22" s="15">
        <v>15</v>
      </c>
      <c r="HP22" s="306">
        <v>909</v>
      </c>
      <c r="HQ22" s="362">
        <v>44408</v>
      </c>
      <c r="HR22" s="306">
        <v>909</v>
      </c>
      <c r="HS22" s="422" t="s">
        <v>564</v>
      </c>
      <c r="HT22" s="292">
        <v>54</v>
      </c>
      <c r="HU22" s="354">
        <f t="shared" si="26"/>
        <v>49086</v>
      </c>
      <c r="HX22" s="98"/>
      <c r="HY22" s="15">
        <v>15</v>
      </c>
      <c r="HZ22" s="72">
        <v>907.6</v>
      </c>
      <c r="IA22" s="373">
        <v>44407</v>
      </c>
      <c r="IB22" s="72">
        <v>907.6</v>
      </c>
      <c r="IC22" s="73" t="s">
        <v>560</v>
      </c>
      <c r="ID22" s="74">
        <v>54</v>
      </c>
      <c r="IE22" s="676">
        <f t="shared" si="27"/>
        <v>49010.400000000001</v>
      </c>
      <c r="IH22" s="98"/>
      <c r="II22" s="15">
        <v>15</v>
      </c>
      <c r="IJ22" s="72"/>
      <c r="IK22" s="373"/>
      <c r="IL22" s="72"/>
      <c r="IM22" s="73"/>
      <c r="IN22" s="74"/>
      <c r="IO22" s="676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6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6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6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6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6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6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6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6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TYSON FRESH MEAT</v>
      </c>
      <c r="C23" s="79" t="str">
        <f>GU5</f>
        <v>PED. 68305343</v>
      </c>
      <c r="D23" s="107" t="str">
        <f>GU5</f>
        <v>PED. 68305343</v>
      </c>
      <c r="E23" s="144">
        <f t="shared" si="62"/>
        <v>44405</v>
      </c>
      <c r="F23" s="90">
        <f t="shared" si="62"/>
        <v>18824.84</v>
      </c>
      <c r="G23" s="76">
        <f t="shared" si="62"/>
        <v>20</v>
      </c>
      <c r="H23" s="49">
        <f t="shared" si="62"/>
        <v>18783.54</v>
      </c>
      <c r="I23" s="110">
        <f>F23-H23</f>
        <v>41.299999999999272</v>
      </c>
      <c r="L23" s="111"/>
      <c r="M23" s="15">
        <v>15</v>
      </c>
      <c r="N23" s="96">
        <v>936.7</v>
      </c>
      <c r="O23" s="357">
        <v>44382</v>
      </c>
      <c r="P23" s="96">
        <v>936.7</v>
      </c>
      <c r="Q23" s="73" t="s">
        <v>408</v>
      </c>
      <c r="R23" s="74">
        <v>43</v>
      </c>
      <c r="S23" s="676">
        <f t="shared" si="47"/>
        <v>40278.1</v>
      </c>
      <c r="T23" s="267"/>
      <c r="V23" s="111"/>
      <c r="W23" s="15">
        <v>16</v>
      </c>
      <c r="X23" s="306">
        <v>918.52</v>
      </c>
      <c r="Y23" s="362">
        <v>44384</v>
      </c>
      <c r="Z23" s="306">
        <v>918.52</v>
      </c>
      <c r="AA23" s="422" t="s">
        <v>422</v>
      </c>
      <c r="AB23" s="292">
        <v>43</v>
      </c>
      <c r="AC23" s="354">
        <f t="shared" si="7"/>
        <v>39496.36</v>
      </c>
      <c r="AF23" s="111"/>
      <c r="AG23" s="15">
        <v>16</v>
      </c>
      <c r="AH23" s="96">
        <v>942.56</v>
      </c>
      <c r="AI23" s="357">
        <v>44385</v>
      </c>
      <c r="AJ23" s="96">
        <v>942.56</v>
      </c>
      <c r="AK23" s="99" t="s">
        <v>429</v>
      </c>
      <c r="AL23" s="74">
        <v>45</v>
      </c>
      <c r="AM23" s="684">
        <f t="shared" si="8"/>
        <v>42415.199999999997</v>
      </c>
      <c r="AP23" s="111"/>
      <c r="AQ23" s="15">
        <v>16</v>
      </c>
      <c r="AR23" s="351">
        <v>848.7</v>
      </c>
      <c r="AS23" s="362">
        <v>44386</v>
      </c>
      <c r="AT23" s="351">
        <v>848.7</v>
      </c>
      <c r="AU23" s="350" t="s">
        <v>436</v>
      </c>
      <c r="AV23" s="292">
        <v>46</v>
      </c>
      <c r="AW23" s="354">
        <f t="shared" si="9"/>
        <v>39040.200000000004</v>
      </c>
      <c r="AZ23" s="111"/>
      <c r="BA23" s="15">
        <v>16</v>
      </c>
      <c r="BB23" s="96">
        <v>902.2</v>
      </c>
      <c r="BC23" s="144">
        <v>44386</v>
      </c>
      <c r="BD23" s="96">
        <v>902.2</v>
      </c>
      <c r="BE23" s="99" t="s">
        <v>428</v>
      </c>
      <c r="BF23" s="416">
        <v>46</v>
      </c>
      <c r="BG23" s="704">
        <f t="shared" si="10"/>
        <v>41501.200000000004</v>
      </c>
      <c r="BJ23" s="111"/>
      <c r="BK23" s="15">
        <v>16</v>
      </c>
      <c r="BL23" s="96">
        <v>875</v>
      </c>
      <c r="BM23" s="144">
        <v>44390</v>
      </c>
      <c r="BN23" s="96">
        <v>875</v>
      </c>
      <c r="BO23" s="99" t="s">
        <v>459</v>
      </c>
      <c r="BP23" s="416">
        <v>48</v>
      </c>
      <c r="BQ23" s="704">
        <f t="shared" si="11"/>
        <v>42000</v>
      </c>
      <c r="BT23" s="111"/>
      <c r="BU23" s="289">
        <v>16</v>
      </c>
      <c r="BV23" s="306">
        <v>873.2</v>
      </c>
      <c r="BW23" s="417">
        <v>44390</v>
      </c>
      <c r="BX23" s="306">
        <v>873.2</v>
      </c>
      <c r="BY23" s="420" t="s">
        <v>456</v>
      </c>
      <c r="BZ23" s="419">
        <v>48</v>
      </c>
      <c r="CA23" s="676">
        <f t="shared" si="12"/>
        <v>41913.600000000006</v>
      </c>
      <c r="CD23" s="111"/>
      <c r="CE23" s="15">
        <v>16</v>
      </c>
      <c r="CF23" s="96">
        <v>914.89</v>
      </c>
      <c r="CG23" s="417">
        <v>44391</v>
      </c>
      <c r="CH23" s="96">
        <v>914.89</v>
      </c>
      <c r="CI23" s="420" t="s">
        <v>470</v>
      </c>
      <c r="CJ23" s="419">
        <v>48</v>
      </c>
      <c r="CK23" s="676">
        <f t="shared" si="13"/>
        <v>43914.720000000001</v>
      </c>
      <c r="CN23" s="742"/>
      <c r="CO23" s="15">
        <v>16</v>
      </c>
      <c r="CP23" s="306">
        <v>955.71</v>
      </c>
      <c r="CQ23" s="417">
        <v>44392</v>
      </c>
      <c r="CR23" s="306">
        <v>955.71</v>
      </c>
      <c r="CS23" s="420" t="s">
        <v>474</v>
      </c>
      <c r="CT23" s="419">
        <v>49</v>
      </c>
      <c r="CU23" s="689">
        <f t="shared" si="48"/>
        <v>46829.79</v>
      </c>
      <c r="CX23" s="111"/>
      <c r="CY23" s="15">
        <v>16</v>
      </c>
      <c r="CZ23" s="96">
        <v>885.9</v>
      </c>
      <c r="DA23" s="357">
        <v>44393</v>
      </c>
      <c r="DB23" s="96">
        <v>885.9</v>
      </c>
      <c r="DC23" s="99" t="s">
        <v>482</v>
      </c>
      <c r="DD23" s="74">
        <v>50</v>
      </c>
      <c r="DE23" s="676">
        <f t="shared" si="14"/>
        <v>44295</v>
      </c>
      <c r="DH23" s="111"/>
      <c r="DI23" s="15">
        <v>16</v>
      </c>
      <c r="DJ23" s="96">
        <v>879.5</v>
      </c>
      <c r="DK23" s="417">
        <v>44393</v>
      </c>
      <c r="DL23" s="96">
        <v>879.5</v>
      </c>
      <c r="DM23" s="420" t="s">
        <v>483</v>
      </c>
      <c r="DN23" s="419">
        <v>50</v>
      </c>
      <c r="DO23" s="689">
        <f t="shared" si="15"/>
        <v>43975</v>
      </c>
      <c r="DR23" s="111"/>
      <c r="DS23" s="15">
        <v>16</v>
      </c>
      <c r="DT23" s="96">
        <v>909.4</v>
      </c>
      <c r="DU23" s="417">
        <v>44397</v>
      </c>
      <c r="DV23" s="96">
        <v>909.4</v>
      </c>
      <c r="DW23" s="420" t="s">
        <v>504</v>
      </c>
      <c r="DX23" s="419">
        <v>52</v>
      </c>
      <c r="DY23" s="676">
        <f t="shared" si="16"/>
        <v>47288.799999999996</v>
      </c>
      <c r="EB23" s="111"/>
      <c r="EC23" s="15">
        <v>16</v>
      </c>
      <c r="ED23" s="72">
        <v>904.9</v>
      </c>
      <c r="EE23" s="373">
        <v>44398</v>
      </c>
      <c r="EF23" s="72">
        <v>904.9</v>
      </c>
      <c r="EG23" s="73" t="s">
        <v>510</v>
      </c>
      <c r="EH23" s="74">
        <v>52</v>
      </c>
      <c r="EI23" s="676">
        <f t="shared" si="17"/>
        <v>47054.799999999996</v>
      </c>
      <c r="EL23" s="111"/>
      <c r="EM23" s="15">
        <v>16</v>
      </c>
      <c r="EN23" s="306">
        <v>917.16</v>
      </c>
      <c r="EO23" s="362">
        <v>44399</v>
      </c>
      <c r="EP23" s="306">
        <v>917.16</v>
      </c>
      <c r="EQ23" s="291" t="s">
        <v>521</v>
      </c>
      <c r="ER23" s="292">
        <v>52</v>
      </c>
      <c r="ES23" s="676">
        <f t="shared" si="18"/>
        <v>47692.32</v>
      </c>
      <c r="EV23" s="111"/>
      <c r="EW23" s="15">
        <v>16</v>
      </c>
      <c r="EX23" s="72">
        <v>885</v>
      </c>
      <c r="EY23" s="373">
        <v>44400</v>
      </c>
      <c r="EZ23" s="72">
        <v>885</v>
      </c>
      <c r="FA23" s="291" t="s">
        <v>529</v>
      </c>
      <c r="FB23" s="74">
        <v>52</v>
      </c>
      <c r="FC23" s="354">
        <f t="shared" si="19"/>
        <v>46020</v>
      </c>
      <c r="FF23" s="111"/>
      <c r="FG23" s="15">
        <v>16</v>
      </c>
      <c r="FH23" s="306">
        <v>900.4</v>
      </c>
      <c r="FI23" s="362">
        <v>44400</v>
      </c>
      <c r="FJ23" s="306">
        <v>900.4</v>
      </c>
      <c r="FK23" s="291" t="s">
        <v>531</v>
      </c>
      <c r="FL23" s="292">
        <v>52</v>
      </c>
      <c r="FM23" s="676">
        <f t="shared" si="20"/>
        <v>46820.799999999996</v>
      </c>
      <c r="FP23" s="111"/>
      <c r="FQ23" s="15">
        <v>16</v>
      </c>
      <c r="FR23" s="96">
        <v>944.83</v>
      </c>
      <c r="FS23" s="357">
        <v>44401</v>
      </c>
      <c r="FT23" s="96">
        <v>944.83</v>
      </c>
      <c r="FU23" s="73" t="s">
        <v>538</v>
      </c>
      <c r="FV23" s="74">
        <v>54</v>
      </c>
      <c r="FW23" s="676">
        <f t="shared" si="21"/>
        <v>51020.82</v>
      </c>
      <c r="FX23" s="74"/>
      <c r="FZ23" s="111"/>
      <c r="GA23" s="15">
        <v>16</v>
      </c>
      <c r="GB23" s="72">
        <v>899.5</v>
      </c>
      <c r="GC23" s="573">
        <v>44404</v>
      </c>
      <c r="GD23" s="72">
        <v>899.5</v>
      </c>
      <c r="GE23" s="291" t="s">
        <v>546</v>
      </c>
      <c r="GF23" s="292">
        <v>54</v>
      </c>
      <c r="GG23" s="354">
        <f t="shared" si="22"/>
        <v>48573</v>
      </c>
      <c r="GJ23" s="111"/>
      <c r="GK23" s="15">
        <v>16</v>
      </c>
      <c r="GL23" s="551">
        <v>888.6</v>
      </c>
      <c r="GM23" s="357">
        <v>44404</v>
      </c>
      <c r="GN23" s="551">
        <v>888.6</v>
      </c>
      <c r="GO23" s="99" t="s">
        <v>548</v>
      </c>
      <c r="GP23" s="74">
        <v>54</v>
      </c>
      <c r="GQ23" s="676">
        <f t="shared" si="23"/>
        <v>47984.4</v>
      </c>
      <c r="GT23" s="111"/>
      <c r="GU23" s="15">
        <v>16</v>
      </c>
      <c r="GV23" s="96">
        <v>966.15</v>
      </c>
      <c r="GW23" s="357">
        <v>44405</v>
      </c>
      <c r="GX23" s="96">
        <v>966.15</v>
      </c>
      <c r="GY23" s="99" t="s">
        <v>552</v>
      </c>
      <c r="GZ23" s="74">
        <v>54</v>
      </c>
      <c r="HA23" s="676">
        <f t="shared" si="24"/>
        <v>52172.1</v>
      </c>
      <c r="HD23" s="111"/>
      <c r="HE23" s="15">
        <v>16</v>
      </c>
      <c r="HF23" s="96">
        <v>928.04</v>
      </c>
      <c r="HG23" s="357">
        <v>44407</v>
      </c>
      <c r="HH23" s="96">
        <v>928.04</v>
      </c>
      <c r="HI23" s="99" t="s">
        <v>557</v>
      </c>
      <c r="HJ23" s="74">
        <v>54</v>
      </c>
      <c r="HK23" s="676">
        <f t="shared" si="25"/>
        <v>50114.159999999996</v>
      </c>
      <c r="HN23" s="111"/>
      <c r="HO23" s="15">
        <v>16</v>
      </c>
      <c r="HP23" s="306">
        <v>904.9</v>
      </c>
      <c r="HQ23" s="362">
        <v>44408</v>
      </c>
      <c r="HR23" s="306">
        <v>904.9</v>
      </c>
      <c r="HS23" s="422" t="s">
        <v>564</v>
      </c>
      <c r="HT23" s="292">
        <v>54</v>
      </c>
      <c r="HU23" s="354">
        <f t="shared" si="26"/>
        <v>48864.6</v>
      </c>
      <c r="HX23" s="98"/>
      <c r="HY23" s="15">
        <v>16</v>
      </c>
      <c r="HZ23" s="72">
        <v>904.5</v>
      </c>
      <c r="IA23" s="373">
        <v>44407</v>
      </c>
      <c r="IB23" s="72">
        <v>904.5</v>
      </c>
      <c r="IC23" s="73" t="s">
        <v>560</v>
      </c>
      <c r="ID23" s="74">
        <v>54</v>
      </c>
      <c r="IE23" s="676">
        <f t="shared" si="27"/>
        <v>48843</v>
      </c>
      <c r="IH23" s="98"/>
      <c r="II23" s="15">
        <v>16</v>
      </c>
      <c r="IJ23" s="72"/>
      <c r="IK23" s="373"/>
      <c r="IL23" s="72"/>
      <c r="IM23" s="73"/>
      <c r="IN23" s="74"/>
      <c r="IO23" s="676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6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6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6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6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6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6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6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6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</v>
      </c>
      <c r="C24" s="79" t="str">
        <f t="shared" si="63"/>
        <v xml:space="preserve">I B  P </v>
      </c>
      <c r="D24" s="107" t="str">
        <f t="shared" si="63"/>
        <v>PED. 68358593</v>
      </c>
      <c r="E24" s="144">
        <f t="shared" si="63"/>
        <v>44406</v>
      </c>
      <c r="F24" s="90">
        <f t="shared" si="63"/>
        <v>18923.88</v>
      </c>
      <c r="G24" s="76">
        <f t="shared" si="63"/>
        <v>20</v>
      </c>
      <c r="H24" s="49">
        <f t="shared" si="63"/>
        <v>19009.060000000001</v>
      </c>
      <c r="I24" s="110">
        <f t="shared" si="63"/>
        <v>-85.180000000000291</v>
      </c>
      <c r="L24" s="111"/>
      <c r="M24" s="15">
        <v>16</v>
      </c>
      <c r="N24" s="96">
        <v>905.8</v>
      </c>
      <c r="O24" s="357">
        <v>44382</v>
      </c>
      <c r="P24" s="96">
        <v>905.8</v>
      </c>
      <c r="Q24" s="73" t="s">
        <v>408</v>
      </c>
      <c r="R24" s="74">
        <v>43</v>
      </c>
      <c r="S24" s="676">
        <f t="shared" si="47"/>
        <v>38949.4</v>
      </c>
      <c r="T24" s="267"/>
      <c r="V24" s="111"/>
      <c r="W24" s="15">
        <v>17</v>
      </c>
      <c r="X24" s="306">
        <v>860.46</v>
      </c>
      <c r="Y24" s="362">
        <v>44384</v>
      </c>
      <c r="Z24" s="306">
        <v>860.46</v>
      </c>
      <c r="AA24" s="422" t="s">
        <v>422</v>
      </c>
      <c r="AB24" s="292">
        <v>43</v>
      </c>
      <c r="AC24" s="354">
        <f t="shared" si="7"/>
        <v>36999.78</v>
      </c>
      <c r="AF24" s="111"/>
      <c r="AG24" s="15">
        <v>17</v>
      </c>
      <c r="AH24" s="96">
        <v>936.21</v>
      </c>
      <c r="AI24" s="357">
        <v>44385</v>
      </c>
      <c r="AJ24" s="96">
        <v>936.21</v>
      </c>
      <c r="AK24" s="99" t="s">
        <v>429</v>
      </c>
      <c r="AL24" s="74">
        <v>45</v>
      </c>
      <c r="AM24" s="684">
        <f t="shared" si="8"/>
        <v>42129.450000000004</v>
      </c>
      <c r="AP24" s="111"/>
      <c r="AQ24" s="15">
        <v>17</v>
      </c>
      <c r="AR24" s="351">
        <v>896.7</v>
      </c>
      <c r="AS24" s="362">
        <v>44386</v>
      </c>
      <c r="AT24" s="351">
        <v>896.7</v>
      </c>
      <c r="AU24" s="350" t="s">
        <v>436</v>
      </c>
      <c r="AV24" s="292">
        <v>46</v>
      </c>
      <c r="AW24" s="354">
        <f t="shared" si="9"/>
        <v>41248.200000000004</v>
      </c>
      <c r="AZ24" s="111"/>
      <c r="BA24" s="15">
        <v>17</v>
      </c>
      <c r="BB24" s="96">
        <v>874.1</v>
      </c>
      <c r="BC24" s="144">
        <v>44386</v>
      </c>
      <c r="BD24" s="96">
        <v>874.1</v>
      </c>
      <c r="BE24" s="99" t="s">
        <v>428</v>
      </c>
      <c r="BF24" s="416">
        <v>46</v>
      </c>
      <c r="BG24" s="704">
        <f t="shared" si="10"/>
        <v>40208.6</v>
      </c>
      <c r="BJ24" s="111"/>
      <c r="BK24" s="15">
        <v>17</v>
      </c>
      <c r="BL24" s="96">
        <v>881.3</v>
      </c>
      <c r="BM24" s="144">
        <v>44390</v>
      </c>
      <c r="BN24" s="96">
        <v>881.3</v>
      </c>
      <c r="BO24" s="99" t="s">
        <v>459</v>
      </c>
      <c r="BP24" s="416">
        <v>48</v>
      </c>
      <c r="BQ24" s="704">
        <f t="shared" si="11"/>
        <v>42302.399999999994</v>
      </c>
      <c r="BT24" s="111"/>
      <c r="BU24" s="289">
        <v>17</v>
      </c>
      <c r="BV24" s="306">
        <v>875</v>
      </c>
      <c r="BW24" s="417">
        <v>44390</v>
      </c>
      <c r="BX24" s="306">
        <v>875</v>
      </c>
      <c r="BY24" s="420" t="s">
        <v>456</v>
      </c>
      <c r="BZ24" s="419">
        <v>48</v>
      </c>
      <c r="CA24" s="676">
        <f t="shared" si="12"/>
        <v>42000</v>
      </c>
      <c r="CD24" s="111"/>
      <c r="CE24" s="15">
        <v>17</v>
      </c>
      <c r="CF24" s="96">
        <v>913.08</v>
      </c>
      <c r="CG24" s="417">
        <v>44391</v>
      </c>
      <c r="CH24" s="96">
        <v>913.08</v>
      </c>
      <c r="CI24" s="420" t="s">
        <v>470</v>
      </c>
      <c r="CJ24" s="419">
        <v>48</v>
      </c>
      <c r="CK24" s="676">
        <f t="shared" si="13"/>
        <v>43827.840000000004</v>
      </c>
      <c r="CN24" s="742"/>
      <c r="CO24" s="15">
        <v>17</v>
      </c>
      <c r="CP24" s="306">
        <v>966.15</v>
      </c>
      <c r="CQ24" s="417">
        <v>44392</v>
      </c>
      <c r="CR24" s="306">
        <v>966.15</v>
      </c>
      <c r="CS24" s="420" t="s">
        <v>474</v>
      </c>
      <c r="CT24" s="419">
        <v>49</v>
      </c>
      <c r="CU24" s="689">
        <f t="shared" si="48"/>
        <v>47341.35</v>
      </c>
      <c r="CX24" s="111"/>
      <c r="CY24" s="15">
        <v>17</v>
      </c>
      <c r="CZ24" s="96">
        <v>857.7</v>
      </c>
      <c r="DA24" s="357">
        <v>44393</v>
      </c>
      <c r="DB24" s="96">
        <v>857.7</v>
      </c>
      <c r="DC24" s="99" t="s">
        <v>482</v>
      </c>
      <c r="DD24" s="74">
        <v>50</v>
      </c>
      <c r="DE24" s="676">
        <f t="shared" si="14"/>
        <v>42885</v>
      </c>
      <c r="DH24" s="111"/>
      <c r="DI24" s="15">
        <v>17</v>
      </c>
      <c r="DJ24" s="96">
        <v>876.8</v>
      </c>
      <c r="DK24" s="417">
        <v>44393</v>
      </c>
      <c r="DL24" s="96">
        <v>876.8</v>
      </c>
      <c r="DM24" s="420" t="s">
        <v>483</v>
      </c>
      <c r="DN24" s="419">
        <v>50</v>
      </c>
      <c r="DO24" s="689">
        <f t="shared" si="15"/>
        <v>43840</v>
      </c>
      <c r="DR24" s="111"/>
      <c r="DS24" s="15">
        <v>17</v>
      </c>
      <c r="DT24" s="96">
        <v>906.3</v>
      </c>
      <c r="DU24" s="417">
        <v>44397</v>
      </c>
      <c r="DV24" s="96">
        <v>906.3</v>
      </c>
      <c r="DW24" s="420" t="s">
        <v>504</v>
      </c>
      <c r="DX24" s="419">
        <v>52</v>
      </c>
      <c r="DY24" s="676">
        <f t="shared" si="16"/>
        <v>47127.6</v>
      </c>
      <c r="EB24" s="111"/>
      <c r="EC24" s="15">
        <v>17</v>
      </c>
      <c r="ED24" s="72">
        <v>876.3</v>
      </c>
      <c r="EE24" s="373">
        <v>44398</v>
      </c>
      <c r="EF24" s="72">
        <v>876.3</v>
      </c>
      <c r="EG24" s="73" t="s">
        <v>510</v>
      </c>
      <c r="EH24" s="74">
        <v>52</v>
      </c>
      <c r="EI24" s="676">
        <f t="shared" si="17"/>
        <v>45567.6</v>
      </c>
      <c r="EL24" s="111"/>
      <c r="EM24" s="15">
        <v>17</v>
      </c>
      <c r="EN24" s="306">
        <v>960.7</v>
      </c>
      <c r="EO24" s="362">
        <v>44399</v>
      </c>
      <c r="EP24" s="306">
        <v>960.7</v>
      </c>
      <c r="EQ24" s="291" t="s">
        <v>521</v>
      </c>
      <c r="ER24" s="292">
        <v>52</v>
      </c>
      <c r="ES24" s="676">
        <f t="shared" si="18"/>
        <v>49956.4</v>
      </c>
      <c r="EV24" s="111"/>
      <c r="EW24" s="15">
        <v>17</v>
      </c>
      <c r="EX24" s="72">
        <v>901.3</v>
      </c>
      <c r="EY24" s="373">
        <v>44400</v>
      </c>
      <c r="EZ24" s="72">
        <v>901.3</v>
      </c>
      <c r="FA24" s="291" t="s">
        <v>529</v>
      </c>
      <c r="FB24" s="74">
        <v>52</v>
      </c>
      <c r="FC24" s="354">
        <f t="shared" si="19"/>
        <v>46867.6</v>
      </c>
      <c r="FF24" s="111"/>
      <c r="FG24" s="15">
        <v>17</v>
      </c>
      <c r="FH24" s="306">
        <v>910.4</v>
      </c>
      <c r="FI24" s="362">
        <v>44400</v>
      </c>
      <c r="FJ24" s="306">
        <v>910.4</v>
      </c>
      <c r="FK24" s="291" t="s">
        <v>531</v>
      </c>
      <c r="FL24" s="292">
        <v>52</v>
      </c>
      <c r="FM24" s="676">
        <f t="shared" si="20"/>
        <v>47340.799999999996</v>
      </c>
      <c r="FP24" s="111"/>
      <c r="FQ24" s="15">
        <v>17</v>
      </c>
      <c r="FR24" s="96">
        <v>949.82</v>
      </c>
      <c r="FS24" s="357">
        <v>44401</v>
      </c>
      <c r="FT24" s="96">
        <v>949.82</v>
      </c>
      <c r="FU24" s="73" t="s">
        <v>538</v>
      </c>
      <c r="FV24" s="74">
        <v>54</v>
      </c>
      <c r="FW24" s="676">
        <f t="shared" si="21"/>
        <v>51290.280000000006</v>
      </c>
      <c r="FX24" s="74"/>
      <c r="FZ24" s="111"/>
      <c r="GA24" s="15">
        <v>17</v>
      </c>
      <c r="GB24" s="72">
        <v>896.7</v>
      </c>
      <c r="GC24" s="573">
        <v>44404</v>
      </c>
      <c r="GD24" s="72">
        <v>896.7</v>
      </c>
      <c r="GE24" s="291" t="s">
        <v>546</v>
      </c>
      <c r="GF24" s="292">
        <v>54</v>
      </c>
      <c r="GG24" s="354">
        <f t="shared" si="22"/>
        <v>48421.8</v>
      </c>
      <c r="GJ24" s="111"/>
      <c r="GK24" s="15">
        <v>17</v>
      </c>
      <c r="GL24" s="551">
        <v>895.8</v>
      </c>
      <c r="GM24" s="357">
        <v>44404</v>
      </c>
      <c r="GN24" s="551">
        <v>895.8</v>
      </c>
      <c r="GO24" s="99" t="s">
        <v>548</v>
      </c>
      <c r="GP24" s="74">
        <v>54</v>
      </c>
      <c r="GQ24" s="676">
        <f t="shared" si="23"/>
        <v>48373.2</v>
      </c>
      <c r="GT24" s="111"/>
      <c r="GU24" s="15">
        <v>17</v>
      </c>
      <c r="GV24" s="96">
        <v>949.36</v>
      </c>
      <c r="GW24" s="357">
        <v>44405</v>
      </c>
      <c r="GX24" s="96">
        <v>949.36</v>
      </c>
      <c r="GY24" s="99" t="s">
        <v>552</v>
      </c>
      <c r="GZ24" s="74">
        <v>54</v>
      </c>
      <c r="HA24" s="676">
        <f t="shared" si="24"/>
        <v>51265.440000000002</v>
      </c>
      <c r="HD24" s="111"/>
      <c r="HE24" s="15">
        <v>17</v>
      </c>
      <c r="HF24" s="96">
        <v>949.82</v>
      </c>
      <c r="HG24" s="357">
        <v>44407</v>
      </c>
      <c r="HH24" s="96">
        <v>949.82</v>
      </c>
      <c r="HI24" s="99" t="s">
        <v>557</v>
      </c>
      <c r="HJ24" s="74">
        <v>54</v>
      </c>
      <c r="HK24" s="676">
        <f t="shared" si="25"/>
        <v>51290.280000000006</v>
      </c>
      <c r="HN24" s="111"/>
      <c r="HO24" s="15">
        <v>17</v>
      </c>
      <c r="HP24" s="306">
        <v>870.4</v>
      </c>
      <c r="HQ24" s="362">
        <v>44408</v>
      </c>
      <c r="HR24" s="306">
        <v>870.4</v>
      </c>
      <c r="HS24" s="422" t="s">
        <v>564</v>
      </c>
      <c r="HT24" s="292">
        <v>54</v>
      </c>
      <c r="HU24" s="354">
        <f t="shared" si="26"/>
        <v>47001.599999999999</v>
      </c>
      <c r="HX24" s="111"/>
      <c r="HY24" s="15">
        <v>17</v>
      </c>
      <c r="HZ24" s="72">
        <v>893.1</v>
      </c>
      <c r="IA24" s="373">
        <v>44407</v>
      </c>
      <c r="IB24" s="72">
        <v>893.1</v>
      </c>
      <c r="IC24" s="73" t="s">
        <v>560</v>
      </c>
      <c r="ID24" s="74">
        <v>54</v>
      </c>
      <c r="IE24" s="676">
        <f t="shared" si="27"/>
        <v>48227.4</v>
      </c>
      <c r="IH24" s="111"/>
      <c r="II24" s="15">
        <v>17</v>
      </c>
      <c r="IJ24" s="72"/>
      <c r="IK24" s="373"/>
      <c r="IL24" s="72"/>
      <c r="IM24" s="73"/>
      <c r="IN24" s="74"/>
      <c r="IO24" s="676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6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6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6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6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6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6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6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68401502</v>
      </c>
      <c r="E25" s="144">
        <f t="shared" si="64"/>
        <v>44407</v>
      </c>
      <c r="F25" s="90">
        <f t="shared" si="64"/>
        <v>18892.21</v>
      </c>
      <c r="G25" s="76">
        <f t="shared" si="64"/>
        <v>21</v>
      </c>
      <c r="H25" s="49">
        <f t="shared" si="64"/>
        <v>18979.099999999999</v>
      </c>
      <c r="I25" s="110">
        <f t="shared" si="64"/>
        <v>-86.889999999999418</v>
      </c>
      <c r="L25" s="111"/>
      <c r="M25" s="15">
        <v>17</v>
      </c>
      <c r="N25" s="96">
        <v>881.3</v>
      </c>
      <c r="O25" s="357">
        <v>44382</v>
      </c>
      <c r="P25" s="96">
        <v>881.3</v>
      </c>
      <c r="Q25" s="73" t="s">
        <v>408</v>
      </c>
      <c r="R25" s="74">
        <v>43</v>
      </c>
      <c r="S25" s="676">
        <f t="shared" si="47"/>
        <v>37895.9</v>
      </c>
      <c r="T25" s="267"/>
      <c r="V25" s="250"/>
      <c r="W25" s="15">
        <v>18</v>
      </c>
      <c r="X25" s="306">
        <v>915.34</v>
      </c>
      <c r="Y25" s="362">
        <v>44384</v>
      </c>
      <c r="Z25" s="306">
        <v>915.34</v>
      </c>
      <c r="AA25" s="422" t="s">
        <v>422</v>
      </c>
      <c r="AB25" s="292">
        <v>43</v>
      </c>
      <c r="AC25" s="354">
        <f t="shared" si="7"/>
        <v>39359.620000000003</v>
      </c>
      <c r="AF25" s="98"/>
      <c r="AG25" s="15">
        <v>18</v>
      </c>
      <c r="AH25" s="96">
        <v>887.22</v>
      </c>
      <c r="AI25" s="357">
        <v>44385</v>
      </c>
      <c r="AJ25" s="96">
        <v>887.22</v>
      </c>
      <c r="AK25" s="99" t="s">
        <v>429</v>
      </c>
      <c r="AL25" s="74">
        <v>45</v>
      </c>
      <c r="AM25" s="684">
        <f t="shared" si="8"/>
        <v>39924.9</v>
      </c>
      <c r="AP25" s="98"/>
      <c r="AQ25" s="15">
        <v>18</v>
      </c>
      <c r="AR25" s="351">
        <v>885.9</v>
      </c>
      <c r="AS25" s="362">
        <v>44386</v>
      </c>
      <c r="AT25" s="351">
        <v>885.9</v>
      </c>
      <c r="AU25" s="350" t="s">
        <v>436</v>
      </c>
      <c r="AV25" s="292">
        <v>46</v>
      </c>
      <c r="AW25" s="354">
        <f t="shared" si="9"/>
        <v>40751.4</v>
      </c>
      <c r="AZ25" s="111"/>
      <c r="BA25" s="15">
        <v>18</v>
      </c>
      <c r="BB25" s="96">
        <v>885</v>
      </c>
      <c r="BC25" s="144">
        <v>44386</v>
      </c>
      <c r="BD25" s="96">
        <v>885</v>
      </c>
      <c r="BE25" s="99" t="s">
        <v>428</v>
      </c>
      <c r="BF25" s="416">
        <v>46</v>
      </c>
      <c r="BG25" s="704">
        <f t="shared" si="10"/>
        <v>40710</v>
      </c>
      <c r="BJ25" s="98"/>
      <c r="BK25" s="15">
        <v>18</v>
      </c>
      <c r="BL25" s="96">
        <v>875</v>
      </c>
      <c r="BM25" s="144">
        <v>44390</v>
      </c>
      <c r="BN25" s="96">
        <v>875</v>
      </c>
      <c r="BO25" s="99" t="s">
        <v>459</v>
      </c>
      <c r="BP25" s="416">
        <v>48</v>
      </c>
      <c r="BQ25" s="704">
        <f t="shared" si="11"/>
        <v>42000</v>
      </c>
      <c r="BT25" s="111"/>
      <c r="BU25" s="289">
        <v>18</v>
      </c>
      <c r="BV25" s="306">
        <v>875.9</v>
      </c>
      <c r="BW25" s="417">
        <v>44390</v>
      </c>
      <c r="BX25" s="306">
        <v>875.9</v>
      </c>
      <c r="BY25" s="420" t="s">
        <v>456</v>
      </c>
      <c r="BZ25" s="419">
        <v>48</v>
      </c>
      <c r="CA25" s="676">
        <f t="shared" si="12"/>
        <v>42043.199999999997</v>
      </c>
      <c r="CD25" s="98"/>
      <c r="CE25" s="15">
        <v>18</v>
      </c>
      <c r="CF25" s="96">
        <v>967.51</v>
      </c>
      <c r="CG25" s="417">
        <v>44391</v>
      </c>
      <c r="CH25" s="96">
        <v>967.51</v>
      </c>
      <c r="CI25" s="420" t="s">
        <v>470</v>
      </c>
      <c r="CJ25" s="419">
        <v>48</v>
      </c>
      <c r="CK25" s="676">
        <f t="shared" si="13"/>
        <v>46440.479999999996</v>
      </c>
      <c r="CN25" s="742"/>
      <c r="CO25" s="15">
        <v>18</v>
      </c>
      <c r="CP25" s="306">
        <v>889.04</v>
      </c>
      <c r="CQ25" s="417">
        <v>44392</v>
      </c>
      <c r="CR25" s="306">
        <v>889.04</v>
      </c>
      <c r="CS25" s="420" t="s">
        <v>474</v>
      </c>
      <c r="CT25" s="419">
        <v>49</v>
      </c>
      <c r="CU25" s="689">
        <f t="shared" si="48"/>
        <v>43562.96</v>
      </c>
      <c r="CX25" s="98"/>
      <c r="CY25" s="15">
        <v>18</v>
      </c>
      <c r="CZ25" s="96">
        <v>875</v>
      </c>
      <c r="DA25" s="357">
        <v>44393</v>
      </c>
      <c r="DB25" s="96">
        <v>875</v>
      </c>
      <c r="DC25" s="99" t="s">
        <v>482</v>
      </c>
      <c r="DD25" s="74">
        <v>50</v>
      </c>
      <c r="DE25" s="676">
        <f t="shared" si="14"/>
        <v>43750</v>
      </c>
      <c r="DH25" s="98"/>
      <c r="DI25" s="15">
        <v>18</v>
      </c>
      <c r="DJ25" s="96">
        <v>855.9</v>
      </c>
      <c r="DK25" s="417">
        <v>44393</v>
      </c>
      <c r="DL25" s="96">
        <v>855.9</v>
      </c>
      <c r="DM25" s="420" t="s">
        <v>483</v>
      </c>
      <c r="DN25" s="419">
        <v>50</v>
      </c>
      <c r="DO25" s="689">
        <f t="shared" si="15"/>
        <v>42795</v>
      </c>
      <c r="DR25" s="98"/>
      <c r="DS25" s="15">
        <v>18</v>
      </c>
      <c r="DT25" s="96">
        <v>900.4</v>
      </c>
      <c r="DU25" s="417">
        <v>44397</v>
      </c>
      <c r="DV25" s="96">
        <v>900.4</v>
      </c>
      <c r="DW25" s="420" t="s">
        <v>504</v>
      </c>
      <c r="DX25" s="419">
        <v>52</v>
      </c>
      <c r="DY25" s="676">
        <f t="shared" si="16"/>
        <v>46820.799999999996</v>
      </c>
      <c r="EB25" s="98"/>
      <c r="EC25" s="15">
        <v>18</v>
      </c>
      <c r="ED25" s="72">
        <v>895.4</v>
      </c>
      <c r="EE25" s="373">
        <v>44398</v>
      </c>
      <c r="EF25" s="72">
        <v>895.4</v>
      </c>
      <c r="EG25" s="73" t="s">
        <v>510</v>
      </c>
      <c r="EH25" s="74">
        <v>52</v>
      </c>
      <c r="EI25" s="676">
        <f t="shared" si="17"/>
        <v>46560.799999999996</v>
      </c>
      <c r="EL25" s="98"/>
      <c r="EM25" s="15">
        <v>18</v>
      </c>
      <c r="EN25" s="306">
        <v>916.25</v>
      </c>
      <c r="EO25" s="362">
        <v>44399</v>
      </c>
      <c r="EP25" s="306">
        <v>916.25</v>
      </c>
      <c r="EQ25" s="291" t="s">
        <v>521</v>
      </c>
      <c r="ER25" s="292">
        <v>52</v>
      </c>
      <c r="ES25" s="676">
        <f t="shared" si="18"/>
        <v>47645</v>
      </c>
      <c r="EV25" s="98"/>
      <c r="EW25" s="15">
        <v>18</v>
      </c>
      <c r="EX25" s="72">
        <v>903.1</v>
      </c>
      <c r="EY25" s="373">
        <v>44400</v>
      </c>
      <c r="EZ25" s="72">
        <v>903.1</v>
      </c>
      <c r="FA25" s="291" t="s">
        <v>529</v>
      </c>
      <c r="FB25" s="74">
        <v>52</v>
      </c>
      <c r="FC25" s="354">
        <f t="shared" si="19"/>
        <v>46961.200000000004</v>
      </c>
      <c r="FF25" s="98"/>
      <c r="FG25" s="15">
        <v>18</v>
      </c>
      <c r="FH25" s="306">
        <v>903.1</v>
      </c>
      <c r="FI25" s="362">
        <v>44400</v>
      </c>
      <c r="FJ25" s="306">
        <v>903.1</v>
      </c>
      <c r="FK25" s="291" t="s">
        <v>531</v>
      </c>
      <c r="FL25" s="292">
        <v>52</v>
      </c>
      <c r="FM25" s="676">
        <f t="shared" si="20"/>
        <v>46961.200000000004</v>
      </c>
      <c r="FP25" s="98"/>
      <c r="FQ25" s="15">
        <v>18</v>
      </c>
      <c r="FR25" s="96">
        <v>944.37</v>
      </c>
      <c r="FS25" s="357">
        <v>44401</v>
      </c>
      <c r="FT25" s="96">
        <v>944.37</v>
      </c>
      <c r="FU25" s="73" t="s">
        <v>538</v>
      </c>
      <c r="FV25" s="74">
        <v>54</v>
      </c>
      <c r="FW25" s="676">
        <f t="shared" si="21"/>
        <v>50995.98</v>
      </c>
      <c r="FX25" s="74"/>
      <c r="FZ25" s="98"/>
      <c r="GA25" s="15">
        <v>18</v>
      </c>
      <c r="GB25" s="72">
        <v>898.6</v>
      </c>
      <c r="GC25" s="573">
        <v>44404</v>
      </c>
      <c r="GD25" s="72">
        <v>898.6</v>
      </c>
      <c r="GE25" s="291" t="s">
        <v>546</v>
      </c>
      <c r="GF25" s="292">
        <v>54</v>
      </c>
      <c r="GG25" s="354">
        <f t="shared" si="22"/>
        <v>48524.4</v>
      </c>
      <c r="GJ25" s="98"/>
      <c r="GK25" s="15">
        <v>18</v>
      </c>
      <c r="GL25" s="551">
        <v>903.1</v>
      </c>
      <c r="GM25" s="357">
        <v>44404</v>
      </c>
      <c r="GN25" s="551">
        <v>903.1</v>
      </c>
      <c r="GO25" s="99" t="s">
        <v>548</v>
      </c>
      <c r="GP25" s="74">
        <v>54</v>
      </c>
      <c r="GQ25" s="676">
        <f t="shared" si="23"/>
        <v>48767.4</v>
      </c>
      <c r="GT25" s="98"/>
      <c r="GU25" s="15">
        <v>18</v>
      </c>
      <c r="GV25" s="96">
        <v>934.85</v>
      </c>
      <c r="GW25" s="357">
        <v>44405</v>
      </c>
      <c r="GX25" s="96">
        <v>934.85</v>
      </c>
      <c r="GY25" s="99" t="s">
        <v>552</v>
      </c>
      <c r="GZ25" s="74">
        <v>54</v>
      </c>
      <c r="HA25" s="676">
        <f t="shared" si="24"/>
        <v>50481.9</v>
      </c>
      <c r="HD25" s="98"/>
      <c r="HE25" s="15">
        <v>18</v>
      </c>
      <c r="HF25" s="96">
        <v>946.19</v>
      </c>
      <c r="HG25" s="357">
        <v>44407</v>
      </c>
      <c r="HH25" s="96">
        <v>946.19</v>
      </c>
      <c r="HI25" s="99" t="s">
        <v>557</v>
      </c>
      <c r="HJ25" s="74">
        <v>54</v>
      </c>
      <c r="HK25" s="676">
        <f t="shared" si="25"/>
        <v>51094.26</v>
      </c>
      <c r="HN25" s="250"/>
      <c r="HO25" s="15">
        <v>18</v>
      </c>
      <c r="HP25" s="306">
        <v>916.7</v>
      </c>
      <c r="HQ25" s="362">
        <v>44408</v>
      </c>
      <c r="HR25" s="306">
        <v>916.7</v>
      </c>
      <c r="HS25" s="422" t="s">
        <v>564</v>
      </c>
      <c r="HT25" s="292">
        <v>54</v>
      </c>
      <c r="HU25" s="354">
        <f t="shared" si="26"/>
        <v>49501.8</v>
      </c>
      <c r="HX25" s="111"/>
      <c r="HY25" s="15">
        <v>18</v>
      </c>
      <c r="HZ25" s="72">
        <v>922.6</v>
      </c>
      <c r="IA25" s="373">
        <v>44407</v>
      </c>
      <c r="IB25" s="72">
        <v>922.6</v>
      </c>
      <c r="IC25" s="73" t="s">
        <v>560</v>
      </c>
      <c r="ID25" s="74">
        <v>54</v>
      </c>
      <c r="IE25" s="676">
        <f t="shared" si="27"/>
        <v>49820.4</v>
      </c>
      <c r="IH25" s="111"/>
      <c r="II25" s="15">
        <v>18</v>
      </c>
      <c r="IJ25" s="72"/>
      <c r="IK25" s="373"/>
      <c r="IL25" s="72"/>
      <c r="IM25" s="73"/>
      <c r="IN25" s="74"/>
      <c r="IO25" s="676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6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6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6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6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6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6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6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6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SEABORD FOODS </v>
      </c>
      <c r="C26" s="79" t="str">
        <f t="shared" si="65"/>
        <v>Seaboard</v>
      </c>
      <c r="D26" s="107" t="str">
        <f t="shared" si="65"/>
        <v>PED. 68401506</v>
      </c>
      <c r="E26" s="144">
        <f t="shared" si="65"/>
        <v>44407</v>
      </c>
      <c r="F26" s="90">
        <f t="shared" si="65"/>
        <v>18932.599999999999</v>
      </c>
      <c r="G26" s="76">
        <f t="shared" si="65"/>
        <v>21</v>
      </c>
      <c r="H26" s="49">
        <f t="shared" si="65"/>
        <v>18988.7</v>
      </c>
      <c r="I26" s="110">
        <f t="shared" si="65"/>
        <v>-56.100000000002183</v>
      </c>
      <c r="L26" s="98"/>
      <c r="M26" s="15">
        <v>18</v>
      </c>
      <c r="N26" s="96">
        <v>943.9</v>
      </c>
      <c r="O26" s="357">
        <v>44382</v>
      </c>
      <c r="P26" s="96">
        <v>943.9</v>
      </c>
      <c r="Q26" s="73" t="s">
        <v>408</v>
      </c>
      <c r="R26" s="74">
        <v>43</v>
      </c>
      <c r="S26" s="676">
        <f t="shared" si="47"/>
        <v>40587.699999999997</v>
      </c>
      <c r="T26" s="267"/>
      <c r="V26" s="250"/>
      <c r="W26" s="15">
        <v>19</v>
      </c>
      <c r="X26" s="306">
        <v>902.64</v>
      </c>
      <c r="Y26" s="362">
        <v>44384</v>
      </c>
      <c r="Z26" s="306">
        <v>902.64</v>
      </c>
      <c r="AA26" s="422" t="s">
        <v>422</v>
      </c>
      <c r="AB26" s="292">
        <v>43</v>
      </c>
      <c r="AC26" s="354">
        <f t="shared" si="7"/>
        <v>38813.519999999997</v>
      </c>
      <c r="AF26" s="111"/>
      <c r="AG26" s="15">
        <v>19</v>
      </c>
      <c r="AH26" s="96">
        <v>921.69</v>
      </c>
      <c r="AI26" s="357">
        <v>44385</v>
      </c>
      <c r="AJ26" s="96">
        <v>921.69</v>
      </c>
      <c r="AK26" s="99" t="s">
        <v>429</v>
      </c>
      <c r="AL26" s="74">
        <v>45</v>
      </c>
      <c r="AM26" s="684">
        <f t="shared" si="8"/>
        <v>41476.050000000003</v>
      </c>
      <c r="AP26" s="111"/>
      <c r="AQ26" s="15">
        <v>19</v>
      </c>
      <c r="AR26" s="351">
        <v>892.2</v>
      </c>
      <c r="AS26" s="362">
        <v>44386</v>
      </c>
      <c r="AT26" s="351">
        <v>892.2</v>
      </c>
      <c r="AU26" s="350" t="s">
        <v>436</v>
      </c>
      <c r="AV26" s="292">
        <v>46</v>
      </c>
      <c r="AW26" s="354">
        <f t="shared" si="9"/>
        <v>41041.200000000004</v>
      </c>
      <c r="AZ26" s="111"/>
      <c r="BA26" s="15">
        <v>19</v>
      </c>
      <c r="BB26" s="96">
        <v>890.4</v>
      </c>
      <c r="BC26" s="144">
        <v>44386</v>
      </c>
      <c r="BD26" s="96">
        <v>890.4</v>
      </c>
      <c r="BE26" s="99" t="s">
        <v>428</v>
      </c>
      <c r="BF26" s="416">
        <v>46</v>
      </c>
      <c r="BG26" s="704">
        <f t="shared" si="10"/>
        <v>40958.400000000001</v>
      </c>
      <c r="BJ26" s="111"/>
      <c r="BK26" s="15">
        <v>19</v>
      </c>
      <c r="BL26" s="96">
        <v>872.3</v>
      </c>
      <c r="BM26" s="144">
        <v>44390</v>
      </c>
      <c r="BN26" s="96">
        <v>872.3</v>
      </c>
      <c r="BO26" s="99" t="s">
        <v>459</v>
      </c>
      <c r="BP26" s="416">
        <v>48</v>
      </c>
      <c r="BQ26" s="704">
        <f t="shared" si="11"/>
        <v>41870.399999999994</v>
      </c>
      <c r="BT26" s="111"/>
      <c r="BU26" s="289">
        <v>19</v>
      </c>
      <c r="BV26" s="306">
        <v>846.9</v>
      </c>
      <c r="BW26" s="417">
        <v>44390</v>
      </c>
      <c r="BX26" s="306">
        <v>846.9</v>
      </c>
      <c r="BY26" s="420" t="s">
        <v>456</v>
      </c>
      <c r="BZ26" s="419">
        <v>48</v>
      </c>
      <c r="CA26" s="676">
        <f t="shared" si="12"/>
        <v>40651.199999999997</v>
      </c>
      <c r="CD26" s="111"/>
      <c r="CE26" s="15">
        <v>19</v>
      </c>
      <c r="CF26" s="96">
        <v>921.69</v>
      </c>
      <c r="CG26" s="417">
        <v>44391</v>
      </c>
      <c r="CH26" s="96">
        <v>921.69</v>
      </c>
      <c r="CI26" s="420" t="s">
        <v>470</v>
      </c>
      <c r="CJ26" s="419">
        <v>48</v>
      </c>
      <c r="CK26" s="676">
        <f t="shared" si="13"/>
        <v>44241.120000000003</v>
      </c>
      <c r="CN26" s="742"/>
      <c r="CO26" s="15">
        <v>19</v>
      </c>
      <c r="CP26" s="306">
        <v>966.6</v>
      </c>
      <c r="CQ26" s="417">
        <v>44392</v>
      </c>
      <c r="CR26" s="306">
        <v>966.6</v>
      </c>
      <c r="CS26" s="420" t="s">
        <v>474</v>
      </c>
      <c r="CT26" s="419">
        <v>49</v>
      </c>
      <c r="CU26" s="689">
        <f t="shared" si="48"/>
        <v>47363.4</v>
      </c>
      <c r="CX26" s="111"/>
      <c r="CY26" s="15">
        <v>19</v>
      </c>
      <c r="CZ26" s="96">
        <v>890.4</v>
      </c>
      <c r="DA26" s="357">
        <v>44393</v>
      </c>
      <c r="DB26" s="96">
        <v>890.4</v>
      </c>
      <c r="DC26" s="99" t="s">
        <v>482</v>
      </c>
      <c r="DD26" s="74">
        <v>50</v>
      </c>
      <c r="DE26" s="676">
        <f t="shared" si="14"/>
        <v>44520</v>
      </c>
      <c r="DH26" s="111"/>
      <c r="DI26" s="15">
        <v>19</v>
      </c>
      <c r="DJ26" s="96">
        <v>885</v>
      </c>
      <c r="DK26" s="417">
        <v>44393</v>
      </c>
      <c r="DL26" s="96">
        <v>885</v>
      </c>
      <c r="DM26" s="420" t="s">
        <v>483</v>
      </c>
      <c r="DN26" s="419">
        <v>50</v>
      </c>
      <c r="DO26" s="689">
        <f t="shared" si="15"/>
        <v>44250</v>
      </c>
      <c r="DR26" s="111"/>
      <c r="DS26" s="15">
        <v>19</v>
      </c>
      <c r="DT26" s="96">
        <v>873.6</v>
      </c>
      <c r="DU26" s="417">
        <v>44397</v>
      </c>
      <c r="DV26" s="96">
        <v>873.6</v>
      </c>
      <c r="DW26" s="420" t="s">
        <v>505</v>
      </c>
      <c r="DX26" s="419">
        <v>52</v>
      </c>
      <c r="DY26" s="676">
        <f t="shared" si="16"/>
        <v>45427.200000000004</v>
      </c>
      <c r="EB26" s="111"/>
      <c r="EC26" s="15">
        <v>19</v>
      </c>
      <c r="ED26" s="72">
        <v>918.1</v>
      </c>
      <c r="EE26" s="373">
        <v>44398</v>
      </c>
      <c r="EF26" s="72">
        <v>918.1</v>
      </c>
      <c r="EG26" s="73" t="s">
        <v>510</v>
      </c>
      <c r="EH26" s="74">
        <v>52</v>
      </c>
      <c r="EI26" s="676">
        <f t="shared" si="17"/>
        <v>47741.200000000004</v>
      </c>
      <c r="EL26" s="98"/>
      <c r="EM26" s="15">
        <v>19</v>
      </c>
      <c r="EN26" s="306">
        <v>909.9</v>
      </c>
      <c r="EO26" s="362">
        <v>44399</v>
      </c>
      <c r="EP26" s="306">
        <v>909.9</v>
      </c>
      <c r="EQ26" s="291" t="s">
        <v>521</v>
      </c>
      <c r="ER26" s="292">
        <v>52</v>
      </c>
      <c r="ES26" s="676">
        <f t="shared" si="18"/>
        <v>47314.799999999996</v>
      </c>
      <c r="EV26" s="111"/>
      <c r="EW26" s="15">
        <v>19</v>
      </c>
      <c r="EX26" s="72">
        <v>892.2</v>
      </c>
      <c r="EY26" s="373">
        <v>44400</v>
      </c>
      <c r="EZ26" s="72">
        <v>892.2</v>
      </c>
      <c r="FA26" s="291" t="s">
        <v>529</v>
      </c>
      <c r="FB26" s="74">
        <v>52</v>
      </c>
      <c r="FC26" s="354">
        <f t="shared" si="19"/>
        <v>46394.400000000001</v>
      </c>
      <c r="FF26" s="98"/>
      <c r="FG26" s="15">
        <v>19</v>
      </c>
      <c r="FH26" s="306">
        <v>895.8</v>
      </c>
      <c r="FI26" s="362">
        <v>44400</v>
      </c>
      <c r="FJ26" s="306">
        <v>895.8</v>
      </c>
      <c r="FK26" s="291" t="s">
        <v>531</v>
      </c>
      <c r="FL26" s="292">
        <v>52</v>
      </c>
      <c r="FM26" s="676">
        <f t="shared" si="20"/>
        <v>46581.599999999999</v>
      </c>
      <c r="FP26" s="111"/>
      <c r="FQ26" s="15">
        <v>19</v>
      </c>
      <c r="FR26" s="96">
        <v>949.82</v>
      </c>
      <c r="FS26" s="357">
        <v>44401</v>
      </c>
      <c r="FT26" s="96">
        <v>949.82</v>
      </c>
      <c r="FU26" s="73" t="s">
        <v>538</v>
      </c>
      <c r="FV26" s="74">
        <v>54</v>
      </c>
      <c r="FW26" s="676">
        <f t="shared" si="21"/>
        <v>51290.280000000006</v>
      </c>
      <c r="FX26" s="74"/>
      <c r="FZ26" s="111"/>
      <c r="GA26" s="15">
        <v>19</v>
      </c>
      <c r="GB26" s="72">
        <v>894</v>
      </c>
      <c r="GC26" s="573">
        <v>44404</v>
      </c>
      <c r="GD26" s="72">
        <v>894</v>
      </c>
      <c r="GE26" s="291" t="s">
        <v>546</v>
      </c>
      <c r="GF26" s="292">
        <v>54</v>
      </c>
      <c r="GG26" s="354">
        <f t="shared" si="22"/>
        <v>48276</v>
      </c>
      <c r="GJ26" s="111"/>
      <c r="GK26" s="15">
        <v>19</v>
      </c>
      <c r="GL26" s="551">
        <v>900.4</v>
      </c>
      <c r="GM26" s="357">
        <v>44404</v>
      </c>
      <c r="GN26" s="551">
        <v>900.4</v>
      </c>
      <c r="GO26" s="99" t="s">
        <v>548</v>
      </c>
      <c r="GP26" s="74">
        <v>54</v>
      </c>
      <c r="GQ26" s="676">
        <f t="shared" si="23"/>
        <v>48621.599999999999</v>
      </c>
      <c r="GT26" s="111"/>
      <c r="GU26" s="15">
        <v>19</v>
      </c>
      <c r="GV26" s="96">
        <v>925.78</v>
      </c>
      <c r="GW26" s="357">
        <v>44405</v>
      </c>
      <c r="GX26" s="96">
        <v>925.78</v>
      </c>
      <c r="GY26" s="99" t="s">
        <v>552</v>
      </c>
      <c r="GZ26" s="74">
        <v>54</v>
      </c>
      <c r="HA26" s="676">
        <f t="shared" si="24"/>
        <v>49992.119999999995</v>
      </c>
      <c r="HD26" s="111"/>
      <c r="HE26" s="15">
        <v>19</v>
      </c>
      <c r="HF26" s="96">
        <v>935.3</v>
      </c>
      <c r="HG26" s="357">
        <v>44407</v>
      </c>
      <c r="HH26" s="96">
        <v>935.3</v>
      </c>
      <c r="HI26" s="99" t="s">
        <v>557</v>
      </c>
      <c r="HJ26" s="74">
        <v>54</v>
      </c>
      <c r="HK26" s="676">
        <f t="shared" si="25"/>
        <v>50506.2</v>
      </c>
      <c r="HN26" s="250"/>
      <c r="HO26" s="15">
        <v>19</v>
      </c>
      <c r="HP26" s="306">
        <v>934.8</v>
      </c>
      <c r="HQ26" s="362">
        <v>44408</v>
      </c>
      <c r="HR26" s="306">
        <v>934.8</v>
      </c>
      <c r="HS26" s="422" t="s">
        <v>564</v>
      </c>
      <c r="HT26" s="292">
        <v>54</v>
      </c>
      <c r="HU26" s="354">
        <f t="shared" si="26"/>
        <v>50479.199999999997</v>
      </c>
      <c r="HX26" s="111"/>
      <c r="HY26" s="15">
        <v>19</v>
      </c>
      <c r="HZ26" s="72">
        <v>871.3</v>
      </c>
      <c r="IA26" s="373">
        <v>44407</v>
      </c>
      <c r="IB26" s="72">
        <v>871.3</v>
      </c>
      <c r="IC26" s="73" t="s">
        <v>560</v>
      </c>
      <c r="ID26" s="74">
        <v>54</v>
      </c>
      <c r="IE26" s="676">
        <f t="shared" si="27"/>
        <v>47050.2</v>
      </c>
      <c r="IH26" s="111"/>
      <c r="II26" s="15">
        <v>19</v>
      </c>
      <c r="IJ26" s="72"/>
      <c r="IK26" s="373"/>
      <c r="IL26" s="72"/>
      <c r="IM26" s="73"/>
      <c r="IN26" s="74"/>
      <c r="IO26" s="676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6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6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6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6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6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6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6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6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851.4</v>
      </c>
      <c r="O27" s="357">
        <v>44382</v>
      </c>
      <c r="P27" s="96">
        <v>851.4</v>
      </c>
      <c r="Q27" s="73" t="s">
        <v>408</v>
      </c>
      <c r="R27" s="74">
        <v>43</v>
      </c>
      <c r="S27" s="676">
        <f t="shared" si="47"/>
        <v>36610.199999999997</v>
      </c>
      <c r="T27" s="267"/>
      <c r="V27" s="250"/>
      <c r="W27" s="15">
        <v>20</v>
      </c>
      <c r="X27" s="306">
        <v>972.95</v>
      </c>
      <c r="Y27" s="362">
        <v>44384</v>
      </c>
      <c r="Z27" s="306">
        <v>972.95</v>
      </c>
      <c r="AA27" s="422" t="s">
        <v>422</v>
      </c>
      <c r="AB27" s="292">
        <v>43</v>
      </c>
      <c r="AC27" s="354">
        <f t="shared" si="7"/>
        <v>41836.85</v>
      </c>
      <c r="AF27" s="111"/>
      <c r="AG27" s="15">
        <v>20</v>
      </c>
      <c r="AH27" s="96">
        <v>943.01</v>
      </c>
      <c r="AI27" s="357">
        <v>44385</v>
      </c>
      <c r="AJ27" s="96">
        <v>943.01</v>
      </c>
      <c r="AK27" s="99" t="s">
        <v>429</v>
      </c>
      <c r="AL27" s="74">
        <v>45</v>
      </c>
      <c r="AM27" s="684">
        <f t="shared" si="8"/>
        <v>42435.45</v>
      </c>
      <c r="AP27" s="111"/>
      <c r="AQ27" s="15">
        <v>20</v>
      </c>
      <c r="AR27" s="351">
        <v>873.2</v>
      </c>
      <c r="AS27" s="362">
        <v>44386</v>
      </c>
      <c r="AT27" s="351">
        <v>873.2</v>
      </c>
      <c r="AU27" s="350" t="s">
        <v>436</v>
      </c>
      <c r="AV27" s="292">
        <v>46</v>
      </c>
      <c r="AW27" s="354">
        <f t="shared" si="9"/>
        <v>40167.200000000004</v>
      </c>
      <c r="AZ27" s="111"/>
      <c r="BA27" s="15">
        <v>20</v>
      </c>
      <c r="BB27" s="96">
        <v>884</v>
      </c>
      <c r="BC27" s="144">
        <v>44386</v>
      </c>
      <c r="BD27" s="96">
        <v>884</v>
      </c>
      <c r="BE27" s="99" t="s">
        <v>428</v>
      </c>
      <c r="BF27" s="416">
        <v>46</v>
      </c>
      <c r="BG27" s="704">
        <f t="shared" si="10"/>
        <v>40664</v>
      </c>
      <c r="BJ27" s="111"/>
      <c r="BK27" s="15">
        <v>20</v>
      </c>
      <c r="BL27" s="96">
        <v>865.9</v>
      </c>
      <c r="BM27" s="144">
        <v>44390</v>
      </c>
      <c r="BN27" s="96">
        <v>865.9</v>
      </c>
      <c r="BO27" s="99" t="s">
        <v>459</v>
      </c>
      <c r="BP27" s="416">
        <v>48</v>
      </c>
      <c r="BQ27" s="704">
        <f t="shared" si="11"/>
        <v>41563.199999999997</v>
      </c>
      <c r="BT27" s="111"/>
      <c r="BU27" s="289">
        <v>20</v>
      </c>
      <c r="BV27" s="306">
        <v>882.2</v>
      </c>
      <c r="BW27" s="417">
        <v>44390</v>
      </c>
      <c r="BX27" s="306">
        <v>882.2</v>
      </c>
      <c r="BY27" s="420" t="s">
        <v>456</v>
      </c>
      <c r="BZ27" s="419">
        <v>48</v>
      </c>
      <c r="CA27" s="676">
        <f t="shared" si="12"/>
        <v>42345.600000000006</v>
      </c>
      <c r="CD27" s="111"/>
      <c r="CE27" s="15">
        <v>20</v>
      </c>
      <c r="CF27" s="96">
        <v>923.51</v>
      </c>
      <c r="CG27" s="417">
        <v>44391</v>
      </c>
      <c r="CH27" s="96">
        <v>923.51</v>
      </c>
      <c r="CI27" s="420" t="s">
        <v>470</v>
      </c>
      <c r="CJ27" s="419">
        <v>48</v>
      </c>
      <c r="CK27" s="676">
        <f t="shared" si="13"/>
        <v>44328.479999999996</v>
      </c>
      <c r="CN27" s="742"/>
      <c r="CO27" s="15">
        <v>20</v>
      </c>
      <c r="CP27" s="306">
        <v>906.27</v>
      </c>
      <c r="CQ27" s="417">
        <v>44392</v>
      </c>
      <c r="CR27" s="306">
        <v>906.27</v>
      </c>
      <c r="CS27" s="420" t="s">
        <v>474</v>
      </c>
      <c r="CT27" s="419">
        <v>49</v>
      </c>
      <c r="CU27" s="689">
        <f t="shared" si="48"/>
        <v>44407.229999999996</v>
      </c>
      <c r="CX27" s="111"/>
      <c r="CY27" s="15">
        <v>20</v>
      </c>
      <c r="CZ27" s="96">
        <v>904.9</v>
      </c>
      <c r="DA27" s="357">
        <v>44393</v>
      </c>
      <c r="DB27" s="96">
        <v>904.9</v>
      </c>
      <c r="DC27" s="99" t="s">
        <v>482</v>
      </c>
      <c r="DD27" s="74">
        <v>50</v>
      </c>
      <c r="DE27" s="676">
        <f t="shared" si="14"/>
        <v>45245</v>
      </c>
      <c r="DH27" s="111"/>
      <c r="DI27" s="15">
        <v>20</v>
      </c>
      <c r="DJ27" s="96">
        <v>897.7</v>
      </c>
      <c r="DK27" s="417">
        <v>44393</v>
      </c>
      <c r="DL27" s="96">
        <v>897.7</v>
      </c>
      <c r="DM27" s="420" t="s">
        <v>483</v>
      </c>
      <c r="DN27" s="419">
        <v>50</v>
      </c>
      <c r="DO27" s="689">
        <f t="shared" si="15"/>
        <v>44885</v>
      </c>
      <c r="DR27" s="111"/>
      <c r="DS27" s="15">
        <v>20</v>
      </c>
      <c r="DT27" s="96">
        <v>934.4</v>
      </c>
      <c r="DU27" s="417">
        <v>44397</v>
      </c>
      <c r="DV27" s="96">
        <v>934.4</v>
      </c>
      <c r="DW27" s="420" t="s">
        <v>505</v>
      </c>
      <c r="DX27" s="419">
        <v>52</v>
      </c>
      <c r="DY27" s="676">
        <f t="shared" si="16"/>
        <v>48588.799999999996</v>
      </c>
      <c r="EB27" s="111"/>
      <c r="EC27" s="15">
        <v>20</v>
      </c>
      <c r="ED27" s="72">
        <v>927.1</v>
      </c>
      <c r="EE27" s="373">
        <v>44398</v>
      </c>
      <c r="EF27" s="72">
        <v>927.1</v>
      </c>
      <c r="EG27" s="73" t="s">
        <v>510</v>
      </c>
      <c r="EH27" s="74">
        <v>52</v>
      </c>
      <c r="EI27" s="676">
        <f t="shared" si="17"/>
        <v>48209.200000000004</v>
      </c>
      <c r="EL27" s="98"/>
      <c r="EM27" s="15">
        <v>20</v>
      </c>
      <c r="EN27" s="306">
        <v>962.06</v>
      </c>
      <c r="EO27" s="362">
        <v>44399</v>
      </c>
      <c r="EP27" s="306">
        <v>962.06</v>
      </c>
      <c r="EQ27" s="291" t="s">
        <v>520</v>
      </c>
      <c r="ER27" s="292">
        <v>52</v>
      </c>
      <c r="ES27" s="676">
        <f t="shared" si="18"/>
        <v>50027.119999999995</v>
      </c>
      <c r="EV27" s="111"/>
      <c r="EW27" s="15">
        <v>20</v>
      </c>
      <c r="EX27" s="72">
        <v>855</v>
      </c>
      <c r="EY27" s="373">
        <v>44400</v>
      </c>
      <c r="EZ27" s="72">
        <v>855</v>
      </c>
      <c r="FA27" s="291" t="s">
        <v>529</v>
      </c>
      <c r="FB27" s="74">
        <v>52</v>
      </c>
      <c r="FC27" s="354">
        <f t="shared" si="19"/>
        <v>44460</v>
      </c>
      <c r="FF27" s="98"/>
      <c r="FG27" s="15">
        <v>20</v>
      </c>
      <c r="FH27" s="306">
        <v>876.8</v>
      </c>
      <c r="FI27" s="362">
        <v>44400</v>
      </c>
      <c r="FJ27" s="306">
        <v>876.8</v>
      </c>
      <c r="FK27" s="291" t="s">
        <v>531</v>
      </c>
      <c r="FL27" s="292">
        <v>52</v>
      </c>
      <c r="FM27" s="676">
        <f t="shared" si="20"/>
        <v>45593.599999999999</v>
      </c>
      <c r="FP27" s="111"/>
      <c r="FQ27" s="15">
        <v>20</v>
      </c>
      <c r="FR27" s="96">
        <v>950.72</v>
      </c>
      <c r="FS27" s="357">
        <v>44401</v>
      </c>
      <c r="FT27" s="96">
        <v>950.72</v>
      </c>
      <c r="FU27" s="73" t="s">
        <v>538</v>
      </c>
      <c r="FV27" s="74">
        <v>54</v>
      </c>
      <c r="FW27" s="676">
        <f t="shared" si="21"/>
        <v>51338.880000000005</v>
      </c>
      <c r="FX27" s="74"/>
      <c r="FZ27" s="111"/>
      <c r="GA27" s="15">
        <v>20</v>
      </c>
      <c r="GB27" s="72">
        <v>883.1</v>
      </c>
      <c r="GC27" s="573">
        <v>44404</v>
      </c>
      <c r="GD27" s="72">
        <v>883.1</v>
      </c>
      <c r="GE27" s="291" t="s">
        <v>546</v>
      </c>
      <c r="GF27" s="292">
        <v>54</v>
      </c>
      <c r="GG27" s="354">
        <f t="shared" si="22"/>
        <v>47687.4</v>
      </c>
      <c r="GJ27" s="111"/>
      <c r="GK27" s="15">
        <v>20</v>
      </c>
      <c r="GL27" s="551">
        <v>909.4</v>
      </c>
      <c r="GM27" s="357">
        <v>44404</v>
      </c>
      <c r="GN27" s="551">
        <v>909.4</v>
      </c>
      <c r="GO27" s="99" t="s">
        <v>548</v>
      </c>
      <c r="GP27" s="74">
        <v>54</v>
      </c>
      <c r="GQ27" s="676">
        <f t="shared" si="23"/>
        <v>49107.6</v>
      </c>
      <c r="GT27" s="111"/>
      <c r="GU27" s="15">
        <v>20</v>
      </c>
      <c r="GV27" s="96">
        <v>965.24</v>
      </c>
      <c r="GW27" s="357">
        <v>44405</v>
      </c>
      <c r="GX27" s="96">
        <v>965.24</v>
      </c>
      <c r="GY27" s="99" t="s">
        <v>552</v>
      </c>
      <c r="GZ27" s="74">
        <v>54</v>
      </c>
      <c r="HA27" s="676">
        <f t="shared" si="24"/>
        <v>52122.96</v>
      </c>
      <c r="HD27" s="111"/>
      <c r="HE27" s="15">
        <v>20</v>
      </c>
      <c r="HF27" s="96">
        <v>953.45</v>
      </c>
      <c r="HG27" s="357">
        <v>44407</v>
      </c>
      <c r="HH27" s="96">
        <v>953.45</v>
      </c>
      <c r="HI27" s="99" t="s">
        <v>557</v>
      </c>
      <c r="HJ27" s="74">
        <v>54</v>
      </c>
      <c r="HK27" s="676">
        <f t="shared" si="25"/>
        <v>51486.3</v>
      </c>
      <c r="HN27" s="250"/>
      <c r="HO27" s="15">
        <v>20</v>
      </c>
      <c r="HP27" s="306">
        <v>882.7</v>
      </c>
      <c r="HQ27" s="362">
        <v>44408</v>
      </c>
      <c r="HR27" s="306">
        <v>882.7</v>
      </c>
      <c r="HS27" s="422" t="s">
        <v>564</v>
      </c>
      <c r="HT27" s="292">
        <v>54</v>
      </c>
      <c r="HU27" s="354">
        <f t="shared" si="26"/>
        <v>47665.8</v>
      </c>
      <c r="HX27" s="111"/>
      <c r="HY27" s="15">
        <v>20</v>
      </c>
      <c r="HZ27" s="72">
        <v>935.8</v>
      </c>
      <c r="IA27" s="373">
        <v>44407</v>
      </c>
      <c r="IB27" s="72">
        <v>935.8</v>
      </c>
      <c r="IC27" s="73" t="s">
        <v>560</v>
      </c>
      <c r="ID27" s="74">
        <v>54</v>
      </c>
      <c r="IE27" s="676">
        <f t="shared" si="27"/>
        <v>50533.2</v>
      </c>
      <c r="IH27" s="111"/>
      <c r="II27" s="15">
        <v>20</v>
      </c>
      <c r="IJ27" s="72"/>
      <c r="IK27" s="373"/>
      <c r="IL27" s="72"/>
      <c r="IM27" s="73"/>
      <c r="IN27" s="74"/>
      <c r="IO27" s="676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6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6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6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6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6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6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6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6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869.5</v>
      </c>
      <c r="O28" s="357">
        <v>44382</v>
      </c>
      <c r="P28" s="96">
        <v>869.5</v>
      </c>
      <c r="Q28" s="73" t="s">
        <v>408</v>
      </c>
      <c r="R28" s="74">
        <v>43</v>
      </c>
      <c r="S28" s="676">
        <f t="shared" si="47"/>
        <v>37388.5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4">
        <f t="shared" si="8"/>
        <v>0</v>
      </c>
      <c r="AP28" s="111"/>
      <c r="AQ28" s="15">
        <v>21</v>
      </c>
      <c r="AR28" s="351">
        <v>885</v>
      </c>
      <c r="AS28" s="362">
        <v>44386</v>
      </c>
      <c r="AT28" s="351">
        <v>885</v>
      </c>
      <c r="AU28" s="350" t="s">
        <v>436</v>
      </c>
      <c r="AV28" s="292">
        <v>46</v>
      </c>
      <c r="AW28" s="354">
        <f t="shared" si="9"/>
        <v>40710</v>
      </c>
      <c r="AZ28" s="111"/>
      <c r="BA28" s="15">
        <v>21</v>
      </c>
      <c r="BB28" s="96">
        <v>859.6</v>
      </c>
      <c r="BC28" s="144">
        <v>44386</v>
      </c>
      <c r="BD28" s="96">
        <v>859.6</v>
      </c>
      <c r="BE28" s="99" t="s">
        <v>428</v>
      </c>
      <c r="BF28" s="416">
        <v>46</v>
      </c>
      <c r="BG28" s="704">
        <f t="shared" si="10"/>
        <v>39541.599999999999</v>
      </c>
      <c r="BJ28" s="111"/>
      <c r="BK28" s="15">
        <v>21</v>
      </c>
      <c r="BL28" s="96"/>
      <c r="BM28" s="144"/>
      <c r="BN28" s="96"/>
      <c r="BO28" s="99"/>
      <c r="BP28" s="416"/>
      <c r="BQ28" s="704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6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6">
        <f t="shared" si="13"/>
        <v>0</v>
      </c>
      <c r="CN28" s="742"/>
      <c r="CO28" s="15">
        <v>21</v>
      </c>
      <c r="CP28" s="306"/>
      <c r="CQ28" s="417"/>
      <c r="CR28" s="306"/>
      <c r="CS28" s="420"/>
      <c r="CT28" s="419"/>
      <c r="CU28" s="689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6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89">
        <f t="shared" si="15"/>
        <v>0</v>
      </c>
      <c r="DR28" s="111"/>
      <c r="DS28" s="15">
        <v>21</v>
      </c>
      <c r="DT28" s="96">
        <v>903.6</v>
      </c>
      <c r="DU28" s="417">
        <v>44397</v>
      </c>
      <c r="DV28" s="96">
        <v>903.6</v>
      </c>
      <c r="DW28" s="420" t="s">
        <v>504</v>
      </c>
      <c r="DX28" s="419">
        <v>52</v>
      </c>
      <c r="DY28" s="676">
        <f t="shared" si="16"/>
        <v>46987.200000000004</v>
      </c>
      <c r="EB28" s="111"/>
      <c r="EC28" s="15">
        <v>21</v>
      </c>
      <c r="ED28" s="72">
        <v>898.1</v>
      </c>
      <c r="EE28" s="373">
        <v>44398</v>
      </c>
      <c r="EF28" s="72">
        <v>898.1</v>
      </c>
      <c r="EG28" s="73" t="s">
        <v>510</v>
      </c>
      <c r="EH28" s="74">
        <v>52</v>
      </c>
      <c r="EI28" s="676">
        <f t="shared" si="17"/>
        <v>46701.200000000004</v>
      </c>
      <c r="EL28" s="98"/>
      <c r="EM28" s="15">
        <v>21</v>
      </c>
      <c r="EN28" s="306"/>
      <c r="EO28" s="362"/>
      <c r="EP28" s="306"/>
      <c r="EQ28" s="291"/>
      <c r="ER28" s="292"/>
      <c r="ES28" s="676">
        <f t="shared" si="18"/>
        <v>0</v>
      </c>
      <c r="EV28" s="111"/>
      <c r="EW28" s="15">
        <v>21</v>
      </c>
      <c r="EX28" s="72">
        <v>877.7</v>
      </c>
      <c r="EY28" s="373">
        <v>44400</v>
      </c>
      <c r="EZ28" s="72">
        <v>877.7</v>
      </c>
      <c r="FA28" s="291" t="s">
        <v>529</v>
      </c>
      <c r="FB28" s="74">
        <v>52</v>
      </c>
      <c r="FC28" s="354">
        <f t="shared" si="19"/>
        <v>45640.4</v>
      </c>
      <c r="FF28" s="98"/>
      <c r="FG28" s="15">
        <v>21</v>
      </c>
      <c r="FH28" s="306">
        <v>816</v>
      </c>
      <c r="FI28" s="362">
        <v>44400</v>
      </c>
      <c r="FJ28" s="306">
        <v>816</v>
      </c>
      <c r="FK28" s="291" t="s">
        <v>531</v>
      </c>
      <c r="FL28" s="292">
        <v>52</v>
      </c>
      <c r="FM28" s="676">
        <f t="shared" si="20"/>
        <v>42432</v>
      </c>
      <c r="FP28" s="111"/>
      <c r="FQ28" s="15">
        <v>21</v>
      </c>
      <c r="FR28" s="96"/>
      <c r="FS28" s="357"/>
      <c r="FT28" s="96"/>
      <c r="FU28" s="73"/>
      <c r="FV28" s="74"/>
      <c r="FW28" s="676">
        <f t="shared" si="21"/>
        <v>0</v>
      </c>
      <c r="FX28" s="74"/>
      <c r="FZ28" s="111"/>
      <c r="GA28" s="15">
        <v>21</v>
      </c>
      <c r="GB28" s="72">
        <v>891.3</v>
      </c>
      <c r="GC28" s="573">
        <v>44404</v>
      </c>
      <c r="GD28" s="72">
        <v>891.3</v>
      </c>
      <c r="GE28" s="291" t="s">
        <v>546</v>
      </c>
      <c r="GF28" s="292">
        <v>54</v>
      </c>
      <c r="GG28" s="354">
        <f t="shared" si="22"/>
        <v>48130.2</v>
      </c>
      <c r="GJ28" s="111"/>
      <c r="GK28" s="15">
        <v>21</v>
      </c>
      <c r="GL28" s="551">
        <v>901.3</v>
      </c>
      <c r="GM28" s="357">
        <v>44404</v>
      </c>
      <c r="GN28" s="551">
        <v>901.3</v>
      </c>
      <c r="GO28" s="99" t="s">
        <v>548</v>
      </c>
      <c r="GP28" s="74">
        <v>54</v>
      </c>
      <c r="GQ28" s="676">
        <f t="shared" si="23"/>
        <v>48670.2</v>
      </c>
      <c r="GT28" s="111"/>
      <c r="GU28" s="15">
        <v>21</v>
      </c>
      <c r="GV28" s="96"/>
      <c r="GW28" s="357"/>
      <c r="GX28" s="96"/>
      <c r="GY28" s="99"/>
      <c r="GZ28" s="74"/>
      <c r="HA28" s="676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6">
        <f t="shared" si="25"/>
        <v>0</v>
      </c>
      <c r="HN28" s="111"/>
      <c r="HO28" s="15">
        <v>21</v>
      </c>
      <c r="HP28" s="306">
        <v>904.9</v>
      </c>
      <c r="HQ28" s="362">
        <v>44408</v>
      </c>
      <c r="HR28" s="306">
        <v>904.9</v>
      </c>
      <c r="HS28" s="422" t="s">
        <v>564</v>
      </c>
      <c r="HT28" s="292">
        <v>54</v>
      </c>
      <c r="HU28" s="354">
        <f t="shared" si="26"/>
        <v>48864.6</v>
      </c>
      <c r="HX28" s="111"/>
      <c r="HY28" s="15">
        <v>21</v>
      </c>
      <c r="HZ28" s="72">
        <v>897.7</v>
      </c>
      <c r="IA28" s="373">
        <v>44407</v>
      </c>
      <c r="IB28" s="72">
        <v>897.7</v>
      </c>
      <c r="IC28" s="73" t="s">
        <v>560</v>
      </c>
      <c r="ID28" s="74">
        <v>54</v>
      </c>
      <c r="IE28" s="676">
        <f t="shared" si="27"/>
        <v>48475.8</v>
      </c>
      <c r="IH28" s="111"/>
      <c r="II28" s="15">
        <v>21</v>
      </c>
      <c r="IJ28" s="72"/>
      <c r="IK28" s="373"/>
      <c r="IL28" s="72"/>
      <c r="IM28" s="73"/>
      <c r="IN28" s="74"/>
      <c r="IO28" s="676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6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6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6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6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6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6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6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6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911.3</v>
      </c>
      <c r="O29" s="357">
        <v>44382</v>
      </c>
      <c r="P29" s="96">
        <v>911.3</v>
      </c>
      <c r="Q29" s="73" t="s">
        <v>408</v>
      </c>
      <c r="R29" s="74">
        <v>43</v>
      </c>
      <c r="S29" s="676">
        <f>R29*P29</f>
        <v>39185.9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4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4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4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6">
        <v>0</v>
      </c>
      <c r="CD29" s="111"/>
      <c r="CE29" s="15">
        <v>22</v>
      </c>
      <c r="CF29" s="96"/>
      <c r="CG29" s="417"/>
      <c r="CH29" s="96"/>
      <c r="CI29" s="430"/>
      <c r="CJ29" s="419"/>
      <c r="CK29" s="676">
        <f t="shared" si="13"/>
        <v>0</v>
      </c>
      <c r="CN29" s="742"/>
      <c r="CO29" s="15">
        <v>22</v>
      </c>
      <c r="CP29" s="96"/>
      <c r="CQ29" s="417"/>
      <c r="CR29" s="96"/>
      <c r="CS29" s="420"/>
      <c r="CT29" s="419"/>
      <c r="CU29" s="689">
        <f t="shared" si="48"/>
        <v>0</v>
      </c>
      <c r="CX29" s="111"/>
      <c r="CY29" s="15"/>
      <c r="CZ29" s="96"/>
      <c r="DA29" s="357"/>
      <c r="DB29" s="96"/>
      <c r="DC29" s="99"/>
      <c r="DD29" s="74"/>
      <c r="DE29" s="676">
        <f t="shared" si="14"/>
        <v>0</v>
      </c>
      <c r="DH29" s="111"/>
      <c r="DI29" s="15"/>
      <c r="DJ29" s="96"/>
      <c r="DK29" s="357"/>
      <c r="DL29" s="96"/>
      <c r="DM29" s="99"/>
      <c r="DN29" s="74"/>
      <c r="DO29" s="689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6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6">
        <f>SUM(EI8:EI28)</f>
        <v>987594.39999999991</v>
      </c>
      <c r="EL29" s="98"/>
      <c r="EM29" s="15">
        <v>22</v>
      </c>
      <c r="EN29" s="96"/>
      <c r="EO29" s="357"/>
      <c r="EP29" s="96"/>
      <c r="EQ29" s="73"/>
      <c r="ER29" s="74"/>
      <c r="ES29" s="676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6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6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6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6">
        <f>SUM(HA8:HA28)</f>
        <v>1014316.56</v>
      </c>
      <c r="HD29" s="111"/>
      <c r="HE29" s="15"/>
      <c r="HF29" s="96"/>
      <c r="HG29" s="357"/>
      <c r="HH29" s="96"/>
      <c r="HI29" s="99"/>
      <c r="HJ29" s="74"/>
      <c r="HK29" s="676">
        <f>SUM(HK8:HK28)</f>
        <v>1026489.24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6">
        <f>SUM(IE8:IE28)</f>
        <v>1025389.7999999999</v>
      </c>
      <c r="IH29" s="111"/>
      <c r="II29" s="15">
        <v>22</v>
      </c>
      <c r="IJ29" s="72"/>
      <c r="IK29" s="373"/>
      <c r="IL29" s="72"/>
      <c r="IM29" s="73"/>
      <c r="IN29" s="74"/>
      <c r="IO29" s="676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6">
        <f t="shared" si="30"/>
        <v>0</v>
      </c>
      <c r="JL29" s="111"/>
      <c r="JM29" s="15"/>
      <c r="JN29" s="96"/>
      <c r="JO29" s="357"/>
      <c r="JP29" s="96"/>
      <c r="JQ29" s="73"/>
      <c r="JR29" s="74"/>
      <c r="JS29" s="676">
        <f>SUM(JS8:JS28)</f>
        <v>0</v>
      </c>
      <c r="JV29" s="111"/>
      <c r="JW29" s="15"/>
      <c r="JX29" s="72"/>
      <c r="JY29" s="373"/>
      <c r="JZ29" s="72"/>
      <c r="KA29" s="73"/>
      <c r="KB29" s="74"/>
      <c r="KC29" s="676">
        <f>SUM(KC8:KC28)</f>
        <v>0</v>
      </c>
      <c r="KF29" s="111"/>
      <c r="KG29" s="15"/>
      <c r="KH29" s="72"/>
      <c r="KI29" s="373"/>
      <c r="KJ29" s="72"/>
      <c r="KK29" s="73"/>
      <c r="KL29" s="74"/>
      <c r="KM29" s="676">
        <f>SUM(KM8:KM28)</f>
        <v>0</v>
      </c>
      <c r="KP29" s="111"/>
      <c r="KQ29" s="15"/>
      <c r="KR29" s="72"/>
      <c r="KS29" s="373"/>
      <c r="KT29" s="72"/>
      <c r="KU29" s="73"/>
      <c r="KV29" s="74"/>
      <c r="KW29" s="676">
        <f>SUM(KW8:KW28)</f>
        <v>0</v>
      </c>
      <c r="KZ29" s="111"/>
      <c r="LA29" s="15"/>
      <c r="LB29" s="96"/>
      <c r="LC29" s="357"/>
      <c r="LD29" s="96"/>
      <c r="LE29" s="99"/>
      <c r="LF29" s="74"/>
      <c r="LG29" s="676">
        <f>LF29*LD29</f>
        <v>0</v>
      </c>
      <c r="LJ29" s="111"/>
      <c r="LK29" s="15"/>
      <c r="LL29" s="96"/>
      <c r="LM29" s="357"/>
      <c r="LN29" s="306"/>
      <c r="LO29" s="99"/>
      <c r="LP29" s="74"/>
      <c r="LQ29" s="676">
        <f t="shared" si="36"/>
        <v>0</v>
      </c>
      <c r="LT29" s="111"/>
      <c r="LU29" s="15"/>
      <c r="LV29" s="96"/>
      <c r="LW29" s="357"/>
      <c r="LX29" s="96"/>
      <c r="LY29" s="99"/>
      <c r="LZ29" s="74"/>
      <c r="MA29" s="676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6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6">
        <f>SUM(S9:S29)</f>
        <v>806563.89999999991</v>
      </c>
      <c r="V30" s="111"/>
      <c r="W30" s="15">
        <v>23</v>
      </c>
      <c r="X30" s="96"/>
      <c r="Y30" s="357"/>
      <c r="Z30" s="110"/>
      <c r="AA30" s="73"/>
      <c r="AB30" s="74"/>
      <c r="AC30" s="676">
        <f>SUM(AC8:AC29)</f>
        <v>779335.87</v>
      </c>
      <c r="AF30" s="111"/>
      <c r="AG30" s="15"/>
      <c r="AH30" s="72"/>
      <c r="AI30" s="357"/>
      <c r="AJ30" s="72"/>
      <c r="AK30" s="99"/>
      <c r="AL30" s="74"/>
      <c r="AM30" s="74">
        <f>SUM(AM8:AM29)</f>
        <v>819564.29999999993</v>
      </c>
      <c r="AP30" s="111"/>
      <c r="AQ30" s="15"/>
      <c r="AR30" s="428"/>
      <c r="AS30" s="83"/>
      <c r="AT30" s="72"/>
      <c r="AU30" s="99"/>
      <c r="AV30" s="74"/>
      <c r="AW30" s="676">
        <f>SUM(AW8:AW29)</f>
        <v>844771.59999999974</v>
      </c>
      <c r="AZ30" s="111"/>
      <c r="BA30" s="15"/>
      <c r="BB30" s="72"/>
      <c r="BC30" s="144"/>
      <c r="BD30" s="72"/>
      <c r="BE30" s="99"/>
      <c r="BF30" s="74"/>
      <c r="BG30" s="676">
        <f>SUM(BG8:BG29)</f>
        <v>847646.6</v>
      </c>
      <c r="BJ30" s="111"/>
      <c r="BK30" s="15"/>
      <c r="BL30" s="72"/>
      <c r="BM30" s="144"/>
      <c r="BN30" s="72"/>
      <c r="BO30" s="99"/>
      <c r="BP30" s="74"/>
      <c r="BQ30" s="676">
        <f>SUM(BQ8:BQ29)</f>
        <v>835929.59999999998</v>
      </c>
      <c r="BT30" s="111"/>
      <c r="BU30" s="289"/>
      <c r="BV30" s="290"/>
      <c r="BW30" s="83"/>
      <c r="BX30" s="72"/>
      <c r="BY30" s="99"/>
      <c r="BZ30" s="74"/>
      <c r="CA30" s="676">
        <f>SUM(CA8:CA29)</f>
        <v>827438.39999999979</v>
      </c>
      <c r="CD30" s="111"/>
      <c r="CE30" s="15">
        <v>23</v>
      </c>
      <c r="CF30" s="72"/>
      <c r="CG30" s="417"/>
      <c r="CH30" s="72"/>
      <c r="CI30" s="430"/>
      <c r="CJ30" s="419"/>
      <c r="CK30" s="676">
        <f>SUM(CK8:CK29)</f>
        <v>886740.47999999986</v>
      </c>
      <c r="CN30" s="111"/>
      <c r="CO30" s="15"/>
      <c r="CP30" s="72"/>
      <c r="CQ30" s="357"/>
      <c r="CR30" s="72"/>
      <c r="CS30" s="99"/>
      <c r="CT30" s="74"/>
      <c r="CU30" s="689">
        <f t="shared" si="48"/>
        <v>0</v>
      </c>
      <c r="CX30" s="111"/>
      <c r="CY30" s="15"/>
      <c r="CZ30" s="72"/>
      <c r="DA30" s="357"/>
      <c r="DB30" s="72"/>
      <c r="DC30" s="99"/>
      <c r="DD30" s="74"/>
      <c r="DE30" s="676">
        <f>SUM(DE8:DE29)</f>
        <v>879755</v>
      </c>
      <c r="DH30" s="111"/>
      <c r="DI30" s="15"/>
      <c r="DJ30" s="72"/>
      <c r="DK30" s="357"/>
      <c r="DL30" s="72"/>
      <c r="DM30" s="99"/>
      <c r="DN30" s="74"/>
      <c r="DO30" s="676">
        <f>SUM(DO8:DO29)</f>
        <v>886540</v>
      </c>
      <c r="DR30" s="111"/>
      <c r="DS30" s="15"/>
      <c r="DT30" s="72"/>
      <c r="DU30" s="357"/>
      <c r="DV30" s="72"/>
      <c r="DW30" s="99"/>
      <c r="DX30" s="74"/>
      <c r="DY30" s="676">
        <f>SUM(DY8:DY29)</f>
        <v>986471.2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6">
        <f>SUM(ES8:ES29)</f>
        <v>968819.79999999993</v>
      </c>
      <c r="EV30" s="98"/>
      <c r="EW30" s="15"/>
      <c r="EX30" s="96"/>
      <c r="EY30" s="357"/>
      <c r="EZ30" s="110"/>
      <c r="FA30" s="73"/>
      <c r="FB30" s="74"/>
      <c r="FC30" s="676">
        <f>SUM(FC8:FC29)</f>
        <v>983928.4</v>
      </c>
      <c r="FF30" s="98"/>
      <c r="FG30" s="15"/>
      <c r="FH30" s="96"/>
      <c r="FI30" s="357"/>
      <c r="FJ30" s="110"/>
      <c r="FK30" s="73"/>
      <c r="FL30" s="74"/>
      <c r="FM30" s="676">
        <f>SUM(FM8:FM29)</f>
        <v>971422.4</v>
      </c>
      <c r="FP30" s="111"/>
      <c r="FQ30" s="15"/>
      <c r="FR30" s="96"/>
      <c r="FS30" s="357"/>
      <c r="FT30" s="96"/>
      <c r="FU30" s="73"/>
      <c r="FV30" s="74"/>
      <c r="FW30" s="676">
        <f>SUM(FW8:FW29)</f>
        <v>1019311.5600000002</v>
      </c>
      <c r="FZ30" s="111"/>
      <c r="GA30" s="15"/>
      <c r="GB30" s="72"/>
      <c r="GC30" s="373"/>
      <c r="GD30" s="110"/>
      <c r="GE30" s="73"/>
      <c r="GF30" s="74"/>
      <c r="GG30" s="676">
        <f>SUM(GG8:GG29)</f>
        <v>1002353.4</v>
      </c>
      <c r="GJ30" s="111"/>
      <c r="GK30" s="15"/>
      <c r="GL30" s="551"/>
      <c r="GM30" s="357"/>
      <c r="GN30" s="72"/>
      <c r="GO30" s="99"/>
      <c r="GP30" s="74"/>
      <c r="GQ30" s="676">
        <f>SUM(GQ8:GQ29)</f>
        <v>1019649.6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89"/>
      <c r="HN30" s="111"/>
      <c r="HO30" s="15"/>
      <c r="HP30" s="96"/>
      <c r="HQ30" s="357"/>
      <c r="HR30" s="110"/>
      <c r="HS30" s="73"/>
      <c r="HT30" s="74"/>
      <c r="HU30" s="676">
        <f>SUM(HU8:HU29)</f>
        <v>1024871.9400000001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6">
        <f>SUM(IO8:IO29)</f>
        <v>0</v>
      </c>
      <c r="IR30" s="111"/>
      <c r="IS30" s="15"/>
      <c r="IT30" s="72"/>
      <c r="IU30" s="83"/>
      <c r="IV30" s="72"/>
      <c r="IW30" s="99"/>
      <c r="IX30" s="74"/>
      <c r="IY30" s="676">
        <f>SUM(IY8:IY29)</f>
        <v>0</v>
      </c>
      <c r="JB30" s="111"/>
      <c r="JC30" s="15"/>
      <c r="JD30" s="72"/>
      <c r="JE30" s="373"/>
      <c r="JF30" s="110"/>
      <c r="JG30" s="73"/>
      <c r="JH30" s="74"/>
      <c r="JI30" s="676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6">
        <f>SUM(LG8:LG29)</f>
        <v>0</v>
      </c>
      <c r="LJ30" s="111"/>
      <c r="LK30" s="15"/>
      <c r="LL30" s="96"/>
      <c r="LM30" s="357"/>
      <c r="LN30" s="96"/>
      <c r="LO30" s="99"/>
      <c r="LP30" s="74"/>
      <c r="LQ30" s="676">
        <f>SUM(LQ8:LQ29)</f>
        <v>0</v>
      </c>
      <c r="LT30" s="111"/>
      <c r="LU30" s="15"/>
      <c r="LV30" s="72"/>
      <c r="LW30" s="357"/>
      <c r="LX30" s="72"/>
      <c r="LY30" s="99"/>
      <c r="LZ30" s="74"/>
      <c r="MA30" s="676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6"/>
      <c r="V31" s="212"/>
      <c r="W31" s="38"/>
      <c r="X31" s="443"/>
      <c r="Y31" s="435"/>
      <c r="Z31" s="239"/>
      <c r="AA31" s="148"/>
      <c r="AB31" s="228"/>
      <c r="AC31" s="688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89">
        <f>SUM(CU8:CU30)</f>
        <v>902994.54000000015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88"/>
      <c r="EL31" s="212"/>
      <c r="EM31" s="38"/>
      <c r="EN31" s="434"/>
      <c r="EO31" s="435"/>
      <c r="EP31" s="239"/>
      <c r="EQ31" s="148"/>
      <c r="ER31" s="228"/>
      <c r="ES31" s="688"/>
      <c r="EV31" s="98"/>
      <c r="EW31" s="38"/>
      <c r="EX31" s="443"/>
      <c r="EY31" s="474"/>
      <c r="EZ31" s="239"/>
      <c r="FA31" s="148"/>
      <c r="FB31" s="228"/>
      <c r="FC31" s="688"/>
      <c r="FF31" s="444"/>
      <c r="FG31" s="38"/>
      <c r="FH31" s="434"/>
      <c r="FI31" s="238"/>
      <c r="FJ31" s="434"/>
      <c r="FK31" s="148"/>
      <c r="FL31" s="228"/>
      <c r="FM31" s="688"/>
      <c r="FP31" s="212"/>
      <c r="FQ31" s="38"/>
      <c r="FR31" s="443"/>
      <c r="FS31" s="435"/>
      <c r="FT31" s="443"/>
      <c r="FU31" s="148"/>
      <c r="FV31" s="228"/>
      <c r="FW31" s="688"/>
      <c r="FZ31" s="212"/>
      <c r="GA31" s="38"/>
      <c r="GB31" s="434"/>
      <c r="GC31" s="435"/>
      <c r="GD31" s="239"/>
      <c r="GE31" s="148"/>
      <c r="GF31" s="228"/>
      <c r="GG31" s="688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2"/>
      <c r="HD31" s="386"/>
      <c r="HE31" s="54"/>
      <c r="HF31" s="445"/>
      <c r="HG31" s="446"/>
      <c r="HH31" s="447"/>
      <c r="HI31" s="448"/>
      <c r="HJ31" s="449"/>
      <c r="HK31" s="692"/>
      <c r="HN31" s="212"/>
      <c r="HO31" s="38"/>
      <c r="HP31" s="443"/>
      <c r="HQ31" s="435"/>
      <c r="HR31" s="239"/>
      <c r="HS31" s="148"/>
      <c r="HT31" s="228"/>
      <c r="HU31" s="688"/>
      <c r="HX31" s="212"/>
      <c r="HY31" s="38"/>
      <c r="HZ31" s="434"/>
      <c r="IA31" s="435"/>
      <c r="IB31" s="239"/>
      <c r="IC31" s="148"/>
      <c r="ID31" s="228"/>
      <c r="IE31" s="688"/>
      <c r="IH31" s="212"/>
      <c r="II31" s="38"/>
      <c r="IJ31" s="434"/>
      <c r="IK31" s="435"/>
      <c r="IL31" s="239"/>
      <c r="IM31" s="148"/>
      <c r="IN31" s="228"/>
      <c r="IO31" s="688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88"/>
      <c r="JL31" s="212"/>
      <c r="JM31" s="38"/>
      <c r="JN31" s="443"/>
      <c r="JO31" s="435"/>
      <c r="JP31" s="239"/>
      <c r="JQ31" s="148"/>
      <c r="JR31" s="228"/>
      <c r="JS31" s="688"/>
      <c r="JV31" s="212"/>
      <c r="JW31" s="38"/>
      <c r="JX31" s="434"/>
      <c r="JY31" s="435"/>
      <c r="JZ31" s="239"/>
      <c r="KA31" s="148"/>
      <c r="KB31" s="228"/>
      <c r="KC31" s="688"/>
      <c r="KF31" s="212"/>
      <c r="KG31" s="38"/>
      <c r="KH31" s="434"/>
      <c r="KI31" s="435"/>
      <c r="KJ31" s="239"/>
      <c r="KK31" s="148"/>
      <c r="KL31" s="228"/>
      <c r="KM31" s="688"/>
      <c r="KP31" s="212"/>
      <c r="KQ31" s="38"/>
      <c r="KR31" s="434"/>
      <c r="KS31" s="435"/>
      <c r="KT31" s="239"/>
      <c r="KU31" s="148"/>
      <c r="KV31" s="228"/>
      <c r="KW31" s="688"/>
      <c r="KZ31" s="212"/>
      <c r="LA31" s="439"/>
      <c r="LB31" s="434"/>
      <c r="LC31" s="238"/>
      <c r="LD31" s="434"/>
      <c r="LE31" s="450"/>
      <c r="LF31" s="228"/>
      <c r="LG31" s="688"/>
      <c r="LJ31" s="212"/>
      <c r="LK31" s="38"/>
      <c r="LL31" s="443"/>
      <c r="LM31" s="435"/>
      <c r="LN31" s="443"/>
      <c r="LO31" s="450"/>
      <c r="LP31" s="228"/>
      <c r="LQ31" s="688"/>
      <c r="LT31" s="212"/>
      <c r="LU31" s="38"/>
      <c r="LV31" s="239"/>
      <c r="LW31" s="238"/>
      <c r="LX31" s="434"/>
      <c r="LY31" s="450"/>
      <c r="LZ31" s="451"/>
      <c r="MA31" s="688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29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29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29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88"/>
      <c r="X32" s="110">
        <f>SUM(X8:X31)</f>
        <v>18124.09</v>
      </c>
      <c r="Z32" s="110">
        <f>SUM(Z8:Z31)</f>
        <v>18124.09</v>
      </c>
      <c r="AH32" s="90">
        <f>SUM(AH8:AH31)</f>
        <v>18212.54</v>
      </c>
      <c r="AJ32" s="90">
        <f>SUM(AJ8:AJ31)</f>
        <v>18212.54</v>
      </c>
      <c r="AR32" s="110">
        <f>SUM(AR8:AR31)</f>
        <v>18364.600000000006</v>
      </c>
      <c r="AT32" s="110">
        <f>SUM(AT8:AT31)</f>
        <v>18364.600000000006</v>
      </c>
      <c r="AZ32" s="79"/>
      <c r="BB32" s="110">
        <f>SUM(BB8:BB31)</f>
        <v>18427.099999999999</v>
      </c>
      <c r="BD32" s="110">
        <f>SUM(BD8:BD31)</f>
        <v>18427.099999999999</v>
      </c>
      <c r="BL32" s="110">
        <f>SUM(BL8:BL31)</f>
        <v>17415.2</v>
      </c>
      <c r="BN32" s="110">
        <f>SUM(BN8:BN31)</f>
        <v>17415.2</v>
      </c>
      <c r="BV32" s="110">
        <f>SUM(BV8:BV31)</f>
        <v>17238.3</v>
      </c>
      <c r="BX32" s="110">
        <f>SUM(BX8:BX31)</f>
        <v>17238.3</v>
      </c>
      <c r="CE32" s="15"/>
      <c r="CF32" s="110">
        <f>SUM(CF8:CF31)</f>
        <v>18473.759999999995</v>
      </c>
      <c r="CH32" s="110">
        <f>SUM(CH8:CH31)</f>
        <v>18473.759999999995</v>
      </c>
      <c r="CP32" s="110">
        <f>SUM(CP8:CP31)</f>
        <v>18428.459999999995</v>
      </c>
      <c r="CR32" s="110">
        <f>SUM(CR8:CR31)</f>
        <v>18428.459999999995</v>
      </c>
      <c r="CZ32" s="110">
        <f>SUM(CZ8:CZ31)</f>
        <v>17595.100000000002</v>
      </c>
      <c r="DB32" s="110">
        <f>SUM(DB8:DB31)</f>
        <v>17595.100000000002</v>
      </c>
      <c r="DJ32" s="110">
        <f>SUM(DJ8:DJ31)</f>
        <v>17730.800000000003</v>
      </c>
      <c r="DL32" s="110">
        <f>SUM(DL8:DL31)</f>
        <v>17730.800000000003</v>
      </c>
      <c r="DT32" s="110">
        <f>SUM(DT8:DT31)</f>
        <v>18970.599999999995</v>
      </c>
      <c r="DV32" s="110">
        <f>SUM(DV8:DV31)</f>
        <v>18970.599999999995</v>
      </c>
      <c r="ED32" s="110">
        <f>SUM(ED8:ED31)</f>
        <v>18992.199999999993</v>
      </c>
      <c r="EF32" s="110">
        <f>SUM(EF8:EF31)</f>
        <v>18992.199999999993</v>
      </c>
      <c r="EN32" s="110">
        <f>SUM(EN8:EN31)</f>
        <v>18631.2</v>
      </c>
      <c r="EP32" s="110">
        <f>SUM(EP8:EP31)</f>
        <v>18631.150000000001</v>
      </c>
      <c r="EX32" s="110">
        <f>SUM(EX8:EX31)</f>
        <v>18921.7</v>
      </c>
      <c r="EZ32" s="110">
        <f>SUM(EZ8:EZ31)</f>
        <v>18921.7</v>
      </c>
      <c r="FH32" s="139">
        <f>SUM(FH8:FH31)</f>
        <v>18681.199999999997</v>
      </c>
      <c r="FJ32" s="110">
        <f>SUM(FJ8:FJ31)</f>
        <v>18681.199999999997</v>
      </c>
      <c r="FR32" s="110">
        <f>SUM(FR8:FR31)</f>
        <v>18876.140000000003</v>
      </c>
      <c r="FS32" s="110"/>
      <c r="FT32" s="110">
        <f>SUM(FT8:FT31)</f>
        <v>18876.140000000003</v>
      </c>
      <c r="FU32" s="79" t="s">
        <v>36</v>
      </c>
      <c r="GB32" s="110">
        <f>SUM(GB8:GB31)</f>
        <v>18562.100000000002</v>
      </c>
      <c r="GD32" s="110">
        <f>SUM(GD8:GD31)</f>
        <v>18562.100000000002</v>
      </c>
      <c r="GL32" s="110">
        <f>SUM(GL8:GL31)</f>
        <v>18882.400000000001</v>
      </c>
      <c r="GN32" s="110">
        <f>SUM(GN8:GN31)</f>
        <v>18882.400000000001</v>
      </c>
      <c r="GV32" s="110">
        <f>SUM(GV8:GV31)</f>
        <v>18783.64</v>
      </c>
      <c r="GX32" s="110">
        <f>SUM(GX8:GX31)</f>
        <v>18783.64</v>
      </c>
      <c r="HF32" s="110">
        <f>SUM(HF8:HF31)</f>
        <v>19009.059999999998</v>
      </c>
      <c r="HH32" s="110">
        <f>SUM(HH8:HH31)</f>
        <v>19009.059999999998</v>
      </c>
      <c r="HP32" s="110">
        <f>SUM(HP8:HP31)</f>
        <v>18979.100000000002</v>
      </c>
      <c r="HR32" s="110">
        <f>SUM(HR8:HR31)</f>
        <v>18979.110000000004</v>
      </c>
      <c r="HZ32" s="110">
        <f>SUM(HZ8:HZ31)</f>
        <v>18988.7</v>
      </c>
      <c r="IB32" s="110">
        <f>SUM(IB8:IB31)</f>
        <v>18988.7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6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18756.999999999996</v>
      </c>
      <c r="P33" s="110">
        <f>SUM(P9:P32)</f>
        <v>18757.299999999996</v>
      </c>
      <c r="S33" s="676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4.9999999999272404E-2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-1.0000000002037268E-2</v>
      </c>
      <c r="HZ33" s="900" t="s">
        <v>21</v>
      </c>
      <c r="IA33" s="901"/>
      <c r="IB33" s="334">
        <f>IC5-IB32</f>
        <v>0</v>
      </c>
      <c r="IC33" s="267"/>
      <c r="IJ33" s="900" t="s">
        <v>21</v>
      </c>
      <c r="IK33" s="901"/>
      <c r="IL33" s="150">
        <f>IJ32-IL32</f>
        <v>0</v>
      </c>
      <c r="IT33" s="900" t="s">
        <v>21</v>
      </c>
      <c r="IU33" s="901"/>
      <c r="IV33" s="150">
        <f>IT32-IV32</f>
        <v>0</v>
      </c>
      <c r="JD33" s="900" t="s">
        <v>21</v>
      </c>
      <c r="JE33" s="901"/>
      <c r="JF33" s="150">
        <f>JD32-JF32</f>
        <v>0</v>
      </c>
      <c r="JN33" s="900" t="s">
        <v>21</v>
      </c>
      <c r="JO33" s="901"/>
      <c r="JP33" s="150">
        <f>JN32-JP32</f>
        <v>0</v>
      </c>
      <c r="JX33" s="900" t="s">
        <v>21</v>
      </c>
      <c r="JY33" s="901"/>
      <c r="JZ33" s="334">
        <f>KA5-JZ32</f>
        <v>0</v>
      </c>
      <c r="KA33" s="267"/>
      <c r="KH33" s="900" t="s">
        <v>21</v>
      </c>
      <c r="KI33" s="901"/>
      <c r="KJ33" s="334">
        <f>KK5-KJ32</f>
        <v>0</v>
      </c>
      <c r="KK33" s="267"/>
      <c r="KR33" s="900" t="s">
        <v>21</v>
      </c>
      <c r="KS33" s="901"/>
      <c r="KT33" s="334">
        <f>KU5-KT32</f>
        <v>0</v>
      </c>
      <c r="KU33" s="267"/>
      <c r="LB33" s="717" t="s">
        <v>21</v>
      </c>
      <c r="LC33" s="718"/>
      <c r="LD33" s="254">
        <f>LE5-LD32</f>
        <v>0</v>
      </c>
      <c r="LL33" s="717" t="s">
        <v>21</v>
      </c>
      <c r="LM33" s="718"/>
      <c r="LN33" s="150">
        <f>LO5-LN32</f>
        <v>0</v>
      </c>
      <c r="MA33" s="676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109" t="s">
        <v>21</v>
      </c>
      <c r="RT33" s="1110"/>
      <c r="RU33" s="150">
        <f>SUM(RV5-RU32)</f>
        <v>0</v>
      </c>
      <c r="SB33" s="1109" t="s">
        <v>21</v>
      </c>
      <c r="SC33" s="1110"/>
      <c r="SD33" s="150">
        <f>SUM(SE5-SD32)</f>
        <v>0</v>
      </c>
      <c r="SK33" s="1109" t="s">
        <v>21</v>
      </c>
      <c r="SL33" s="1110"/>
      <c r="SM33" s="254">
        <f>SUM(SN5-SM32)</f>
        <v>0</v>
      </c>
      <c r="ST33" s="1109" t="s">
        <v>21</v>
      </c>
      <c r="SU33" s="1110"/>
      <c r="SV33" s="150">
        <f>SUM(SW5-SV32)</f>
        <v>0</v>
      </c>
      <c r="TC33" s="1109" t="s">
        <v>21</v>
      </c>
      <c r="TD33" s="1110"/>
      <c r="TE33" s="150">
        <f>SUM(TF5-TE32)</f>
        <v>0</v>
      </c>
      <c r="TL33" s="1109" t="s">
        <v>21</v>
      </c>
      <c r="TM33" s="1110"/>
      <c r="TN33" s="150">
        <f>SUM(TO5-TN32)</f>
        <v>0</v>
      </c>
      <c r="TU33" s="1109" t="s">
        <v>21</v>
      </c>
      <c r="TV33" s="1110"/>
      <c r="TW33" s="150">
        <f>SUM(TX5-TW32)</f>
        <v>0</v>
      </c>
      <c r="UD33" s="1109" t="s">
        <v>21</v>
      </c>
      <c r="UE33" s="1110"/>
      <c r="UF33" s="150">
        <f>SUM(UG5-UF32)</f>
        <v>0</v>
      </c>
      <c r="UM33" s="1109" t="s">
        <v>21</v>
      </c>
      <c r="UN33" s="1110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109" t="s">
        <v>21</v>
      </c>
      <c r="VO33" s="1110"/>
      <c r="VP33" s="150">
        <f>VQ5-VP32</f>
        <v>-22</v>
      </c>
      <c r="VW33" s="1109" t="s">
        <v>21</v>
      </c>
      <c r="VX33" s="1110"/>
      <c r="VY33" s="150">
        <f>VZ5-VY32</f>
        <v>-22</v>
      </c>
      <c r="WF33" s="1109" t="s">
        <v>21</v>
      </c>
      <c r="WG33" s="1110"/>
      <c r="WH33" s="150">
        <f>WI5-WH32</f>
        <v>-22</v>
      </c>
      <c r="WO33" s="1109" t="s">
        <v>21</v>
      </c>
      <c r="WP33" s="1110"/>
      <c r="WQ33" s="150">
        <f>WR5-WQ32</f>
        <v>-22</v>
      </c>
      <c r="WX33" s="1109" t="s">
        <v>21</v>
      </c>
      <c r="WY33" s="1110"/>
      <c r="WZ33" s="150">
        <f>XA5-WZ32</f>
        <v>-22</v>
      </c>
      <c r="XG33" s="1109" t="s">
        <v>21</v>
      </c>
      <c r="XH33" s="1110"/>
      <c r="XI33" s="150">
        <f>XJ5-XI32</f>
        <v>-22</v>
      </c>
      <c r="XP33" s="1109" t="s">
        <v>21</v>
      </c>
      <c r="XQ33" s="1110"/>
      <c r="XR33" s="150">
        <f>XS5-XR32</f>
        <v>-22</v>
      </c>
      <c r="XY33" s="1109" t="s">
        <v>21</v>
      </c>
      <c r="XZ33" s="1110"/>
      <c r="YA33" s="150">
        <f>YB5-YA32</f>
        <v>-22</v>
      </c>
      <c r="YH33" s="1109" t="s">
        <v>21</v>
      </c>
      <c r="YI33" s="1110"/>
      <c r="YJ33" s="150">
        <f>YK5-YJ32</f>
        <v>-22</v>
      </c>
      <c r="YQ33" s="1109" t="s">
        <v>21</v>
      </c>
      <c r="YR33" s="1110"/>
      <c r="YS33" s="150">
        <f>YT5-YS32</f>
        <v>-22</v>
      </c>
      <c r="YZ33" s="1109" t="s">
        <v>21</v>
      </c>
      <c r="ZA33" s="1110"/>
      <c r="ZB33" s="150">
        <f>ZC5-ZB32</f>
        <v>-22</v>
      </c>
      <c r="ZI33" s="1109" t="s">
        <v>21</v>
      </c>
      <c r="ZJ33" s="1110"/>
      <c r="ZK33" s="150">
        <f>ZL5-ZK32</f>
        <v>-22</v>
      </c>
      <c r="ZR33" s="1109" t="s">
        <v>21</v>
      </c>
      <c r="ZS33" s="1110"/>
      <c r="ZT33" s="150">
        <f>ZU5-ZT32</f>
        <v>-22</v>
      </c>
      <c r="AAA33" s="1109" t="s">
        <v>21</v>
      </c>
      <c r="AAB33" s="1110"/>
      <c r="AAC33" s="150">
        <f>AAD5-AAC32</f>
        <v>-22</v>
      </c>
      <c r="AAJ33" s="1109" t="s">
        <v>21</v>
      </c>
      <c r="AAK33" s="1110"/>
      <c r="AAL33" s="150">
        <f>AAM5-AAL32</f>
        <v>-22</v>
      </c>
      <c r="AAS33" s="1109" t="s">
        <v>21</v>
      </c>
      <c r="AAT33" s="1110"/>
      <c r="AAU33" s="150">
        <f>AAU32-AAS32</f>
        <v>22</v>
      </c>
      <c r="ABB33" s="1109" t="s">
        <v>21</v>
      </c>
      <c r="ABC33" s="1110"/>
      <c r="ABD33" s="150">
        <f>ABE5-ABD32</f>
        <v>-22</v>
      </c>
      <c r="ABK33" s="1109" t="s">
        <v>21</v>
      </c>
      <c r="ABL33" s="1110"/>
      <c r="ABM33" s="150">
        <f>ABN5-ABM32</f>
        <v>-22</v>
      </c>
      <c r="ABT33" s="1109" t="s">
        <v>21</v>
      </c>
      <c r="ABU33" s="1110"/>
      <c r="ABV33" s="150">
        <f>ABW5-ABV32</f>
        <v>-22</v>
      </c>
      <c r="ACC33" s="1109" t="s">
        <v>21</v>
      </c>
      <c r="ACD33" s="1110"/>
      <c r="ACE33" s="150">
        <f>ACF5-ACE32</f>
        <v>-22</v>
      </c>
      <c r="ACL33" s="1109" t="s">
        <v>21</v>
      </c>
      <c r="ACM33" s="1110"/>
      <c r="ACN33" s="150">
        <f>ACO5-ACN32</f>
        <v>-22</v>
      </c>
      <c r="ACU33" s="1109" t="s">
        <v>21</v>
      </c>
      <c r="ACV33" s="1110"/>
      <c r="ACW33" s="150">
        <f>ACX5-ACW32</f>
        <v>-22</v>
      </c>
      <c r="ADD33" s="1109" t="s">
        <v>21</v>
      </c>
      <c r="ADE33" s="1110"/>
      <c r="ADF33" s="150">
        <f>ADG5-ADF32</f>
        <v>-22</v>
      </c>
      <c r="ADM33" s="1109" t="s">
        <v>21</v>
      </c>
      <c r="ADN33" s="1110"/>
      <c r="ADO33" s="150">
        <f>ADP5-ADO32</f>
        <v>-22</v>
      </c>
      <c r="ADV33" s="1109" t="s">
        <v>21</v>
      </c>
      <c r="ADW33" s="1110"/>
      <c r="ADX33" s="150">
        <f>ADY5-ADX32</f>
        <v>-22</v>
      </c>
      <c r="AEE33" s="1109" t="s">
        <v>21</v>
      </c>
      <c r="AEF33" s="1110"/>
      <c r="AEG33" s="150">
        <f>AEH5-AEG32</f>
        <v>-22</v>
      </c>
      <c r="AEN33" s="1109" t="s">
        <v>21</v>
      </c>
      <c r="AEO33" s="1110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4" t="s">
        <v>21</v>
      </c>
      <c r="O34" s="995"/>
      <c r="P34" s="150">
        <f>N33-P33</f>
        <v>-0.2999999999992724</v>
      </c>
      <c r="S34" s="676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2" t="s">
        <v>4</v>
      </c>
      <c r="IA34" s="903"/>
      <c r="IB34" s="50"/>
      <c r="IJ34" s="902" t="s">
        <v>4</v>
      </c>
      <c r="IK34" s="903"/>
      <c r="IL34" s="50"/>
      <c r="IT34" s="902" t="s">
        <v>4</v>
      </c>
      <c r="IU34" s="903"/>
      <c r="IV34" s="50"/>
      <c r="JD34" s="902" t="s">
        <v>4</v>
      </c>
      <c r="JE34" s="903"/>
      <c r="JF34" s="50"/>
      <c r="JN34" s="902" t="s">
        <v>4</v>
      </c>
      <c r="JO34" s="903"/>
      <c r="JP34" s="50">
        <v>0</v>
      </c>
      <c r="JX34" s="902" t="s">
        <v>4</v>
      </c>
      <c r="JY34" s="903"/>
      <c r="JZ34" s="50"/>
      <c r="KH34" s="902" t="s">
        <v>4</v>
      </c>
      <c r="KI34" s="903"/>
      <c r="KJ34" s="50"/>
      <c r="KR34" s="902" t="s">
        <v>4</v>
      </c>
      <c r="KS34" s="903"/>
      <c r="KT34" s="50"/>
      <c r="LB34" s="719" t="s">
        <v>4</v>
      </c>
      <c r="LC34" s="720"/>
      <c r="LD34" s="50"/>
      <c r="LL34" s="719" t="s">
        <v>4</v>
      </c>
      <c r="LM34" s="720"/>
      <c r="LN34" s="50"/>
      <c r="LV34" s="717" t="s">
        <v>21</v>
      </c>
      <c r="LW34" s="718"/>
      <c r="LX34" s="150">
        <f>LY5-LX32</f>
        <v>0</v>
      </c>
      <c r="MA34" s="676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11" t="s">
        <v>4</v>
      </c>
      <c r="RT34" s="1112"/>
      <c r="RU34" s="50"/>
      <c r="SB34" s="1111" t="s">
        <v>4</v>
      </c>
      <c r="SC34" s="1112"/>
      <c r="SD34" s="50"/>
      <c r="SK34" s="1111" t="s">
        <v>4</v>
      </c>
      <c r="SL34" s="1112"/>
      <c r="SM34" s="50"/>
      <c r="ST34" s="1111" t="s">
        <v>4</v>
      </c>
      <c r="SU34" s="1112"/>
      <c r="SV34" s="50"/>
      <c r="TC34" s="1111" t="s">
        <v>4</v>
      </c>
      <c r="TD34" s="1112"/>
      <c r="TE34" s="50"/>
      <c r="TL34" s="1111" t="s">
        <v>4</v>
      </c>
      <c r="TM34" s="1112"/>
      <c r="TN34" s="50"/>
      <c r="TU34" s="1111" t="s">
        <v>4</v>
      </c>
      <c r="TV34" s="1112"/>
      <c r="TW34" s="50"/>
      <c r="UD34" s="1111" t="s">
        <v>4</v>
      </c>
      <c r="UE34" s="1112"/>
      <c r="UF34" s="50"/>
      <c r="UM34" s="1111" t="s">
        <v>4</v>
      </c>
      <c r="UN34" s="1112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11" t="s">
        <v>4</v>
      </c>
      <c r="VO34" s="1112"/>
      <c r="VP34" s="50"/>
      <c r="VW34" s="1111" t="s">
        <v>4</v>
      </c>
      <c r="VX34" s="1112"/>
      <c r="VY34" s="50"/>
      <c r="WF34" s="1111" t="s">
        <v>4</v>
      </c>
      <c r="WG34" s="1112"/>
      <c r="WH34" s="50"/>
      <c r="WO34" s="1111" t="s">
        <v>4</v>
      </c>
      <c r="WP34" s="1112"/>
      <c r="WQ34" s="50"/>
      <c r="WX34" s="1111" t="s">
        <v>4</v>
      </c>
      <c r="WY34" s="1112"/>
      <c r="WZ34" s="50"/>
      <c r="XG34" s="1111" t="s">
        <v>4</v>
      </c>
      <c r="XH34" s="1112"/>
      <c r="XI34" s="50"/>
      <c r="XP34" s="1111" t="s">
        <v>4</v>
      </c>
      <c r="XQ34" s="1112"/>
      <c r="XR34" s="50"/>
      <c r="XY34" s="1111" t="s">
        <v>4</v>
      </c>
      <c r="XZ34" s="1112"/>
      <c r="YA34" s="50"/>
      <c r="YH34" s="1111" t="s">
        <v>4</v>
      </c>
      <c r="YI34" s="1112"/>
      <c r="YJ34" s="50"/>
      <c r="YQ34" s="1111" t="s">
        <v>4</v>
      </c>
      <c r="YR34" s="1112"/>
      <c r="YS34" s="50"/>
      <c r="YZ34" s="1111" t="s">
        <v>4</v>
      </c>
      <c r="ZA34" s="1112"/>
      <c r="ZB34" s="50"/>
      <c r="ZI34" s="1111" t="s">
        <v>4</v>
      </c>
      <c r="ZJ34" s="1112"/>
      <c r="ZK34" s="50"/>
      <c r="ZR34" s="1111" t="s">
        <v>4</v>
      </c>
      <c r="ZS34" s="1112"/>
      <c r="ZT34" s="50"/>
      <c r="AAA34" s="1111" t="s">
        <v>4</v>
      </c>
      <c r="AAB34" s="1112"/>
      <c r="AAC34" s="50"/>
      <c r="AAJ34" s="1111" t="s">
        <v>4</v>
      </c>
      <c r="AAK34" s="1112"/>
      <c r="AAL34" s="50"/>
      <c r="AAS34" s="1111" t="s">
        <v>4</v>
      </c>
      <c r="AAT34" s="1112"/>
      <c r="AAU34" s="50"/>
      <c r="ABB34" s="1111" t="s">
        <v>4</v>
      </c>
      <c r="ABC34" s="1112"/>
      <c r="ABD34" s="50"/>
      <c r="ABK34" s="1111" t="s">
        <v>4</v>
      </c>
      <c r="ABL34" s="1112"/>
      <c r="ABM34" s="50"/>
      <c r="ABT34" s="1111" t="s">
        <v>4</v>
      </c>
      <c r="ABU34" s="1112"/>
      <c r="ABV34" s="50"/>
      <c r="ACC34" s="1111" t="s">
        <v>4</v>
      </c>
      <c r="ACD34" s="1112"/>
      <c r="ACE34" s="50"/>
      <c r="ACL34" s="1111" t="s">
        <v>4</v>
      </c>
      <c r="ACM34" s="1112"/>
      <c r="ACN34" s="50"/>
      <c r="ACU34" s="1111" t="s">
        <v>4</v>
      </c>
      <c r="ACV34" s="1112"/>
      <c r="ACW34" s="50"/>
      <c r="ADD34" s="1111" t="s">
        <v>4</v>
      </c>
      <c r="ADE34" s="1112"/>
      <c r="ADF34" s="50"/>
      <c r="ADM34" s="1111" t="s">
        <v>4</v>
      </c>
      <c r="ADN34" s="1112"/>
      <c r="ADO34" s="50"/>
      <c r="ADV34" s="1111" t="s">
        <v>4</v>
      </c>
      <c r="ADW34" s="1112"/>
      <c r="ADX34" s="50"/>
      <c r="AEE34" s="1111" t="s">
        <v>4</v>
      </c>
      <c r="AEF34" s="1112"/>
      <c r="AEG34" s="50"/>
      <c r="AEN34" s="1111" t="s">
        <v>4</v>
      </c>
      <c r="AEO34" s="1112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996" t="s">
        <v>4</v>
      </c>
      <c r="O35" s="997"/>
      <c r="P35" s="50">
        <v>0</v>
      </c>
      <c r="S35" s="676"/>
      <c r="AZ35" s="79"/>
      <c r="LV35" s="719" t="s">
        <v>4</v>
      </c>
      <c r="LW35" s="720"/>
      <c r="LX35" s="50"/>
      <c r="MA35" s="676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6"/>
      <c r="AZ36" s="79"/>
      <c r="MA36" s="676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6"/>
      <c r="AZ37" s="79"/>
      <c r="MA37" s="676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6"/>
      <c r="AZ38" s="79"/>
      <c r="MA38" s="676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6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6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6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6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6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6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3"/>
      <c r="B1" s="1113"/>
      <c r="C1" s="1113"/>
      <c r="D1" s="1113"/>
      <c r="E1" s="1113"/>
      <c r="F1" s="1113"/>
      <c r="G1" s="111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38"/>
      <c r="B5" s="1140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39"/>
      <c r="B6" s="1141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42" t="s">
        <v>11</v>
      </c>
      <c r="D55" s="1143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Y1" zoomScaleNormal="100" workbookViewId="0">
      <pane ySplit="8" topLeftCell="A9" activePane="bottomLeft" state="frozen"/>
      <selection activeCell="Y1" sqref="Y1"/>
      <selection pane="bottomLeft" activeCell="AE16" sqref="AE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24" t="s">
        <v>268</v>
      </c>
      <c r="B1" s="1124"/>
      <c r="C1" s="1124"/>
      <c r="D1" s="1124"/>
      <c r="E1" s="1124"/>
      <c r="F1" s="1124"/>
      <c r="G1" s="1124"/>
      <c r="H1" s="11">
        <v>1</v>
      </c>
      <c r="I1" s="139"/>
      <c r="J1" s="76"/>
      <c r="M1" s="1118" t="s">
        <v>275</v>
      </c>
      <c r="N1" s="1118"/>
      <c r="O1" s="1118"/>
      <c r="P1" s="1118"/>
      <c r="Q1" s="1118"/>
      <c r="R1" s="1118"/>
      <c r="S1" s="1118"/>
      <c r="T1" s="11">
        <v>2</v>
      </c>
      <c r="U1" s="139"/>
      <c r="V1" s="76"/>
      <c r="Y1" s="1118" t="s">
        <v>275</v>
      </c>
      <c r="Z1" s="1118"/>
      <c r="AA1" s="1118"/>
      <c r="AB1" s="1118"/>
      <c r="AC1" s="1118"/>
      <c r="AD1" s="1118"/>
      <c r="AE1" s="1118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77</v>
      </c>
      <c r="B5" s="1147" t="s">
        <v>45</v>
      </c>
      <c r="C5" s="229">
        <v>48</v>
      </c>
      <c r="D5" s="163">
        <v>44370</v>
      </c>
      <c r="E5" s="110">
        <v>1003.34</v>
      </c>
      <c r="F5" s="76">
        <v>221</v>
      </c>
      <c r="G5" s="5">
        <f>F70</f>
        <v>1003.3399999999999</v>
      </c>
      <c r="H5" s="7">
        <f>E4+E5-G5+E6+E7</f>
        <v>1.1368683772161603E-13</v>
      </c>
      <c r="I5" s="219"/>
      <c r="J5" s="76"/>
      <c r="M5" s="76" t="s">
        <v>77</v>
      </c>
      <c r="N5" s="1147" t="s">
        <v>45</v>
      </c>
      <c r="O5" s="229">
        <v>50</v>
      </c>
      <c r="P5" s="163">
        <v>44385</v>
      </c>
      <c r="Q5" s="110">
        <v>503.94</v>
      </c>
      <c r="R5" s="76">
        <v>111</v>
      </c>
      <c r="S5" s="5">
        <f>R70</f>
        <v>503.94</v>
      </c>
      <c r="T5" s="7">
        <f>Q4+Q5-S5+Q6+Q7</f>
        <v>0</v>
      </c>
      <c r="U5" s="219"/>
      <c r="V5" s="76"/>
      <c r="Y5" s="76" t="s">
        <v>77</v>
      </c>
      <c r="Z5" s="1147" t="s">
        <v>45</v>
      </c>
      <c r="AA5" s="229">
        <v>48</v>
      </c>
      <c r="AB5" s="163">
        <v>44397</v>
      </c>
      <c r="AC5" s="110">
        <v>2002.14</v>
      </c>
      <c r="AD5" s="76">
        <v>441</v>
      </c>
      <c r="AE5" s="5">
        <f>AD70</f>
        <v>889.84</v>
      </c>
      <c r="AF5" s="7">
        <f>AC4+AC5-AE5+AC6+AC7</f>
        <v>1112.3000000000002</v>
      </c>
      <c r="AG5" s="219"/>
      <c r="AH5" s="76"/>
    </row>
    <row r="6" spans="1:35" x14ac:dyDescent="0.25">
      <c r="B6" s="1147"/>
      <c r="C6" s="229"/>
      <c r="D6" s="163"/>
      <c r="E6" s="110"/>
      <c r="F6" s="76"/>
      <c r="I6" s="220"/>
      <c r="J6" s="76"/>
      <c r="N6" s="1147"/>
      <c r="O6" s="229"/>
      <c r="P6" s="163"/>
      <c r="Q6" s="110"/>
      <c r="R6" s="76"/>
      <c r="U6" s="220"/>
      <c r="V6" s="76"/>
      <c r="Z6" s="1147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2</v>
      </c>
      <c r="D9" s="72">
        <f t="shared" ref="D9:D69" si="0">C9*B9</f>
        <v>9.08</v>
      </c>
      <c r="E9" s="225">
        <v>44371</v>
      </c>
      <c r="F9" s="72">
        <f t="shared" ref="F9:F31" si="1">D9</f>
        <v>9.08</v>
      </c>
      <c r="G9" s="73" t="s">
        <v>214</v>
      </c>
      <c r="H9" s="74">
        <v>57</v>
      </c>
      <c r="I9" s="219">
        <f>E5+E4+E6+E7-F9</f>
        <v>994.26</v>
      </c>
      <c r="J9" s="76">
        <f>F5-C9+F6+F4+F7</f>
        <v>219</v>
      </c>
      <c r="K9" s="63">
        <f>H9*F9</f>
        <v>517.56000000000006</v>
      </c>
      <c r="M9" s="76"/>
      <c r="N9" s="142">
        <v>4.54</v>
      </c>
      <c r="O9" s="15">
        <v>15</v>
      </c>
      <c r="P9" s="72">
        <f t="shared" ref="P9:P14" si="2">O9*N9</f>
        <v>68.099999999999994</v>
      </c>
      <c r="Q9" s="225">
        <v>44385</v>
      </c>
      <c r="R9" s="72">
        <f t="shared" ref="R9:R14" si="3">P9</f>
        <v>68.099999999999994</v>
      </c>
      <c r="S9" s="73" t="s">
        <v>440</v>
      </c>
      <c r="T9" s="74">
        <v>57</v>
      </c>
      <c r="U9" s="219">
        <f>Q5+Q4+Q6+Q7-R9</f>
        <v>435.84000000000003</v>
      </c>
      <c r="V9" s="76">
        <f>R5-O9+R6+R4+R7</f>
        <v>96</v>
      </c>
      <c r="W9" s="63">
        <f>T9*R9</f>
        <v>3881.7</v>
      </c>
      <c r="Y9" s="76"/>
      <c r="Z9" s="142">
        <v>4.54</v>
      </c>
      <c r="AA9" s="15">
        <v>51</v>
      </c>
      <c r="AB9" s="72">
        <f t="shared" ref="AB9:AB69" si="4">AA9*Z9</f>
        <v>231.54</v>
      </c>
      <c r="AC9" s="225">
        <v>44397</v>
      </c>
      <c r="AD9" s="72">
        <f t="shared" ref="AD9:AD31" si="5">AB9</f>
        <v>231.54</v>
      </c>
      <c r="AE9" s="73" t="s">
        <v>503</v>
      </c>
      <c r="AF9" s="74">
        <v>57</v>
      </c>
      <c r="AG9" s="219">
        <f>AC5+AC4+AC6+AC7-AD9</f>
        <v>1770.6000000000001</v>
      </c>
      <c r="AH9" s="76">
        <f>AD5-AA9+AD6+AD4+AD7</f>
        <v>390</v>
      </c>
      <c r="AI9" s="63">
        <f>AF9*AD9</f>
        <v>13197.779999999999</v>
      </c>
    </row>
    <row r="10" spans="1:35" x14ac:dyDescent="0.25">
      <c r="B10" s="142">
        <v>4.54</v>
      </c>
      <c r="C10" s="15">
        <v>40</v>
      </c>
      <c r="D10" s="72">
        <f t="shared" si="0"/>
        <v>181.6</v>
      </c>
      <c r="E10" s="225">
        <v>44373</v>
      </c>
      <c r="F10" s="72">
        <f t="shared" si="1"/>
        <v>181.6</v>
      </c>
      <c r="G10" s="73" t="s">
        <v>223</v>
      </c>
      <c r="H10" s="74">
        <v>57</v>
      </c>
      <c r="I10" s="219">
        <f>I9-F10</f>
        <v>812.66</v>
      </c>
      <c r="J10" s="76">
        <f>J9-C10</f>
        <v>179</v>
      </c>
      <c r="K10" s="63">
        <f t="shared" ref="K10:K68" si="6">H10*F10</f>
        <v>10351.199999999999</v>
      </c>
      <c r="N10" s="142">
        <v>4.54</v>
      </c>
      <c r="O10" s="15">
        <v>30</v>
      </c>
      <c r="P10" s="72">
        <f t="shared" si="2"/>
        <v>136.19999999999999</v>
      </c>
      <c r="Q10" s="225">
        <v>44386</v>
      </c>
      <c r="R10" s="72">
        <f t="shared" si="3"/>
        <v>136.19999999999999</v>
      </c>
      <c r="S10" s="73" t="s">
        <v>442</v>
      </c>
      <c r="T10" s="74">
        <v>57</v>
      </c>
      <c r="U10" s="219">
        <f>U9-R10</f>
        <v>299.64000000000004</v>
      </c>
      <c r="V10" s="76">
        <f>V9-O10</f>
        <v>66</v>
      </c>
      <c r="W10" s="63">
        <f t="shared" ref="W10:W68" si="7">T10*R10</f>
        <v>7763.4</v>
      </c>
      <c r="Z10" s="142">
        <v>4.54</v>
      </c>
      <c r="AA10" s="15">
        <v>10</v>
      </c>
      <c r="AB10" s="72">
        <f t="shared" si="4"/>
        <v>45.4</v>
      </c>
      <c r="AC10" s="225">
        <v>44398</v>
      </c>
      <c r="AD10" s="72">
        <f t="shared" si="5"/>
        <v>45.4</v>
      </c>
      <c r="AE10" s="73" t="s">
        <v>518</v>
      </c>
      <c r="AF10" s="74">
        <v>57</v>
      </c>
      <c r="AG10" s="219">
        <f>AG9-AD10</f>
        <v>1725.2</v>
      </c>
      <c r="AH10" s="76">
        <f>AH9-AA10</f>
        <v>380</v>
      </c>
      <c r="AI10" s="63">
        <f t="shared" ref="AI10:AI68" si="8">AF10*AD10</f>
        <v>2587.7999999999997</v>
      </c>
    </row>
    <row r="11" spans="1:35" x14ac:dyDescent="0.25">
      <c r="A11" s="58" t="s">
        <v>32</v>
      </c>
      <c r="B11" s="142">
        <v>4.54</v>
      </c>
      <c r="C11" s="15">
        <v>1</v>
      </c>
      <c r="D11" s="72">
        <f t="shared" si="0"/>
        <v>4.54</v>
      </c>
      <c r="E11" s="225">
        <v>44373</v>
      </c>
      <c r="F11" s="72">
        <f t="shared" si="1"/>
        <v>4.54</v>
      </c>
      <c r="G11" s="291" t="s">
        <v>226</v>
      </c>
      <c r="H11" s="292">
        <v>57</v>
      </c>
      <c r="I11" s="307">
        <f t="shared" ref="I11:I68" si="9">I10-F11</f>
        <v>808.12</v>
      </c>
      <c r="J11" s="268">
        <f t="shared" ref="J11:J68" si="10">J10-C11</f>
        <v>178</v>
      </c>
      <c r="K11" s="63">
        <f t="shared" si="6"/>
        <v>258.78000000000003</v>
      </c>
      <c r="M11" s="58" t="s">
        <v>32</v>
      </c>
      <c r="N11" s="142">
        <v>4.54</v>
      </c>
      <c r="O11" s="15">
        <v>30</v>
      </c>
      <c r="P11" s="72">
        <f t="shared" si="2"/>
        <v>136.19999999999999</v>
      </c>
      <c r="Q11" s="225">
        <v>44387</v>
      </c>
      <c r="R11" s="72">
        <f t="shared" si="3"/>
        <v>136.19999999999999</v>
      </c>
      <c r="S11" s="73" t="s">
        <v>448</v>
      </c>
      <c r="T11" s="74">
        <v>57</v>
      </c>
      <c r="U11" s="307">
        <f t="shared" ref="U11:U68" si="11">U10-R11</f>
        <v>163.44000000000005</v>
      </c>
      <c r="V11" s="268">
        <f t="shared" ref="V11:V68" si="12">V10-O11</f>
        <v>36</v>
      </c>
      <c r="W11" s="63">
        <f t="shared" si="7"/>
        <v>7763.4</v>
      </c>
      <c r="Y11" s="58" t="s">
        <v>32</v>
      </c>
      <c r="Z11" s="142">
        <v>4.54</v>
      </c>
      <c r="AA11" s="15">
        <v>50</v>
      </c>
      <c r="AB11" s="72">
        <f t="shared" si="4"/>
        <v>227</v>
      </c>
      <c r="AC11" s="225">
        <v>44400</v>
      </c>
      <c r="AD11" s="72">
        <f t="shared" si="5"/>
        <v>227</v>
      </c>
      <c r="AE11" s="291" t="s">
        <v>527</v>
      </c>
      <c r="AF11" s="292">
        <v>57</v>
      </c>
      <c r="AG11" s="307">
        <f t="shared" ref="AG11:AG68" si="13">AG10-AD11</f>
        <v>1498.2</v>
      </c>
      <c r="AH11" s="268">
        <f t="shared" ref="AH11:AH68" si="14">AH10-AA11</f>
        <v>330</v>
      </c>
      <c r="AI11" s="63">
        <f t="shared" si="8"/>
        <v>12939</v>
      </c>
    </row>
    <row r="12" spans="1:35" x14ac:dyDescent="0.25">
      <c r="A12" s="89"/>
      <c r="B12" s="142">
        <v>4.54</v>
      </c>
      <c r="C12" s="15">
        <v>40</v>
      </c>
      <c r="D12" s="72">
        <f t="shared" si="0"/>
        <v>181.6</v>
      </c>
      <c r="E12" s="225">
        <v>44375</v>
      </c>
      <c r="F12" s="72">
        <f t="shared" si="1"/>
        <v>181.6</v>
      </c>
      <c r="G12" s="291" t="s">
        <v>230</v>
      </c>
      <c r="H12" s="292">
        <v>57</v>
      </c>
      <c r="I12" s="307">
        <f t="shared" si="9"/>
        <v>626.52</v>
      </c>
      <c r="J12" s="268">
        <f t="shared" si="10"/>
        <v>138</v>
      </c>
      <c r="K12" s="63">
        <f t="shared" si="6"/>
        <v>10351.199999999999</v>
      </c>
      <c r="M12" s="89"/>
      <c r="N12" s="142">
        <v>4.54</v>
      </c>
      <c r="O12" s="15">
        <v>30</v>
      </c>
      <c r="P12" s="72">
        <f t="shared" si="2"/>
        <v>136.19999999999999</v>
      </c>
      <c r="Q12" s="225">
        <v>44389</v>
      </c>
      <c r="R12" s="72">
        <f t="shared" si="3"/>
        <v>136.19999999999999</v>
      </c>
      <c r="S12" s="73" t="s">
        <v>452</v>
      </c>
      <c r="T12" s="74">
        <v>57</v>
      </c>
      <c r="U12" s="307">
        <f t="shared" si="11"/>
        <v>27.240000000000066</v>
      </c>
      <c r="V12" s="268">
        <f t="shared" si="12"/>
        <v>6</v>
      </c>
      <c r="W12" s="63">
        <f t="shared" si="7"/>
        <v>7763.4</v>
      </c>
      <c r="Y12" s="89"/>
      <c r="Z12" s="142">
        <v>4.54</v>
      </c>
      <c r="AA12" s="15">
        <v>10</v>
      </c>
      <c r="AB12" s="72">
        <f t="shared" si="4"/>
        <v>45.4</v>
      </c>
      <c r="AC12" s="225">
        <v>44403</v>
      </c>
      <c r="AD12" s="72">
        <f t="shared" si="5"/>
        <v>45.4</v>
      </c>
      <c r="AE12" s="291" t="s">
        <v>545</v>
      </c>
      <c r="AF12" s="292">
        <v>57</v>
      </c>
      <c r="AG12" s="307">
        <f t="shared" si="13"/>
        <v>1452.8</v>
      </c>
      <c r="AH12" s="268">
        <f t="shared" si="14"/>
        <v>320</v>
      </c>
      <c r="AI12" s="63">
        <f t="shared" si="8"/>
        <v>2587.7999999999997</v>
      </c>
    </row>
    <row r="13" spans="1:35" x14ac:dyDescent="0.25">
      <c r="B13" s="142">
        <v>4.54</v>
      </c>
      <c r="C13" s="15">
        <v>10</v>
      </c>
      <c r="D13" s="72">
        <f t="shared" si="0"/>
        <v>45.4</v>
      </c>
      <c r="E13" s="225">
        <v>44376</v>
      </c>
      <c r="F13" s="72">
        <f t="shared" si="1"/>
        <v>45.4</v>
      </c>
      <c r="G13" s="291" t="s">
        <v>233</v>
      </c>
      <c r="H13" s="292">
        <v>57</v>
      </c>
      <c r="I13" s="307">
        <f t="shared" si="9"/>
        <v>581.12</v>
      </c>
      <c r="J13" s="268">
        <f t="shared" si="10"/>
        <v>128</v>
      </c>
      <c r="K13" s="63">
        <f t="shared" si="6"/>
        <v>2587.7999999999997</v>
      </c>
      <c r="N13" s="142">
        <v>4.54</v>
      </c>
      <c r="O13" s="15">
        <v>1</v>
      </c>
      <c r="P13" s="72">
        <f t="shared" si="2"/>
        <v>4.54</v>
      </c>
      <c r="Q13" s="225">
        <v>44389</v>
      </c>
      <c r="R13" s="72">
        <f t="shared" si="3"/>
        <v>4.54</v>
      </c>
      <c r="S13" s="73" t="s">
        <v>453</v>
      </c>
      <c r="T13" s="74">
        <v>57</v>
      </c>
      <c r="U13" s="307">
        <f t="shared" si="11"/>
        <v>22.700000000000067</v>
      </c>
      <c r="V13" s="268">
        <f t="shared" si="12"/>
        <v>5</v>
      </c>
      <c r="W13" s="63">
        <f t="shared" si="7"/>
        <v>258.78000000000003</v>
      </c>
      <c r="Z13" s="142">
        <v>4.54</v>
      </c>
      <c r="AA13" s="15">
        <v>30</v>
      </c>
      <c r="AB13" s="72">
        <f t="shared" si="4"/>
        <v>136.19999999999999</v>
      </c>
      <c r="AC13" s="225">
        <v>44404</v>
      </c>
      <c r="AD13" s="72">
        <f t="shared" si="5"/>
        <v>136.19999999999999</v>
      </c>
      <c r="AE13" s="291" t="s">
        <v>549</v>
      </c>
      <c r="AF13" s="292">
        <v>57</v>
      </c>
      <c r="AG13" s="307">
        <f t="shared" si="13"/>
        <v>1316.6</v>
      </c>
      <c r="AH13" s="268">
        <f t="shared" si="14"/>
        <v>290</v>
      </c>
      <c r="AI13" s="63">
        <f t="shared" si="8"/>
        <v>7763.4</v>
      </c>
    </row>
    <row r="14" spans="1:35" x14ac:dyDescent="0.25">
      <c r="A14" s="58" t="s">
        <v>33</v>
      </c>
      <c r="B14" s="142">
        <v>4.54</v>
      </c>
      <c r="C14" s="15">
        <v>1</v>
      </c>
      <c r="D14" s="72">
        <f t="shared" si="0"/>
        <v>4.54</v>
      </c>
      <c r="E14" s="225">
        <v>44377</v>
      </c>
      <c r="F14" s="72">
        <f t="shared" si="1"/>
        <v>4.54</v>
      </c>
      <c r="G14" s="291" t="s">
        <v>239</v>
      </c>
      <c r="H14" s="292">
        <v>57</v>
      </c>
      <c r="I14" s="307">
        <f t="shared" si="9"/>
        <v>576.58000000000004</v>
      </c>
      <c r="J14" s="268">
        <f t="shared" si="10"/>
        <v>127</v>
      </c>
      <c r="K14" s="63">
        <f t="shared" si="6"/>
        <v>258.78000000000003</v>
      </c>
      <c r="M14" s="58" t="s">
        <v>33</v>
      </c>
      <c r="N14" s="142">
        <v>4.54</v>
      </c>
      <c r="O14" s="15">
        <v>5</v>
      </c>
      <c r="P14" s="72">
        <f t="shared" si="2"/>
        <v>22.7</v>
      </c>
      <c r="Q14" s="225">
        <v>44389</v>
      </c>
      <c r="R14" s="72">
        <f t="shared" si="3"/>
        <v>22.7</v>
      </c>
      <c r="S14" s="73" t="s">
        <v>454</v>
      </c>
      <c r="T14" s="74">
        <v>57</v>
      </c>
      <c r="U14" s="307">
        <f t="shared" si="11"/>
        <v>6.7501559897209518E-14</v>
      </c>
      <c r="V14" s="268">
        <f t="shared" si="12"/>
        <v>0</v>
      </c>
      <c r="W14" s="63">
        <f t="shared" si="7"/>
        <v>1293.8999999999999</v>
      </c>
      <c r="Y14" s="58" t="s">
        <v>33</v>
      </c>
      <c r="Z14" s="142">
        <v>4.54</v>
      </c>
      <c r="AA14" s="15">
        <v>40</v>
      </c>
      <c r="AB14" s="72">
        <f t="shared" si="4"/>
        <v>181.6</v>
      </c>
      <c r="AC14" s="225">
        <v>44407</v>
      </c>
      <c r="AD14" s="72">
        <f t="shared" si="5"/>
        <v>181.6</v>
      </c>
      <c r="AE14" s="291" t="s">
        <v>561</v>
      </c>
      <c r="AF14" s="292">
        <v>57</v>
      </c>
      <c r="AG14" s="307">
        <f t="shared" si="13"/>
        <v>1135</v>
      </c>
      <c r="AH14" s="268">
        <f t="shared" si="14"/>
        <v>250</v>
      </c>
      <c r="AI14" s="63">
        <f t="shared" si="8"/>
        <v>10351.199999999999</v>
      </c>
    </row>
    <row r="15" spans="1:35" x14ac:dyDescent="0.25">
      <c r="B15" s="142">
        <v>4.54</v>
      </c>
      <c r="C15" s="15">
        <v>2</v>
      </c>
      <c r="D15" s="72">
        <f t="shared" si="0"/>
        <v>9.08</v>
      </c>
      <c r="E15" s="143">
        <v>44378</v>
      </c>
      <c r="F15" s="72">
        <f t="shared" si="1"/>
        <v>9.08</v>
      </c>
      <c r="G15" s="291" t="s">
        <v>244</v>
      </c>
      <c r="H15" s="292">
        <v>57</v>
      </c>
      <c r="I15" s="307">
        <f t="shared" si="9"/>
        <v>567.5</v>
      </c>
      <c r="J15" s="268">
        <f t="shared" si="10"/>
        <v>125</v>
      </c>
      <c r="K15" s="63">
        <f t="shared" si="6"/>
        <v>517.56000000000006</v>
      </c>
      <c r="N15" s="142">
        <v>4.54</v>
      </c>
      <c r="O15" s="15"/>
      <c r="P15" s="72">
        <f t="shared" ref="P15:P69" si="15">O15*N15</f>
        <v>0</v>
      </c>
      <c r="Q15" s="143"/>
      <c r="R15" s="72">
        <f t="shared" ref="R15:R31" si="16">P15</f>
        <v>0</v>
      </c>
      <c r="S15" s="1049"/>
      <c r="T15" s="1050"/>
      <c r="U15" s="1062">
        <f t="shared" si="11"/>
        <v>6.7501559897209518E-14</v>
      </c>
      <c r="V15" s="1063">
        <f t="shared" si="12"/>
        <v>0</v>
      </c>
      <c r="W15" s="1061">
        <f t="shared" si="7"/>
        <v>0</v>
      </c>
      <c r="Z15" s="142">
        <v>4.54</v>
      </c>
      <c r="AA15" s="15">
        <v>5</v>
      </c>
      <c r="AB15" s="72">
        <f t="shared" si="4"/>
        <v>22.7</v>
      </c>
      <c r="AC15" s="143">
        <v>44407</v>
      </c>
      <c r="AD15" s="72">
        <f t="shared" si="5"/>
        <v>22.7</v>
      </c>
      <c r="AE15" s="291" t="s">
        <v>562</v>
      </c>
      <c r="AF15" s="292">
        <v>57</v>
      </c>
      <c r="AG15" s="307">
        <f t="shared" si="13"/>
        <v>1112.3</v>
      </c>
      <c r="AH15" s="268">
        <f t="shared" si="14"/>
        <v>245</v>
      </c>
      <c r="AI15" s="63">
        <f t="shared" si="8"/>
        <v>1293.8999999999999</v>
      </c>
    </row>
    <row r="16" spans="1:35" x14ac:dyDescent="0.25">
      <c r="B16" s="142">
        <v>4.54</v>
      </c>
      <c r="C16" s="15">
        <v>50</v>
      </c>
      <c r="D16" s="72">
        <f t="shared" si="0"/>
        <v>227</v>
      </c>
      <c r="E16" s="225">
        <v>44379</v>
      </c>
      <c r="F16" s="72">
        <f t="shared" si="1"/>
        <v>227</v>
      </c>
      <c r="G16" s="291" t="s">
        <v>253</v>
      </c>
      <c r="H16" s="292">
        <v>57</v>
      </c>
      <c r="I16" s="307">
        <f t="shared" si="9"/>
        <v>340.5</v>
      </c>
      <c r="J16" s="268">
        <f t="shared" si="10"/>
        <v>75</v>
      </c>
      <c r="K16" s="63">
        <f t="shared" si="6"/>
        <v>12939</v>
      </c>
      <c r="N16" s="142">
        <v>4.54</v>
      </c>
      <c r="O16" s="15"/>
      <c r="P16" s="72">
        <f t="shared" si="15"/>
        <v>0</v>
      </c>
      <c r="Q16" s="225"/>
      <c r="R16" s="72">
        <f t="shared" si="16"/>
        <v>0</v>
      </c>
      <c r="S16" s="1049"/>
      <c r="T16" s="1050"/>
      <c r="U16" s="1062">
        <f t="shared" si="11"/>
        <v>6.7501559897209518E-14</v>
      </c>
      <c r="V16" s="1063">
        <f t="shared" si="12"/>
        <v>0</v>
      </c>
      <c r="W16" s="1061">
        <f t="shared" si="7"/>
        <v>0</v>
      </c>
      <c r="Z16" s="142">
        <v>4.54</v>
      </c>
      <c r="AA16" s="15"/>
      <c r="AB16" s="72">
        <f t="shared" si="4"/>
        <v>0</v>
      </c>
      <c r="AC16" s="225"/>
      <c r="AD16" s="72">
        <f t="shared" si="5"/>
        <v>0</v>
      </c>
      <c r="AE16" s="291"/>
      <c r="AF16" s="292"/>
      <c r="AG16" s="307">
        <f t="shared" si="13"/>
        <v>1112.3</v>
      </c>
      <c r="AH16" s="268">
        <f t="shared" si="14"/>
        <v>245</v>
      </c>
      <c r="AI16" s="63">
        <f t="shared" si="8"/>
        <v>0</v>
      </c>
    </row>
    <row r="17" spans="2:35" x14ac:dyDescent="0.25">
      <c r="B17" s="142">
        <v>4.54</v>
      </c>
      <c r="C17" s="15">
        <v>30</v>
      </c>
      <c r="D17" s="72">
        <f t="shared" si="0"/>
        <v>136.19999999999999</v>
      </c>
      <c r="E17" s="225">
        <v>44380</v>
      </c>
      <c r="F17" s="72">
        <f t="shared" si="1"/>
        <v>136.19999999999999</v>
      </c>
      <c r="G17" s="291" t="s">
        <v>257</v>
      </c>
      <c r="H17" s="292">
        <v>57</v>
      </c>
      <c r="I17" s="307">
        <f t="shared" si="9"/>
        <v>204.3</v>
      </c>
      <c r="J17" s="268">
        <f t="shared" si="10"/>
        <v>45</v>
      </c>
      <c r="K17" s="63">
        <f t="shared" si="6"/>
        <v>7763.4</v>
      </c>
      <c r="N17" s="142">
        <v>4.54</v>
      </c>
      <c r="O17" s="15"/>
      <c r="P17" s="72">
        <f t="shared" si="15"/>
        <v>0</v>
      </c>
      <c r="Q17" s="225"/>
      <c r="R17" s="72">
        <f t="shared" si="16"/>
        <v>0</v>
      </c>
      <c r="S17" s="1049"/>
      <c r="T17" s="1050"/>
      <c r="U17" s="1062">
        <f t="shared" si="11"/>
        <v>6.7501559897209518E-14</v>
      </c>
      <c r="V17" s="1063">
        <f t="shared" si="12"/>
        <v>0</v>
      </c>
      <c r="W17" s="1061">
        <f t="shared" si="7"/>
        <v>0</v>
      </c>
      <c r="Z17" s="142">
        <v>4.54</v>
      </c>
      <c r="AA17" s="15"/>
      <c r="AB17" s="72">
        <f t="shared" si="4"/>
        <v>0</v>
      </c>
      <c r="AC17" s="225"/>
      <c r="AD17" s="72">
        <f t="shared" si="5"/>
        <v>0</v>
      </c>
      <c r="AE17" s="291"/>
      <c r="AF17" s="292"/>
      <c r="AG17" s="307">
        <f t="shared" si="13"/>
        <v>1112.3</v>
      </c>
      <c r="AH17" s="268">
        <f t="shared" si="14"/>
        <v>245</v>
      </c>
      <c r="AI17" s="63">
        <f t="shared" si="8"/>
        <v>0</v>
      </c>
    </row>
    <row r="18" spans="2:35" x14ac:dyDescent="0.25">
      <c r="B18" s="142">
        <v>4.54</v>
      </c>
      <c r="C18" s="15">
        <v>1</v>
      </c>
      <c r="D18" s="62">
        <f t="shared" si="0"/>
        <v>4.54</v>
      </c>
      <c r="E18" s="1011">
        <v>44382</v>
      </c>
      <c r="F18" s="62">
        <f t="shared" si="1"/>
        <v>4.54</v>
      </c>
      <c r="G18" s="1012" t="s">
        <v>406</v>
      </c>
      <c r="H18" s="331">
        <v>57</v>
      </c>
      <c r="I18" s="307">
        <f t="shared" si="9"/>
        <v>199.76000000000002</v>
      </c>
      <c r="J18" s="268">
        <f t="shared" si="10"/>
        <v>44</v>
      </c>
      <c r="K18" s="63">
        <f t="shared" si="6"/>
        <v>258.78000000000003</v>
      </c>
      <c r="N18" s="142">
        <v>4.54</v>
      </c>
      <c r="O18" s="15"/>
      <c r="P18" s="72">
        <f t="shared" si="15"/>
        <v>0</v>
      </c>
      <c r="Q18" s="225"/>
      <c r="R18" s="72">
        <f t="shared" si="16"/>
        <v>0</v>
      </c>
      <c r="S18" s="1049"/>
      <c r="T18" s="1050"/>
      <c r="U18" s="1062">
        <f t="shared" si="11"/>
        <v>6.7501559897209518E-14</v>
      </c>
      <c r="V18" s="1063">
        <f t="shared" si="12"/>
        <v>0</v>
      </c>
      <c r="W18" s="1061">
        <f t="shared" si="7"/>
        <v>0</v>
      </c>
      <c r="Z18" s="142">
        <v>4.54</v>
      </c>
      <c r="AA18" s="15"/>
      <c r="AB18" s="62">
        <f t="shared" si="4"/>
        <v>0</v>
      </c>
      <c r="AC18" s="1011"/>
      <c r="AD18" s="62">
        <f t="shared" si="5"/>
        <v>0</v>
      </c>
      <c r="AE18" s="1012"/>
      <c r="AF18" s="331"/>
      <c r="AG18" s="307">
        <f t="shared" si="13"/>
        <v>1112.3</v>
      </c>
      <c r="AH18" s="268">
        <f t="shared" si="14"/>
        <v>245</v>
      </c>
      <c r="AI18" s="63">
        <f t="shared" si="8"/>
        <v>0</v>
      </c>
    </row>
    <row r="19" spans="2:35" x14ac:dyDescent="0.25">
      <c r="B19" s="142">
        <v>4.54</v>
      </c>
      <c r="C19" s="15">
        <v>30</v>
      </c>
      <c r="D19" s="62">
        <f t="shared" si="0"/>
        <v>136.19999999999999</v>
      </c>
      <c r="E19" s="1011">
        <v>44383</v>
      </c>
      <c r="F19" s="62">
        <f t="shared" si="1"/>
        <v>136.19999999999999</v>
      </c>
      <c r="G19" s="1012" t="s">
        <v>413</v>
      </c>
      <c r="H19" s="331">
        <v>57</v>
      </c>
      <c r="I19" s="307">
        <f t="shared" si="9"/>
        <v>63.560000000000031</v>
      </c>
      <c r="J19" s="268">
        <f t="shared" si="10"/>
        <v>14</v>
      </c>
      <c r="K19" s="63">
        <f t="shared" si="6"/>
        <v>7763.4</v>
      </c>
      <c r="N19" s="142">
        <v>4.54</v>
      </c>
      <c r="O19" s="15"/>
      <c r="P19" s="72">
        <f t="shared" si="15"/>
        <v>0</v>
      </c>
      <c r="Q19" s="225"/>
      <c r="R19" s="72">
        <f t="shared" si="16"/>
        <v>0</v>
      </c>
      <c r="S19" s="1049"/>
      <c r="T19" s="1050"/>
      <c r="U19" s="1062">
        <f t="shared" si="11"/>
        <v>6.7501559897209518E-14</v>
      </c>
      <c r="V19" s="1063">
        <f t="shared" si="12"/>
        <v>0</v>
      </c>
      <c r="W19" s="1061">
        <f t="shared" si="7"/>
        <v>0</v>
      </c>
      <c r="Z19" s="142">
        <v>4.54</v>
      </c>
      <c r="AA19" s="15"/>
      <c r="AB19" s="62">
        <f t="shared" si="4"/>
        <v>0</v>
      </c>
      <c r="AC19" s="1011"/>
      <c r="AD19" s="62">
        <f t="shared" si="5"/>
        <v>0</v>
      </c>
      <c r="AE19" s="1012"/>
      <c r="AF19" s="331"/>
      <c r="AG19" s="307">
        <f t="shared" si="13"/>
        <v>1112.3</v>
      </c>
      <c r="AH19" s="268">
        <f t="shared" si="14"/>
        <v>245</v>
      </c>
      <c r="AI19" s="63">
        <f t="shared" si="8"/>
        <v>0</v>
      </c>
    </row>
    <row r="20" spans="2:35" x14ac:dyDescent="0.25">
      <c r="B20" s="142">
        <v>4.54</v>
      </c>
      <c r="C20" s="15">
        <v>14</v>
      </c>
      <c r="D20" s="62">
        <f t="shared" si="0"/>
        <v>63.56</v>
      </c>
      <c r="E20" s="1011">
        <v>44385</v>
      </c>
      <c r="F20" s="62">
        <f t="shared" si="1"/>
        <v>63.56</v>
      </c>
      <c r="G20" s="987" t="s">
        <v>424</v>
      </c>
      <c r="H20" s="63">
        <v>57</v>
      </c>
      <c r="I20" s="219">
        <f t="shared" si="9"/>
        <v>0</v>
      </c>
      <c r="J20" s="76">
        <f t="shared" si="10"/>
        <v>0</v>
      </c>
      <c r="K20" s="63">
        <f t="shared" si="6"/>
        <v>3622.92</v>
      </c>
      <c r="N20" s="142">
        <v>4.54</v>
      </c>
      <c r="O20" s="15"/>
      <c r="P20" s="72">
        <f t="shared" si="15"/>
        <v>0</v>
      </c>
      <c r="Q20" s="225"/>
      <c r="R20" s="72">
        <f t="shared" si="16"/>
        <v>0</v>
      </c>
      <c r="S20" s="1049"/>
      <c r="T20" s="1050"/>
      <c r="U20" s="1062">
        <f t="shared" si="11"/>
        <v>6.7501559897209518E-14</v>
      </c>
      <c r="V20" s="1063">
        <f t="shared" si="12"/>
        <v>0</v>
      </c>
      <c r="W20" s="1061">
        <f t="shared" si="7"/>
        <v>0</v>
      </c>
      <c r="Z20" s="142">
        <v>4.54</v>
      </c>
      <c r="AA20" s="15"/>
      <c r="AB20" s="62">
        <f t="shared" si="4"/>
        <v>0</v>
      </c>
      <c r="AC20" s="1011"/>
      <c r="AD20" s="62">
        <f t="shared" si="5"/>
        <v>0</v>
      </c>
      <c r="AE20" s="987"/>
      <c r="AF20" s="63"/>
      <c r="AG20" s="219">
        <f t="shared" si="13"/>
        <v>1112.3</v>
      </c>
      <c r="AH20" s="76">
        <f t="shared" si="14"/>
        <v>245</v>
      </c>
      <c r="AI20" s="63">
        <f t="shared" si="8"/>
        <v>0</v>
      </c>
    </row>
    <row r="21" spans="2:35" x14ac:dyDescent="0.25">
      <c r="B21" s="142">
        <v>4.54</v>
      </c>
      <c r="C21" s="15"/>
      <c r="D21" s="62">
        <f t="shared" si="0"/>
        <v>0</v>
      </c>
      <c r="E21" s="1011"/>
      <c r="F21" s="62">
        <f t="shared" si="1"/>
        <v>0</v>
      </c>
      <c r="G21" s="987"/>
      <c r="H21" s="1061"/>
      <c r="I21" s="1062">
        <f t="shared" si="9"/>
        <v>0</v>
      </c>
      <c r="J21" s="1063">
        <f t="shared" si="10"/>
        <v>0</v>
      </c>
      <c r="K21" s="1061">
        <f t="shared" si="6"/>
        <v>0</v>
      </c>
      <c r="N21" s="142">
        <v>4.54</v>
      </c>
      <c r="O21" s="15"/>
      <c r="P21" s="72">
        <f t="shared" si="15"/>
        <v>0</v>
      </c>
      <c r="Q21" s="225"/>
      <c r="R21" s="72">
        <f t="shared" si="16"/>
        <v>0</v>
      </c>
      <c r="S21" s="73"/>
      <c r="T21" s="74"/>
      <c r="U21" s="219">
        <f t="shared" si="11"/>
        <v>6.7501559897209518E-14</v>
      </c>
      <c r="V21" s="76">
        <f t="shared" si="12"/>
        <v>0</v>
      </c>
      <c r="W21" s="63">
        <f t="shared" si="7"/>
        <v>0</v>
      </c>
      <c r="Z21" s="142">
        <v>4.54</v>
      </c>
      <c r="AA21" s="15"/>
      <c r="AB21" s="62">
        <f t="shared" si="4"/>
        <v>0</v>
      </c>
      <c r="AC21" s="1011"/>
      <c r="AD21" s="62">
        <f t="shared" si="5"/>
        <v>0</v>
      </c>
      <c r="AE21" s="987"/>
      <c r="AF21" s="63"/>
      <c r="AG21" s="219">
        <f t="shared" si="13"/>
        <v>1112.3</v>
      </c>
      <c r="AH21" s="76">
        <f t="shared" si="14"/>
        <v>245</v>
      </c>
      <c r="AI21" s="63">
        <f t="shared" si="8"/>
        <v>0</v>
      </c>
    </row>
    <row r="22" spans="2:35" x14ac:dyDescent="0.25">
      <c r="B22" s="142">
        <v>4.54</v>
      </c>
      <c r="C22" s="15"/>
      <c r="D22" s="62">
        <f t="shared" si="0"/>
        <v>0</v>
      </c>
      <c r="E22" s="1011"/>
      <c r="F22" s="62">
        <f t="shared" si="1"/>
        <v>0</v>
      </c>
      <c r="G22" s="987"/>
      <c r="H22" s="1061"/>
      <c r="I22" s="1062">
        <f t="shared" si="9"/>
        <v>0</v>
      </c>
      <c r="J22" s="1063">
        <f t="shared" si="10"/>
        <v>0</v>
      </c>
      <c r="K22" s="1061">
        <f t="shared" si="6"/>
        <v>0</v>
      </c>
      <c r="N22" s="142">
        <v>4.54</v>
      </c>
      <c r="O22" s="15"/>
      <c r="P22" s="72">
        <f t="shared" si="15"/>
        <v>0</v>
      </c>
      <c r="Q22" s="225"/>
      <c r="R22" s="72">
        <f t="shared" si="16"/>
        <v>0</v>
      </c>
      <c r="S22" s="73"/>
      <c r="T22" s="74"/>
      <c r="U22" s="219">
        <f t="shared" si="11"/>
        <v>6.7501559897209518E-14</v>
      </c>
      <c r="V22" s="76">
        <f t="shared" si="12"/>
        <v>0</v>
      </c>
      <c r="W22" s="63">
        <f t="shared" si="7"/>
        <v>0</v>
      </c>
      <c r="Z22" s="142">
        <v>4.54</v>
      </c>
      <c r="AA22" s="15"/>
      <c r="AB22" s="62">
        <f t="shared" si="4"/>
        <v>0</v>
      </c>
      <c r="AC22" s="1011"/>
      <c r="AD22" s="62">
        <f t="shared" si="5"/>
        <v>0</v>
      </c>
      <c r="AE22" s="987"/>
      <c r="AF22" s="63"/>
      <c r="AG22" s="219">
        <f t="shared" si="13"/>
        <v>1112.3</v>
      </c>
      <c r="AH22" s="76">
        <f t="shared" si="14"/>
        <v>245</v>
      </c>
      <c r="AI22" s="63">
        <f t="shared" si="8"/>
        <v>0</v>
      </c>
    </row>
    <row r="23" spans="2:35" x14ac:dyDescent="0.25">
      <c r="B23" s="142">
        <v>4.54</v>
      </c>
      <c r="C23" s="15"/>
      <c r="D23" s="62">
        <f t="shared" si="0"/>
        <v>0</v>
      </c>
      <c r="E23" s="1011"/>
      <c r="F23" s="62">
        <f t="shared" si="1"/>
        <v>0</v>
      </c>
      <c r="G23" s="987"/>
      <c r="H23" s="1061"/>
      <c r="I23" s="1062">
        <f t="shared" si="9"/>
        <v>0</v>
      </c>
      <c r="J23" s="1063">
        <f t="shared" si="10"/>
        <v>0</v>
      </c>
      <c r="K23" s="1061">
        <f t="shared" si="6"/>
        <v>0</v>
      </c>
      <c r="N23" s="142">
        <v>4.54</v>
      </c>
      <c r="O23" s="15"/>
      <c r="P23" s="72">
        <f t="shared" si="15"/>
        <v>0</v>
      </c>
      <c r="Q23" s="225"/>
      <c r="R23" s="72">
        <f t="shared" si="16"/>
        <v>0</v>
      </c>
      <c r="S23" s="73"/>
      <c r="T23" s="74"/>
      <c r="U23" s="219">
        <f t="shared" si="11"/>
        <v>6.7501559897209518E-14</v>
      </c>
      <c r="V23" s="76">
        <f t="shared" si="12"/>
        <v>0</v>
      </c>
      <c r="W23" s="63">
        <f t="shared" si="7"/>
        <v>0</v>
      </c>
      <c r="Z23" s="142">
        <v>4.54</v>
      </c>
      <c r="AA23" s="15"/>
      <c r="AB23" s="62">
        <f t="shared" si="4"/>
        <v>0</v>
      </c>
      <c r="AC23" s="1011"/>
      <c r="AD23" s="62">
        <f t="shared" si="5"/>
        <v>0</v>
      </c>
      <c r="AE23" s="987"/>
      <c r="AF23" s="63"/>
      <c r="AG23" s="219">
        <f t="shared" si="13"/>
        <v>1112.3</v>
      </c>
      <c r="AH23" s="76">
        <f t="shared" si="14"/>
        <v>245</v>
      </c>
      <c r="AI23" s="63">
        <f t="shared" si="8"/>
        <v>0</v>
      </c>
    </row>
    <row r="24" spans="2:35" x14ac:dyDescent="0.25">
      <c r="B24" s="142">
        <v>4.54</v>
      </c>
      <c r="C24" s="15"/>
      <c r="D24" s="62">
        <f t="shared" si="0"/>
        <v>0</v>
      </c>
      <c r="E24" s="1011"/>
      <c r="F24" s="62">
        <f t="shared" si="1"/>
        <v>0</v>
      </c>
      <c r="G24" s="987"/>
      <c r="H24" s="1061"/>
      <c r="I24" s="1062">
        <f t="shared" si="9"/>
        <v>0</v>
      </c>
      <c r="J24" s="1063">
        <f t="shared" si="10"/>
        <v>0</v>
      </c>
      <c r="K24" s="1061">
        <f t="shared" si="6"/>
        <v>0</v>
      </c>
      <c r="N24" s="142">
        <v>4.54</v>
      </c>
      <c r="O24" s="15"/>
      <c r="P24" s="72">
        <f t="shared" si="15"/>
        <v>0</v>
      </c>
      <c r="Q24" s="225"/>
      <c r="R24" s="72">
        <f t="shared" si="16"/>
        <v>0</v>
      </c>
      <c r="S24" s="73"/>
      <c r="T24" s="74"/>
      <c r="U24" s="219">
        <f t="shared" si="11"/>
        <v>6.7501559897209518E-14</v>
      </c>
      <c r="V24" s="76">
        <f t="shared" si="12"/>
        <v>0</v>
      </c>
      <c r="W24" s="63">
        <f t="shared" si="7"/>
        <v>0</v>
      </c>
      <c r="Z24" s="142">
        <v>4.54</v>
      </c>
      <c r="AA24" s="15"/>
      <c r="AB24" s="62">
        <f t="shared" si="4"/>
        <v>0</v>
      </c>
      <c r="AC24" s="1011"/>
      <c r="AD24" s="62">
        <f t="shared" si="5"/>
        <v>0</v>
      </c>
      <c r="AE24" s="987"/>
      <c r="AF24" s="63"/>
      <c r="AG24" s="219">
        <f t="shared" si="13"/>
        <v>1112.3</v>
      </c>
      <c r="AH24" s="76">
        <f t="shared" si="14"/>
        <v>245</v>
      </c>
      <c r="AI24" s="63">
        <f t="shared" si="8"/>
        <v>0</v>
      </c>
    </row>
    <row r="25" spans="2:35" x14ac:dyDescent="0.25">
      <c r="B25" s="142">
        <v>4.54</v>
      </c>
      <c r="C25" s="15"/>
      <c r="D25" s="62">
        <f t="shared" si="0"/>
        <v>0</v>
      </c>
      <c r="E25" s="1011"/>
      <c r="F25" s="62">
        <f t="shared" si="1"/>
        <v>0</v>
      </c>
      <c r="G25" s="987"/>
      <c r="H25" s="1061"/>
      <c r="I25" s="1062">
        <f t="shared" si="9"/>
        <v>0</v>
      </c>
      <c r="J25" s="1063">
        <f t="shared" si="10"/>
        <v>0</v>
      </c>
      <c r="K25" s="1061">
        <f t="shared" si="6"/>
        <v>0</v>
      </c>
      <c r="N25" s="142">
        <v>4.54</v>
      </c>
      <c r="O25" s="15"/>
      <c r="P25" s="72">
        <f t="shared" si="15"/>
        <v>0</v>
      </c>
      <c r="Q25" s="225"/>
      <c r="R25" s="72">
        <f t="shared" si="16"/>
        <v>0</v>
      </c>
      <c r="S25" s="73"/>
      <c r="T25" s="74"/>
      <c r="U25" s="219">
        <f t="shared" si="11"/>
        <v>6.7501559897209518E-14</v>
      </c>
      <c r="V25" s="76">
        <f t="shared" si="12"/>
        <v>0</v>
      </c>
      <c r="W25" s="63">
        <f t="shared" si="7"/>
        <v>0</v>
      </c>
      <c r="Z25" s="142">
        <v>4.54</v>
      </c>
      <c r="AA25" s="15"/>
      <c r="AB25" s="62">
        <f t="shared" si="4"/>
        <v>0</v>
      </c>
      <c r="AC25" s="1011"/>
      <c r="AD25" s="62">
        <f t="shared" si="5"/>
        <v>0</v>
      </c>
      <c r="AE25" s="987"/>
      <c r="AF25" s="63"/>
      <c r="AG25" s="219">
        <f t="shared" si="13"/>
        <v>1112.3</v>
      </c>
      <c r="AH25" s="76">
        <f t="shared" si="14"/>
        <v>245</v>
      </c>
      <c r="AI25" s="63">
        <f t="shared" si="8"/>
        <v>0</v>
      </c>
    </row>
    <row r="26" spans="2:35" x14ac:dyDescent="0.25">
      <c r="B26" s="142">
        <v>4.54</v>
      </c>
      <c r="C26" s="15"/>
      <c r="D26" s="62">
        <f t="shared" si="0"/>
        <v>0</v>
      </c>
      <c r="E26" s="1011"/>
      <c r="F26" s="62">
        <f t="shared" si="1"/>
        <v>0</v>
      </c>
      <c r="G26" s="987"/>
      <c r="H26" s="63"/>
      <c r="I26" s="219">
        <f t="shared" si="9"/>
        <v>0</v>
      </c>
      <c r="J26" s="76">
        <f t="shared" si="10"/>
        <v>0</v>
      </c>
      <c r="K26" s="63">
        <f t="shared" si="6"/>
        <v>0</v>
      </c>
      <c r="N26" s="142">
        <v>4.54</v>
      </c>
      <c r="O26" s="15"/>
      <c r="P26" s="72">
        <f t="shared" si="15"/>
        <v>0</v>
      </c>
      <c r="Q26" s="225"/>
      <c r="R26" s="72">
        <f t="shared" si="16"/>
        <v>0</v>
      </c>
      <c r="S26" s="73"/>
      <c r="T26" s="74"/>
      <c r="U26" s="219">
        <f t="shared" si="11"/>
        <v>6.7501559897209518E-14</v>
      </c>
      <c r="V26" s="76">
        <f t="shared" si="12"/>
        <v>0</v>
      </c>
      <c r="W26" s="63">
        <f t="shared" si="7"/>
        <v>0</v>
      </c>
      <c r="Z26" s="142">
        <v>4.54</v>
      </c>
      <c r="AA26" s="15"/>
      <c r="AB26" s="62">
        <f t="shared" si="4"/>
        <v>0</v>
      </c>
      <c r="AC26" s="1011"/>
      <c r="AD26" s="62">
        <f t="shared" si="5"/>
        <v>0</v>
      </c>
      <c r="AE26" s="987"/>
      <c r="AF26" s="63"/>
      <c r="AG26" s="219">
        <f t="shared" si="13"/>
        <v>1112.3</v>
      </c>
      <c r="AH26" s="76">
        <f t="shared" si="14"/>
        <v>245</v>
      </c>
      <c r="AI26" s="63">
        <f t="shared" si="8"/>
        <v>0</v>
      </c>
    </row>
    <row r="27" spans="2:35" x14ac:dyDescent="0.25">
      <c r="B27" s="142">
        <v>4.54</v>
      </c>
      <c r="C27" s="15"/>
      <c r="D27" s="62">
        <f t="shared" si="0"/>
        <v>0</v>
      </c>
      <c r="E27" s="1011"/>
      <c r="F27" s="62">
        <f t="shared" si="1"/>
        <v>0</v>
      </c>
      <c r="G27" s="987"/>
      <c r="H27" s="63"/>
      <c r="I27" s="219">
        <f t="shared" si="9"/>
        <v>0</v>
      </c>
      <c r="J27" s="76">
        <f t="shared" si="10"/>
        <v>0</v>
      </c>
      <c r="K27" s="63">
        <f t="shared" si="6"/>
        <v>0</v>
      </c>
      <c r="N27" s="142">
        <v>4.54</v>
      </c>
      <c r="O27" s="15"/>
      <c r="P27" s="62">
        <f t="shared" si="15"/>
        <v>0</v>
      </c>
      <c r="Q27" s="1011"/>
      <c r="R27" s="62">
        <f t="shared" si="16"/>
        <v>0</v>
      </c>
      <c r="S27" s="987"/>
      <c r="T27" s="63"/>
      <c r="U27" s="219">
        <f t="shared" si="11"/>
        <v>6.7501559897209518E-14</v>
      </c>
      <c r="V27" s="76">
        <f t="shared" si="12"/>
        <v>0</v>
      </c>
      <c r="W27" s="63">
        <f t="shared" si="7"/>
        <v>0</v>
      </c>
      <c r="Z27" s="142">
        <v>4.54</v>
      </c>
      <c r="AA27" s="15"/>
      <c r="AB27" s="62">
        <f t="shared" si="4"/>
        <v>0</v>
      </c>
      <c r="AC27" s="1011"/>
      <c r="AD27" s="62">
        <f t="shared" si="5"/>
        <v>0</v>
      </c>
      <c r="AE27" s="987"/>
      <c r="AF27" s="63"/>
      <c r="AG27" s="219">
        <f t="shared" si="13"/>
        <v>1112.3</v>
      </c>
      <c r="AH27" s="76">
        <f t="shared" si="14"/>
        <v>245</v>
      </c>
      <c r="AI27" s="63">
        <f t="shared" si="8"/>
        <v>0</v>
      </c>
    </row>
    <row r="28" spans="2:35" x14ac:dyDescent="0.25">
      <c r="B28" s="142">
        <v>4.54</v>
      </c>
      <c r="C28" s="15"/>
      <c r="D28" s="62">
        <f t="shared" si="0"/>
        <v>0</v>
      </c>
      <c r="E28" s="1011"/>
      <c r="F28" s="62">
        <f t="shared" si="1"/>
        <v>0</v>
      </c>
      <c r="G28" s="987"/>
      <c r="H28" s="63"/>
      <c r="I28" s="219">
        <f t="shared" si="9"/>
        <v>0</v>
      </c>
      <c r="J28" s="76">
        <f t="shared" si="10"/>
        <v>0</v>
      </c>
      <c r="K28" s="63">
        <f t="shared" si="6"/>
        <v>0</v>
      </c>
      <c r="N28" s="142">
        <v>4.54</v>
      </c>
      <c r="O28" s="15"/>
      <c r="P28" s="62">
        <f t="shared" si="15"/>
        <v>0</v>
      </c>
      <c r="Q28" s="1011"/>
      <c r="R28" s="62">
        <f t="shared" si="16"/>
        <v>0</v>
      </c>
      <c r="S28" s="987"/>
      <c r="T28" s="63"/>
      <c r="U28" s="219">
        <f t="shared" si="11"/>
        <v>6.7501559897209518E-14</v>
      </c>
      <c r="V28" s="76">
        <f t="shared" si="12"/>
        <v>0</v>
      </c>
      <c r="W28" s="63">
        <f t="shared" si="7"/>
        <v>0</v>
      </c>
      <c r="Z28" s="142">
        <v>4.54</v>
      </c>
      <c r="AA28" s="15"/>
      <c r="AB28" s="62">
        <f t="shared" si="4"/>
        <v>0</v>
      </c>
      <c r="AC28" s="1011"/>
      <c r="AD28" s="62">
        <f t="shared" si="5"/>
        <v>0</v>
      </c>
      <c r="AE28" s="987"/>
      <c r="AF28" s="63"/>
      <c r="AG28" s="219">
        <f t="shared" si="13"/>
        <v>1112.3</v>
      </c>
      <c r="AH28" s="76">
        <f t="shared" si="14"/>
        <v>245</v>
      </c>
      <c r="AI28" s="63">
        <f t="shared" si="8"/>
        <v>0</v>
      </c>
    </row>
    <row r="29" spans="2:35" x14ac:dyDescent="0.25">
      <c r="B29" s="142">
        <v>4.54</v>
      </c>
      <c r="C29" s="15"/>
      <c r="D29" s="62">
        <f t="shared" si="0"/>
        <v>0</v>
      </c>
      <c r="E29" s="1011"/>
      <c r="F29" s="62">
        <f t="shared" si="1"/>
        <v>0</v>
      </c>
      <c r="G29" s="987"/>
      <c r="H29" s="63"/>
      <c r="I29" s="219">
        <f t="shared" si="9"/>
        <v>0</v>
      </c>
      <c r="J29" s="76">
        <f t="shared" si="10"/>
        <v>0</v>
      </c>
      <c r="K29" s="63">
        <f t="shared" si="6"/>
        <v>0</v>
      </c>
      <c r="N29" s="142">
        <v>4.54</v>
      </c>
      <c r="O29" s="15"/>
      <c r="P29" s="62">
        <f t="shared" si="15"/>
        <v>0</v>
      </c>
      <c r="Q29" s="1011"/>
      <c r="R29" s="62">
        <f t="shared" si="16"/>
        <v>0</v>
      </c>
      <c r="S29" s="987"/>
      <c r="T29" s="63"/>
      <c r="U29" s="219">
        <f t="shared" si="11"/>
        <v>6.7501559897209518E-14</v>
      </c>
      <c r="V29" s="76">
        <f t="shared" si="12"/>
        <v>0</v>
      </c>
      <c r="W29" s="63">
        <f t="shared" si="7"/>
        <v>0</v>
      </c>
      <c r="Z29" s="142">
        <v>4.54</v>
      </c>
      <c r="AA29" s="15"/>
      <c r="AB29" s="62">
        <f t="shared" si="4"/>
        <v>0</v>
      </c>
      <c r="AC29" s="1011"/>
      <c r="AD29" s="62">
        <f t="shared" si="5"/>
        <v>0</v>
      </c>
      <c r="AE29" s="987"/>
      <c r="AF29" s="63"/>
      <c r="AG29" s="219">
        <f t="shared" si="13"/>
        <v>1112.3</v>
      </c>
      <c r="AH29" s="76">
        <f t="shared" si="14"/>
        <v>245</v>
      </c>
      <c r="AI29" s="63">
        <f t="shared" si="8"/>
        <v>0</v>
      </c>
    </row>
    <row r="30" spans="2:35" x14ac:dyDescent="0.25">
      <c r="B30" s="142">
        <v>4.54</v>
      </c>
      <c r="C30" s="15"/>
      <c r="D30" s="62">
        <f t="shared" si="0"/>
        <v>0</v>
      </c>
      <c r="E30" s="1011"/>
      <c r="F30" s="62">
        <f t="shared" si="1"/>
        <v>0</v>
      </c>
      <c r="G30" s="987"/>
      <c r="H30" s="63"/>
      <c r="I30" s="219">
        <f t="shared" si="9"/>
        <v>0</v>
      </c>
      <c r="J30" s="76">
        <f t="shared" si="10"/>
        <v>0</v>
      </c>
      <c r="K30" s="63">
        <f t="shared" si="6"/>
        <v>0</v>
      </c>
      <c r="N30" s="142">
        <v>4.54</v>
      </c>
      <c r="O30" s="15"/>
      <c r="P30" s="62">
        <f t="shared" si="15"/>
        <v>0</v>
      </c>
      <c r="Q30" s="1011"/>
      <c r="R30" s="62">
        <f t="shared" si="16"/>
        <v>0</v>
      </c>
      <c r="S30" s="987"/>
      <c r="T30" s="63"/>
      <c r="U30" s="219">
        <f t="shared" si="11"/>
        <v>6.7501559897209518E-14</v>
      </c>
      <c r="V30" s="76">
        <f t="shared" si="12"/>
        <v>0</v>
      </c>
      <c r="W30" s="63">
        <f t="shared" si="7"/>
        <v>0</v>
      </c>
      <c r="Z30" s="142">
        <v>4.54</v>
      </c>
      <c r="AA30" s="15"/>
      <c r="AB30" s="62">
        <f t="shared" si="4"/>
        <v>0</v>
      </c>
      <c r="AC30" s="1011"/>
      <c r="AD30" s="62">
        <f t="shared" si="5"/>
        <v>0</v>
      </c>
      <c r="AE30" s="987"/>
      <c r="AF30" s="63"/>
      <c r="AG30" s="219">
        <f t="shared" si="13"/>
        <v>1112.3</v>
      </c>
      <c r="AH30" s="76">
        <f t="shared" si="14"/>
        <v>245</v>
      </c>
      <c r="AI30" s="63">
        <f t="shared" si="8"/>
        <v>0</v>
      </c>
    </row>
    <row r="31" spans="2:35" x14ac:dyDescent="0.25">
      <c r="B31" s="142">
        <v>4.54</v>
      </c>
      <c r="C31" s="15"/>
      <c r="D31" s="62">
        <f t="shared" si="0"/>
        <v>0</v>
      </c>
      <c r="E31" s="1011"/>
      <c r="F31" s="62">
        <f t="shared" si="1"/>
        <v>0</v>
      </c>
      <c r="G31" s="987"/>
      <c r="H31" s="63"/>
      <c r="I31" s="219">
        <f t="shared" si="9"/>
        <v>0</v>
      </c>
      <c r="J31" s="76">
        <f t="shared" si="10"/>
        <v>0</v>
      </c>
      <c r="K31" s="63">
        <f t="shared" si="6"/>
        <v>0</v>
      </c>
      <c r="N31" s="142">
        <v>4.54</v>
      </c>
      <c r="O31" s="15"/>
      <c r="P31" s="62">
        <f t="shared" si="15"/>
        <v>0</v>
      </c>
      <c r="Q31" s="1011"/>
      <c r="R31" s="62">
        <f t="shared" si="16"/>
        <v>0</v>
      </c>
      <c r="S31" s="987"/>
      <c r="T31" s="63"/>
      <c r="U31" s="219">
        <f t="shared" si="11"/>
        <v>6.7501559897209518E-14</v>
      </c>
      <c r="V31" s="76">
        <f t="shared" si="12"/>
        <v>0</v>
      </c>
      <c r="W31" s="63">
        <f t="shared" si="7"/>
        <v>0</v>
      </c>
      <c r="Z31" s="142">
        <v>4.54</v>
      </c>
      <c r="AA31" s="15"/>
      <c r="AB31" s="62">
        <f t="shared" si="4"/>
        <v>0</v>
      </c>
      <c r="AC31" s="1011"/>
      <c r="AD31" s="62">
        <f t="shared" si="5"/>
        <v>0</v>
      </c>
      <c r="AE31" s="987"/>
      <c r="AF31" s="63"/>
      <c r="AG31" s="219">
        <f t="shared" si="13"/>
        <v>1112.3</v>
      </c>
      <c r="AH31" s="76">
        <f t="shared" si="14"/>
        <v>245</v>
      </c>
      <c r="AI31" s="63">
        <f t="shared" si="8"/>
        <v>0</v>
      </c>
    </row>
    <row r="32" spans="2:35" x14ac:dyDescent="0.25">
      <c r="B32" s="142">
        <v>4.54</v>
      </c>
      <c r="C32" s="15"/>
      <c r="D32" s="62">
        <f t="shared" si="0"/>
        <v>0</v>
      </c>
      <c r="E32" s="1011"/>
      <c r="F32" s="62">
        <f>D32</f>
        <v>0</v>
      </c>
      <c r="G32" s="987"/>
      <c r="H32" s="63"/>
      <c r="I32" s="219">
        <f t="shared" si="9"/>
        <v>0</v>
      </c>
      <c r="J32" s="76">
        <f t="shared" si="10"/>
        <v>0</v>
      </c>
      <c r="K32" s="63">
        <f t="shared" si="6"/>
        <v>0</v>
      </c>
      <c r="N32" s="142">
        <v>4.54</v>
      </c>
      <c r="O32" s="15"/>
      <c r="P32" s="62">
        <f t="shared" si="15"/>
        <v>0</v>
      </c>
      <c r="Q32" s="1011"/>
      <c r="R32" s="62">
        <f>P32</f>
        <v>0</v>
      </c>
      <c r="S32" s="987"/>
      <c r="T32" s="63"/>
      <c r="U32" s="219">
        <f t="shared" si="11"/>
        <v>6.7501559897209518E-14</v>
      </c>
      <c r="V32" s="76">
        <f t="shared" si="12"/>
        <v>0</v>
      </c>
      <c r="W32" s="63">
        <f t="shared" si="7"/>
        <v>0</v>
      </c>
      <c r="Z32" s="142">
        <v>4.54</v>
      </c>
      <c r="AA32" s="15"/>
      <c r="AB32" s="62">
        <f t="shared" si="4"/>
        <v>0</v>
      </c>
      <c r="AC32" s="1011"/>
      <c r="AD32" s="62">
        <f>AB32</f>
        <v>0</v>
      </c>
      <c r="AE32" s="987"/>
      <c r="AF32" s="63"/>
      <c r="AG32" s="219">
        <f t="shared" si="13"/>
        <v>1112.3</v>
      </c>
      <c r="AH32" s="76">
        <f t="shared" si="14"/>
        <v>245</v>
      </c>
      <c r="AI32" s="63">
        <f t="shared" si="8"/>
        <v>0</v>
      </c>
    </row>
    <row r="33" spans="1:35" x14ac:dyDescent="0.25">
      <c r="B33" s="142">
        <v>4.54</v>
      </c>
      <c r="C33" s="15"/>
      <c r="D33" s="72">
        <f t="shared" si="0"/>
        <v>0</v>
      </c>
      <c r="E33" s="863"/>
      <c r="F33" s="72">
        <f>D33</f>
        <v>0</v>
      </c>
      <c r="G33" s="73"/>
      <c r="H33" s="74"/>
      <c r="I33" s="219">
        <f t="shared" si="9"/>
        <v>0</v>
      </c>
      <c r="J33" s="76">
        <f t="shared" si="10"/>
        <v>0</v>
      </c>
      <c r="K33" s="63">
        <f t="shared" si="6"/>
        <v>0</v>
      </c>
      <c r="N33" s="142">
        <v>4.54</v>
      </c>
      <c r="O33" s="15"/>
      <c r="P33" s="72">
        <f t="shared" si="15"/>
        <v>0</v>
      </c>
      <c r="Q33" s="863"/>
      <c r="R33" s="72">
        <f>P33</f>
        <v>0</v>
      </c>
      <c r="S33" s="73"/>
      <c r="T33" s="74"/>
      <c r="U33" s="219">
        <f t="shared" si="11"/>
        <v>6.7501559897209518E-14</v>
      </c>
      <c r="V33" s="76">
        <f t="shared" si="12"/>
        <v>0</v>
      </c>
      <c r="W33" s="63">
        <f t="shared" si="7"/>
        <v>0</v>
      </c>
      <c r="Z33" s="142">
        <v>4.54</v>
      </c>
      <c r="AA33" s="15"/>
      <c r="AB33" s="72">
        <f t="shared" si="4"/>
        <v>0</v>
      </c>
      <c r="AC33" s="863"/>
      <c r="AD33" s="72">
        <f>AB33</f>
        <v>0</v>
      </c>
      <c r="AE33" s="73"/>
      <c r="AF33" s="74"/>
      <c r="AG33" s="219">
        <f t="shared" si="13"/>
        <v>1112.3</v>
      </c>
      <c r="AH33" s="76">
        <f t="shared" si="14"/>
        <v>245</v>
      </c>
      <c r="AI33" s="63">
        <f t="shared" si="8"/>
        <v>0</v>
      </c>
    </row>
    <row r="34" spans="1:35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17">D34</f>
        <v>0</v>
      </c>
      <c r="G34" s="73"/>
      <c r="H34" s="74"/>
      <c r="I34" s="219">
        <f t="shared" si="9"/>
        <v>0</v>
      </c>
      <c r="J34" s="76">
        <f t="shared" si="10"/>
        <v>0</v>
      </c>
      <c r="K34" s="63">
        <f t="shared" si="6"/>
        <v>0</v>
      </c>
      <c r="N34" s="142">
        <v>4.54</v>
      </c>
      <c r="O34" s="15"/>
      <c r="P34" s="72">
        <f t="shared" si="15"/>
        <v>0</v>
      </c>
      <c r="Q34" s="143"/>
      <c r="R34" s="72">
        <f t="shared" ref="R34:R69" si="18">P34</f>
        <v>0</v>
      </c>
      <c r="S34" s="73"/>
      <c r="T34" s="74"/>
      <c r="U34" s="219">
        <f t="shared" si="11"/>
        <v>6.7501559897209518E-14</v>
      </c>
      <c r="V34" s="76">
        <f t="shared" si="12"/>
        <v>0</v>
      </c>
      <c r="W34" s="63">
        <f t="shared" si="7"/>
        <v>0</v>
      </c>
      <c r="Z34" s="142">
        <v>4.54</v>
      </c>
      <c r="AA34" s="15"/>
      <c r="AB34" s="72">
        <f t="shared" si="4"/>
        <v>0</v>
      </c>
      <c r="AC34" s="143"/>
      <c r="AD34" s="72">
        <f t="shared" ref="AD34:AD69" si="19">AB34</f>
        <v>0</v>
      </c>
      <c r="AE34" s="73"/>
      <c r="AF34" s="74"/>
      <c r="AG34" s="219">
        <f t="shared" si="13"/>
        <v>1112.3</v>
      </c>
      <c r="AH34" s="76">
        <f t="shared" si="14"/>
        <v>245</v>
      </c>
      <c r="AI34" s="63">
        <f t="shared" si="8"/>
        <v>0</v>
      </c>
    </row>
    <row r="35" spans="1:35" x14ac:dyDescent="0.25">
      <c r="B35" s="142">
        <v>4.54</v>
      </c>
      <c r="C35" s="15"/>
      <c r="D35" s="72">
        <f t="shared" si="0"/>
        <v>0</v>
      </c>
      <c r="E35" s="143"/>
      <c r="F35" s="72">
        <f t="shared" si="17"/>
        <v>0</v>
      </c>
      <c r="G35" s="73"/>
      <c r="H35" s="74"/>
      <c r="I35" s="219">
        <f t="shared" si="9"/>
        <v>0</v>
      </c>
      <c r="J35" s="76">
        <f t="shared" si="10"/>
        <v>0</v>
      </c>
      <c r="K35" s="63">
        <f t="shared" si="6"/>
        <v>0</v>
      </c>
      <c r="N35" s="142">
        <v>4.54</v>
      </c>
      <c r="O35" s="15"/>
      <c r="P35" s="72">
        <f t="shared" si="15"/>
        <v>0</v>
      </c>
      <c r="Q35" s="143"/>
      <c r="R35" s="72">
        <f t="shared" si="18"/>
        <v>0</v>
      </c>
      <c r="S35" s="73"/>
      <c r="T35" s="74"/>
      <c r="U35" s="219">
        <f t="shared" si="11"/>
        <v>6.7501559897209518E-14</v>
      </c>
      <c r="V35" s="76">
        <f t="shared" si="12"/>
        <v>0</v>
      </c>
      <c r="W35" s="63">
        <f t="shared" si="7"/>
        <v>0</v>
      </c>
      <c r="Z35" s="142">
        <v>4.54</v>
      </c>
      <c r="AA35" s="15"/>
      <c r="AB35" s="72">
        <f t="shared" si="4"/>
        <v>0</v>
      </c>
      <c r="AC35" s="143"/>
      <c r="AD35" s="72">
        <f t="shared" si="19"/>
        <v>0</v>
      </c>
      <c r="AE35" s="73"/>
      <c r="AF35" s="74"/>
      <c r="AG35" s="219">
        <f t="shared" si="13"/>
        <v>1112.3</v>
      </c>
      <c r="AH35" s="76">
        <f t="shared" si="14"/>
        <v>245</v>
      </c>
      <c r="AI35" s="63">
        <f t="shared" si="8"/>
        <v>0</v>
      </c>
    </row>
    <row r="36" spans="1:35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17"/>
        <v>0</v>
      </c>
      <c r="G36" s="73"/>
      <c r="H36" s="74"/>
      <c r="I36" s="219">
        <f t="shared" si="9"/>
        <v>0</v>
      </c>
      <c r="J36" s="76">
        <f t="shared" si="10"/>
        <v>0</v>
      </c>
      <c r="K36" s="63">
        <f t="shared" si="6"/>
        <v>0</v>
      </c>
      <c r="M36" s="79"/>
      <c r="N36" s="142">
        <v>4.54</v>
      </c>
      <c r="O36" s="15"/>
      <c r="P36" s="72">
        <f t="shared" si="15"/>
        <v>0</v>
      </c>
      <c r="Q36" s="143"/>
      <c r="R36" s="72">
        <f t="shared" si="18"/>
        <v>0</v>
      </c>
      <c r="S36" s="73"/>
      <c r="T36" s="74"/>
      <c r="U36" s="219">
        <f t="shared" si="11"/>
        <v>6.7501559897209518E-14</v>
      </c>
      <c r="V36" s="76">
        <f t="shared" si="12"/>
        <v>0</v>
      </c>
      <c r="W36" s="63">
        <f t="shared" si="7"/>
        <v>0</v>
      </c>
      <c r="Y36" s="79"/>
      <c r="Z36" s="142">
        <v>4.54</v>
      </c>
      <c r="AA36" s="15"/>
      <c r="AB36" s="72">
        <f t="shared" si="4"/>
        <v>0</v>
      </c>
      <c r="AC36" s="143"/>
      <c r="AD36" s="72">
        <f t="shared" si="19"/>
        <v>0</v>
      </c>
      <c r="AE36" s="73"/>
      <c r="AF36" s="74"/>
      <c r="AG36" s="219">
        <f t="shared" si="13"/>
        <v>1112.3</v>
      </c>
      <c r="AH36" s="76">
        <f t="shared" si="14"/>
        <v>245</v>
      </c>
      <c r="AI36" s="63">
        <f t="shared" si="8"/>
        <v>0</v>
      </c>
    </row>
    <row r="37" spans="1:35" x14ac:dyDescent="0.25">
      <c r="B37" s="142">
        <v>4.54</v>
      </c>
      <c r="C37" s="15"/>
      <c r="D37" s="72">
        <f t="shared" si="0"/>
        <v>0</v>
      </c>
      <c r="E37" s="143"/>
      <c r="F37" s="72">
        <f t="shared" si="17"/>
        <v>0</v>
      </c>
      <c r="G37" s="73"/>
      <c r="H37" s="74"/>
      <c r="I37" s="219">
        <f t="shared" si="9"/>
        <v>0</v>
      </c>
      <c r="J37" s="76">
        <f t="shared" si="10"/>
        <v>0</v>
      </c>
      <c r="K37" s="63">
        <f t="shared" si="6"/>
        <v>0</v>
      </c>
      <c r="N37" s="142">
        <v>4.54</v>
      </c>
      <c r="O37" s="15"/>
      <c r="P37" s="72">
        <f t="shared" si="15"/>
        <v>0</v>
      </c>
      <c r="Q37" s="143"/>
      <c r="R37" s="72">
        <f t="shared" si="18"/>
        <v>0</v>
      </c>
      <c r="S37" s="73"/>
      <c r="T37" s="74"/>
      <c r="U37" s="219">
        <f t="shared" si="11"/>
        <v>6.7501559897209518E-14</v>
      </c>
      <c r="V37" s="76">
        <f t="shared" si="12"/>
        <v>0</v>
      </c>
      <c r="W37" s="63">
        <f t="shared" si="7"/>
        <v>0</v>
      </c>
      <c r="Z37" s="142">
        <v>4.54</v>
      </c>
      <c r="AA37" s="15"/>
      <c r="AB37" s="72">
        <f t="shared" si="4"/>
        <v>0</v>
      </c>
      <c r="AC37" s="143"/>
      <c r="AD37" s="72">
        <f t="shared" si="19"/>
        <v>0</v>
      </c>
      <c r="AE37" s="73"/>
      <c r="AF37" s="74"/>
      <c r="AG37" s="219">
        <f t="shared" si="13"/>
        <v>1112.3</v>
      </c>
      <c r="AH37" s="76">
        <f t="shared" si="14"/>
        <v>245</v>
      </c>
      <c r="AI37" s="63">
        <f t="shared" si="8"/>
        <v>0</v>
      </c>
    </row>
    <row r="38" spans="1:35" x14ac:dyDescent="0.25">
      <c r="B38" s="142">
        <v>4.54</v>
      </c>
      <c r="C38" s="15"/>
      <c r="D38" s="72">
        <f t="shared" si="0"/>
        <v>0</v>
      </c>
      <c r="E38" s="225"/>
      <c r="F38" s="72">
        <f t="shared" si="17"/>
        <v>0</v>
      </c>
      <c r="G38" s="73"/>
      <c r="H38" s="74"/>
      <c r="I38" s="219">
        <f t="shared" si="9"/>
        <v>0</v>
      </c>
      <c r="J38" s="76">
        <f t="shared" si="10"/>
        <v>0</v>
      </c>
      <c r="K38" s="63">
        <f t="shared" si="6"/>
        <v>0</v>
      </c>
      <c r="N38" s="142">
        <v>4.54</v>
      </c>
      <c r="O38" s="15"/>
      <c r="P38" s="72">
        <f t="shared" si="15"/>
        <v>0</v>
      </c>
      <c r="Q38" s="225"/>
      <c r="R38" s="72">
        <f t="shared" si="18"/>
        <v>0</v>
      </c>
      <c r="S38" s="73"/>
      <c r="T38" s="74"/>
      <c r="U38" s="219">
        <f t="shared" si="11"/>
        <v>6.7501559897209518E-14</v>
      </c>
      <c r="V38" s="76">
        <f t="shared" si="12"/>
        <v>0</v>
      </c>
      <c r="W38" s="63">
        <f t="shared" si="7"/>
        <v>0</v>
      </c>
      <c r="Z38" s="142">
        <v>4.54</v>
      </c>
      <c r="AA38" s="15"/>
      <c r="AB38" s="72">
        <f t="shared" si="4"/>
        <v>0</v>
      </c>
      <c r="AC38" s="225"/>
      <c r="AD38" s="72">
        <f t="shared" si="19"/>
        <v>0</v>
      </c>
      <c r="AE38" s="73"/>
      <c r="AF38" s="74"/>
      <c r="AG38" s="219">
        <f t="shared" si="13"/>
        <v>1112.3</v>
      </c>
      <c r="AH38" s="76">
        <f t="shared" si="14"/>
        <v>245</v>
      </c>
      <c r="AI38" s="63">
        <f t="shared" si="8"/>
        <v>0</v>
      </c>
    </row>
    <row r="39" spans="1:35" x14ac:dyDescent="0.25">
      <c r="B39" s="142">
        <v>4.54</v>
      </c>
      <c r="C39" s="15"/>
      <c r="D39" s="249">
        <f t="shared" si="0"/>
        <v>0</v>
      </c>
      <c r="E39" s="904"/>
      <c r="F39" s="249">
        <f t="shared" si="17"/>
        <v>0</v>
      </c>
      <c r="G39" s="188"/>
      <c r="H39" s="124"/>
      <c r="I39" s="905">
        <f t="shared" si="9"/>
        <v>0</v>
      </c>
      <c r="J39" s="76">
        <f t="shared" si="10"/>
        <v>0</v>
      </c>
      <c r="K39" s="63">
        <f t="shared" si="6"/>
        <v>0</v>
      </c>
      <c r="N39" s="142">
        <v>4.54</v>
      </c>
      <c r="O39" s="15"/>
      <c r="P39" s="249">
        <f t="shared" si="15"/>
        <v>0</v>
      </c>
      <c r="Q39" s="904"/>
      <c r="R39" s="249">
        <f t="shared" si="18"/>
        <v>0</v>
      </c>
      <c r="S39" s="188"/>
      <c r="T39" s="124"/>
      <c r="U39" s="905">
        <f t="shared" si="11"/>
        <v>6.7501559897209518E-14</v>
      </c>
      <c r="V39" s="76">
        <f t="shared" si="12"/>
        <v>0</v>
      </c>
      <c r="W39" s="63">
        <f t="shared" si="7"/>
        <v>0</v>
      </c>
      <c r="Z39" s="142">
        <v>4.54</v>
      </c>
      <c r="AA39" s="15"/>
      <c r="AB39" s="249">
        <f t="shared" si="4"/>
        <v>0</v>
      </c>
      <c r="AC39" s="904"/>
      <c r="AD39" s="249">
        <f t="shared" si="19"/>
        <v>0</v>
      </c>
      <c r="AE39" s="188"/>
      <c r="AF39" s="124"/>
      <c r="AG39" s="905">
        <f t="shared" si="13"/>
        <v>1112.3</v>
      </c>
      <c r="AH39" s="76">
        <f t="shared" si="14"/>
        <v>245</v>
      </c>
      <c r="AI39" s="63">
        <f t="shared" si="8"/>
        <v>0</v>
      </c>
    </row>
    <row r="40" spans="1:35" x14ac:dyDescent="0.25">
      <c r="B40" s="142">
        <v>4.54</v>
      </c>
      <c r="C40" s="15"/>
      <c r="D40" s="249">
        <f t="shared" si="0"/>
        <v>0</v>
      </c>
      <c r="E40" s="904"/>
      <c r="F40" s="249">
        <f t="shared" si="17"/>
        <v>0</v>
      </c>
      <c r="G40" s="188"/>
      <c r="H40" s="124"/>
      <c r="I40" s="905">
        <f t="shared" si="9"/>
        <v>0</v>
      </c>
      <c r="J40" s="76">
        <f t="shared" si="10"/>
        <v>0</v>
      </c>
      <c r="K40" s="63">
        <f t="shared" si="6"/>
        <v>0</v>
      </c>
      <c r="N40" s="142">
        <v>4.54</v>
      </c>
      <c r="O40" s="15"/>
      <c r="P40" s="249">
        <f t="shared" si="15"/>
        <v>0</v>
      </c>
      <c r="Q40" s="904"/>
      <c r="R40" s="249">
        <f t="shared" si="18"/>
        <v>0</v>
      </c>
      <c r="S40" s="188"/>
      <c r="T40" s="124"/>
      <c r="U40" s="905">
        <f t="shared" si="11"/>
        <v>6.7501559897209518E-14</v>
      </c>
      <c r="V40" s="76">
        <f t="shared" si="12"/>
        <v>0</v>
      </c>
      <c r="W40" s="63">
        <f t="shared" si="7"/>
        <v>0</v>
      </c>
      <c r="Z40" s="142">
        <v>4.54</v>
      </c>
      <c r="AA40" s="15"/>
      <c r="AB40" s="249">
        <f t="shared" si="4"/>
        <v>0</v>
      </c>
      <c r="AC40" s="904"/>
      <c r="AD40" s="249">
        <f t="shared" si="19"/>
        <v>0</v>
      </c>
      <c r="AE40" s="188"/>
      <c r="AF40" s="124"/>
      <c r="AG40" s="905">
        <f t="shared" si="13"/>
        <v>1112.3</v>
      </c>
      <c r="AH40" s="76">
        <f t="shared" si="14"/>
        <v>245</v>
      </c>
      <c r="AI40" s="63">
        <f t="shared" si="8"/>
        <v>0</v>
      </c>
    </row>
    <row r="41" spans="1:35" x14ac:dyDescent="0.25">
      <c r="B41" s="142">
        <v>4.54</v>
      </c>
      <c r="C41" s="15"/>
      <c r="D41" s="249">
        <f t="shared" si="0"/>
        <v>0</v>
      </c>
      <c r="E41" s="904"/>
      <c r="F41" s="249">
        <f t="shared" si="17"/>
        <v>0</v>
      </c>
      <c r="G41" s="188"/>
      <c r="H41" s="124"/>
      <c r="I41" s="905">
        <f t="shared" si="9"/>
        <v>0</v>
      </c>
      <c r="J41" s="76">
        <f t="shared" si="10"/>
        <v>0</v>
      </c>
      <c r="K41" s="63">
        <f t="shared" si="6"/>
        <v>0</v>
      </c>
      <c r="N41" s="142">
        <v>4.54</v>
      </c>
      <c r="O41" s="15"/>
      <c r="P41" s="249">
        <f t="shared" si="15"/>
        <v>0</v>
      </c>
      <c r="Q41" s="904"/>
      <c r="R41" s="249">
        <f t="shared" si="18"/>
        <v>0</v>
      </c>
      <c r="S41" s="188"/>
      <c r="T41" s="124"/>
      <c r="U41" s="905">
        <f t="shared" si="11"/>
        <v>6.7501559897209518E-14</v>
      </c>
      <c r="V41" s="76">
        <f t="shared" si="12"/>
        <v>0</v>
      </c>
      <c r="W41" s="63">
        <f t="shared" si="7"/>
        <v>0</v>
      </c>
      <c r="Z41" s="142">
        <v>4.54</v>
      </c>
      <c r="AA41" s="15"/>
      <c r="AB41" s="249">
        <f t="shared" si="4"/>
        <v>0</v>
      </c>
      <c r="AC41" s="904"/>
      <c r="AD41" s="249">
        <f t="shared" si="19"/>
        <v>0</v>
      </c>
      <c r="AE41" s="188"/>
      <c r="AF41" s="124"/>
      <c r="AG41" s="905">
        <f t="shared" si="13"/>
        <v>1112.3</v>
      </c>
      <c r="AH41" s="76">
        <f t="shared" si="14"/>
        <v>245</v>
      </c>
      <c r="AI41" s="63">
        <f t="shared" si="8"/>
        <v>0</v>
      </c>
    </row>
    <row r="42" spans="1:35" x14ac:dyDescent="0.25">
      <c r="B42" s="142">
        <v>4.54</v>
      </c>
      <c r="C42" s="15"/>
      <c r="D42" s="249">
        <f t="shared" si="0"/>
        <v>0</v>
      </c>
      <c r="E42" s="904"/>
      <c r="F42" s="249">
        <f t="shared" si="17"/>
        <v>0</v>
      </c>
      <c r="G42" s="188"/>
      <c r="H42" s="124"/>
      <c r="I42" s="905">
        <f t="shared" si="9"/>
        <v>0</v>
      </c>
      <c r="J42" s="76">
        <f t="shared" si="10"/>
        <v>0</v>
      </c>
      <c r="K42" s="63">
        <f t="shared" si="6"/>
        <v>0</v>
      </c>
      <c r="N42" s="142">
        <v>4.54</v>
      </c>
      <c r="O42" s="15"/>
      <c r="P42" s="249">
        <f t="shared" si="15"/>
        <v>0</v>
      </c>
      <c r="Q42" s="904"/>
      <c r="R42" s="249">
        <f t="shared" si="18"/>
        <v>0</v>
      </c>
      <c r="S42" s="188"/>
      <c r="T42" s="124"/>
      <c r="U42" s="905">
        <f t="shared" si="11"/>
        <v>6.7501559897209518E-14</v>
      </c>
      <c r="V42" s="76">
        <f t="shared" si="12"/>
        <v>0</v>
      </c>
      <c r="W42" s="63">
        <f t="shared" si="7"/>
        <v>0</v>
      </c>
      <c r="Z42" s="142">
        <v>4.54</v>
      </c>
      <c r="AA42" s="15"/>
      <c r="AB42" s="249">
        <f t="shared" si="4"/>
        <v>0</v>
      </c>
      <c r="AC42" s="904"/>
      <c r="AD42" s="249">
        <f t="shared" si="19"/>
        <v>0</v>
      </c>
      <c r="AE42" s="188"/>
      <c r="AF42" s="124"/>
      <c r="AG42" s="905">
        <f t="shared" si="13"/>
        <v>1112.3</v>
      </c>
      <c r="AH42" s="76">
        <f t="shared" si="14"/>
        <v>245</v>
      </c>
      <c r="AI42" s="63">
        <f t="shared" si="8"/>
        <v>0</v>
      </c>
    </row>
    <row r="43" spans="1:35" x14ac:dyDescent="0.25">
      <c r="B43" s="142">
        <v>4.54</v>
      </c>
      <c r="C43" s="15"/>
      <c r="D43" s="249">
        <f t="shared" si="0"/>
        <v>0</v>
      </c>
      <c r="E43" s="904"/>
      <c r="F43" s="249">
        <f t="shared" si="17"/>
        <v>0</v>
      </c>
      <c r="G43" s="188"/>
      <c r="H43" s="124"/>
      <c r="I43" s="905">
        <f t="shared" si="9"/>
        <v>0</v>
      </c>
      <c r="J43" s="76">
        <f t="shared" si="10"/>
        <v>0</v>
      </c>
      <c r="K43" s="63">
        <f t="shared" si="6"/>
        <v>0</v>
      </c>
      <c r="N43" s="142">
        <v>4.54</v>
      </c>
      <c r="O43" s="15"/>
      <c r="P43" s="249">
        <f t="shared" si="15"/>
        <v>0</v>
      </c>
      <c r="Q43" s="904"/>
      <c r="R43" s="249">
        <f t="shared" si="18"/>
        <v>0</v>
      </c>
      <c r="S43" s="188"/>
      <c r="T43" s="124"/>
      <c r="U43" s="905">
        <f t="shared" si="11"/>
        <v>6.7501559897209518E-14</v>
      </c>
      <c r="V43" s="76">
        <f t="shared" si="12"/>
        <v>0</v>
      </c>
      <c r="W43" s="63">
        <f t="shared" si="7"/>
        <v>0</v>
      </c>
      <c r="Z43" s="142">
        <v>4.54</v>
      </c>
      <c r="AA43" s="15"/>
      <c r="AB43" s="249">
        <f t="shared" si="4"/>
        <v>0</v>
      </c>
      <c r="AC43" s="904"/>
      <c r="AD43" s="249">
        <f t="shared" si="19"/>
        <v>0</v>
      </c>
      <c r="AE43" s="188"/>
      <c r="AF43" s="124"/>
      <c r="AG43" s="905">
        <f t="shared" si="13"/>
        <v>1112.3</v>
      </c>
      <c r="AH43" s="76">
        <f t="shared" si="14"/>
        <v>245</v>
      </c>
      <c r="AI43" s="63">
        <f t="shared" si="8"/>
        <v>0</v>
      </c>
    </row>
    <row r="44" spans="1:35" x14ac:dyDescent="0.25">
      <c r="B44" s="142">
        <v>4.54</v>
      </c>
      <c r="C44" s="15"/>
      <c r="D44" s="249">
        <f t="shared" si="0"/>
        <v>0</v>
      </c>
      <c r="E44" s="904"/>
      <c r="F44" s="249">
        <f t="shared" si="17"/>
        <v>0</v>
      </c>
      <c r="G44" s="188"/>
      <c r="H44" s="124"/>
      <c r="I44" s="905">
        <f t="shared" si="9"/>
        <v>0</v>
      </c>
      <c r="J44" s="76">
        <f t="shared" si="10"/>
        <v>0</v>
      </c>
      <c r="K44" s="63">
        <f t="shared" si="6"/>
        <v>0</v>
      </c>
      <c r="N44" s="142">
        <v>4.54</v>
      </c>
      <c r="O44" s="15"/>
      <c r="P44" s="249">
        <f t="shared" si="15"/>
        <v>0</v>
      </c>
      <c r="Q44" s="904"/>
      <c r="R44" s="249">
        <f t="shared" si="18"/>
        <v>0</v>
      </c>
      <c r="S44" s="188"/>
      <c r="T44" s="124"/>
      <c r="U44" s="905">
        <f t="shared" si="11"/>
        <v>6.7501559897209518E-14</v>
      </c>
      <c r="V44" s="76">
        <f t="shared" si="12"/>
        <v>0</v>
      </c>
      <c r="W44" s="63">
        <f t="shared" si="7"/>
        <v>0</v>
      </c>
      <c r="Z44" s="142">
        <v>4.54</v>
      </c>
      <c r="AA44" s="15"/>
      <c r="AB44" s="249">
        <f t="shared" si="4"/>
        <v>0</v>
      </c>
      <c r="AC44" s="904"/>
      <c r="AD44" s="249">
        <f t="shared" si="19"/>
        <v>0</v>
      </c>
      <c r="AE44" s="188"/>
      <c r="AF44" s="124"/>
      <c r="AG44" s="905">
        <f t="shared" si="13"/>
        <v>1112.3</v>
      </c>
      <c r="AH44" s="76">
        <f t="shared" si="14"/>
        <v>245</v>
      </c>
      <c r="AI44" s="63">
        <f t="shared" si="8"/>
        <v>0</v>
      </c>
    </row>
    <row r="45" spans="1:35" x14ac:dyDescent="0.25">
      <c r="B45" s="142">
        <v>4.54</v>
      </c>
      <c r="C45" s="15"/>
      <c r="D45" s="249">
        <f t="shared" si="0"/>
        <v>0</v>
      </c>
      <c r="E45" s="904"/>
      <c r="F45" s="249">
        <f t="shared" si="17"/>
        <v>0</v>
      </c>
      <c r="G45" s="188"/>
      <c r="H45" s="124"/>
      <c r="I45" s="905">
        <f t="shared" si="9"/>
        <v>0</v>
      </c>
      <c r="J45" s="76">
        <f t="shared" si="10"/>
        <v>0</v>
      </c>
      <c r="K45" s="63">
        <f t="shared" si="6"/>
        <v>0</v>
      </c>
      <c r="N45" s="142">
        <v>4.54</v>
      </c>
      <c r="O45" s="15"/>
      <c r="P45" s="249">
        <f t="shared" si="15"/>
        <v>0</v>
      </c>
      <c r="Q45" s="904"/>
      <c r="R45" s="249">
        <f t="shared" si="18"/>
        <v>0</v>
      </c>
      <c r="S45" s="188"/>
      <c r="T45" s="124"/>
      <c r="U45" s="905">
        <f t="shared" si="11"/>
        <v>6.7501559897209518E-14</v>
      </c>
      <c r="V45" s="76">
        <f t="shared" si="12"/>
        <v>0</v>
      </c>
      <c r="W45" s="63">
        <f t="shared" si="7"/>
        <v>0</v>
      </c>
      <c r="Z45" s="142">
        <v>4.54</v>
      </c>
      <c r="AA45" s="15"/>
      <c r="AB45" s="249">
        <f t="shared" si="4"/>
        <v>0</v>
      </c>
      <c r="AC45" s="904"/>
      <c r="AD45" s="249">
        <f t="shared" si="19"/>
        <v>0</v>
      </c>
      <c r="AE45" s="188"/>
      <c r="AF45" s="124"/>
      <c r="AG45" s="905">
        <f t="shared" si="13"/>
        <v>1112.3</v>
      </c>
      <c r="AH45" s="76">
        <f t="shared" si="14"/>
        <v>245</v>
      </c>
      <c r="AI45" s="63">
        <f t="shared" si="8"/>
        <v>0</v>
      </c>
    </row>
    <row r="46" spans="1:35" x14ac:dyDescent="0.25">
      <c r="B46" s="142">
        <v>4.54</v>
      </c>
      <c r="C46" s="15"/>
      <c r="D46" s="249">
        <f t="shared" si="0"/>
        <v>0</v>
      </c>
      <c r="E46" s="904"/>
      <c r="F46" s="249">
        <f t="shared" si="17"/>
        <v>0</v>
      </c>
      <c r="G46" s="188"/>
      <c r="H46" s="124"/>
      <c r="I46" s="905">
        <f t="shared" si="9"/>
        <v>0</v>
      </c>
      <c r="J46" s="76">
        <f t="shared" si="10"/>
        <v>0</v>
      </c>
      <c r="K46" s="63">
        <f t="shared" si="6"/>
        <v>0</v>
      </c>
      <c r="N46" s="142">
        <v>4.54</v>
      </c>
      <c r="O46" s="15"/>
      <c r="P46" s="249">
        <f t="shared" si="15"/>
        <v>0</v>
      </c>
      <c r="Q46" s="904"/>
      <c r="R46" s="249">
        <f t="shared" si="18"/>
        <v>0</v>
      </c>
      <c r="S46" s="188"/>
      <c r="T46" s="124"/>
      <c r="U46" s="905">
        <f t="shared" si="11"/>
        <v>6.7501559897209518E-14</v>
      </c>
      <c r="V46" s="76">
        <f t="shared" si="12"/>
        <v>0</v>
      </c>
      <c r="W46" s="63">
        <f t="shared" si="7"/>
        <v>0</v>
      </c>
      <c r="Z46" s="142">
        <v>4.54</v>
      </c>
      <c r="AA46" s="15"/>
      <c r="AB46" s="249">
        <f t="shared" si="4"/>
        <v>0</v>
      </c>
      <c r="AC46" s="904"/>
      <c r="AD46" s="249">
        <f t="shared" si="19"/>
        <v>0</v>
      </c>
      <c r="AE46" s="188"/>
      <c r="AF46" s="124"/>
      <c r="AG46" s="905">
        <f t="shared" si="13"/>
        <v>1112.3</v>
      </c>
      <c r="AH46" s="76">
        <f t="shared" si="14"/>
        <v>245</v>
      </c>
      <c r="AI46" s="63">
        <f t="shared" si="8"/>
        <v>0</v>
      </c>
    </row>
    <row r="47" spans="1:35" x14ac:dyDescent="0.25">
      <c r="B47" s="142">
        <v>4.54</v>
      </c>
      <c r="C47" s="15"/>
      <c r="D47" s="249">
        <f t="shared" si="0"/>
        <v>0</v>
      </c>
      <c r="E47" s="904"/>
      <c r="F47" s="249">
        <f t="shared" si="17"/>
        <v>0</v>
      </c>
      <c r="G47" s="188"/>
      <c r="H47" s="124"/>
      <c r="I47" s="905">
        <f t="shared" si="9"/>
        <v>0</v>
      </c>
      <c r="J47" s="76">
        <f t="shared" si="10"/>
        <v>0</v>
      </c>
      <c r="K47" s="63">
        <f t="shared" si="6"/>
        <v>0</v>
      </c>
      <c r="N47" s="142">
        <v>4.54</v>
      </c>
      <c r="O47" s="15"/>
      <c r="P47" s="249">
        <f t="shared" si="15"/>
        <v>0</v>
      </c>
      <c r="Q47" s="904"/>
      <c r="R47" s="249">
        <f t="shared" si="18"/>
        <v>0</v>
      </c>
      <c r="S47" s="188"/>
      <c r="T47" s="124"/>
      <c r="U47" s="905">
        <f t="shared" si="11"/>
        <v>6.7501559897209518E-14</v>
      </c>
      <c r="V47" s="76">
        <f t="shared" si="12"/>
        <v>0</v>
      </c>
      <c r="W47" s="63">
        <f t="shared" si="7"/>
        <v>0</v>
      </c>
      <c r="Z47" s="142">
        <v>4.54</v>
      </c>
      <c r="AA47" s="15"/>
      <c r="AB47" s="249">
        <f t="shared" si="4"/>
        <v>0</v>
      </c>
      <c r="AC47" s="904"/>
      <c r="AD47" s="249">
        <f t="shared" si="19"/>
        <v>0</v>
      </c>
      <c r="AE47" s="188"/>
      <c r="AF47" s="124"/>
      <c r="AG47" s="905">
        <f t="shared" si="13"/>
        <v>1112.3</v>
      </c>
      <c r="AH47" s="76">
        <f t="shared" si="14"/>
        <v>245</v>
      </c>
      <c r="AI47" s="63">
        <f t="shared" si="8"/>
        <v>0</v>
      </c>
    </row>
    <row r="48" spans="1:35" x14ac:dyDescent="0.25">
      <c r="B48" s="142">
        <v>4.54</v>
      </c>
      <c r="C48" s="15"/>
      <c r="D48" s="249">
        <f t="shared" si="0"/>
        <v>0</v>
      </c>
      <c r="E48" s="904"/>
      <c r="F48" s="249">
        <f t="shared" si="17"/>
        <v>0</v>
      </c>
      <c r="G48" s="188"/>
      <c r="H48" s="124"/>
      <c r="I48" s="905">
        <f t="shared" si="9"/>
        <v>0</v>
      </c>
      <c r="J48" s="76">
        <f t="shared" si="10"/>
        <v>0</v>
      </c>
      <c r="K48" s="63">
        <f t="shared" si="6"/>
        <v>0</v>
      </c>
      <c r="N48" s="142">
        <v>4.54</v>
      </c>
      <c r="O48" s="15"/>
      <c r="P48" s="249">
        <f t="shared" si="15"/>
        <v>0</v>
      </c>
      <c r="Q48" s="904"/>
      <c r="R48" s="249">
        <f t="shared" si="18"/>
        <v>0</v>
      </c>
      <c r="S48" s="188"/>
      <c r="T48" s="124"/>
      <c r="U48" s="905">
        <f t="shared" si="11"/>
        <v>6.7501559897209518E-14</v>
      </c>
      <c r="V48" s="76">
        <f t="shared" si="12"/>
        <v>0</v>
      </c>
      <c r="W48" s="63">
        <f t="shared" si="7"/>
        <v>0</v>
      </c>
      <c r="Z48" s="142">
        <v>4.54</v>
      </c>
      <c r="AA48" s="15"/>
      <c r="AB48" s="249">
        <f t="shared" si="4"/>
        <v>0</v>
      </c>
      <c r="AC48" s="904"/>
      <c r="AD48" s="249">
        <f t="shared" si="19"/>
        <v>0</v>
      </c>
      <c r="AE48" s="188"/>
      <c r="AF48" s="124"/>
      <c r="AG48" s="905">
        <f t="shared" si="13"/>
        <v>1112.3</v>
      </c>
      <c r="AH48" s="76">
        <f t="shared" si="14"/>
        <v>245</v>
      </c>
      <c r="AI48" s="63">
        <f t="shared" si="8"/>
        <v>0</v>
      </c>
    </row>
    <row r="49" spans="2:35" x14ac:dyDescent="0.25">
      <c r="B49" s="142">
        <v>4.54</v>
      </c>
      <c r="C49" s="15"/>
      <c r="D49" s="249">
        <f t="shared" si="0"/>
        <v>0</v>
      </c>
      <c r="E49" s="904"/>
      <c r="F49" s="249">
        <f t="shared" si="17"/>
        <v>0</v>
      </c>
      <c r="G49" s="188"/>
      <c r="H49" s="124"/>
      <c r="I49" s="905">
        <f t="shared" si="9"/>
        <v>0</v>
      </c>
      <c r="J49" s="76">
        <f t="shared" si="10"/>
        <v>0</v>
      </c>
      <c r="K49" s="63">
        <f t="shared" si="6"/>
        <v>0</v>
      </c>
      <c r="N49" s="142">
        <v>4.54</v>
      </c>
      <c r="O49" s="15"/>
      <c r="P49" s="249">
        <f t="shared" si="15"/>
        <v>0</v>
      </c>
      <c r="Q49" s="904"/>
      <c r="R49" s="249">
        <f t="shared" si="18"/>
        <v>0</v>
      </c>
      <c r="S49" s="188"/>
      <c r="T49" s="124"/>
      <c r="U49" s="905">
        <f t="shared" si="11"/>
        <v>6.7501559897209518E-14</v>
      </c>
      <c r="V49" s="76">
        <f t="shared" si="12"/>
        <v>0</v>
      </c>
      <c r="W49" s="63">
        <f t="shared" si="7"/>
        <v>0</v>
      </c>
      <c r="Z49" s="142">
        <v>4.54</v>
      </c>
      <c r="AA49" s="15"/>
      <c r="AB49" s="249">
        <f t="shared" si="4"/>
        <v>0</v>
      </c>
      <c r="AC49" s="904"/>
      <c r="AD49" s="249">
        <f t="shared" si="19"/>
        <v>0</v>
      </c>
      <c r="AE49" s="188"/>
      <c r="AF49" s="124"/>
      <c r="AG49" s="905">
        <f t="shared" si="13"/>
        <v>1112.3</v>
      </c>
      <c r="AH49" s="76">
        <f t="shared" si="14"/>
        <v>245</v>
      </c>
      <c r="AI49" s="63">
        <f t="shared" si="8"/>
        <v>0</v>
      </c>
    </row>
    <row r="50" spans="2:35" x14ac:dyDescent="0.25">
      <c r="B50" s="142">
        <v>4.54</v>
      </c>
      <c r="C50" s="15"/>
      <c r="D50" s="249">
        <f t="shared" si="0"/>
        <v>0</v>
      </c>
      <c r="E50" s="904"/>
      <c r="F50" s="249">
        <f t="shared" si="17"/>
        <v>0</v>
      </c>
      <c r="G50" s="188"/>
      <c r="H50" s="124"/>
      <c r="I50" s="905">
        <f t="shared" si="9"/>
        <v>0</v>
      </c>
      <c r="J50" s="76">
        <f t="shared" si="10"/>
        <v>0</v>
      </c>
      <c r="K50" s="63">
        <f t="shared" si="6"/>
        <v>0</v>
      </c>
      <c r="N50" s="142">
        <v>4.54</v>
      </c>
      <c r="O50" s="15"/>
      <c r="P50" s="249">
        <f t="shared" si="15"/>
        <v>0</v>
      </c>
      <c r="Q50" s="904"/>
      <c r="R50" s="249">
        <f t="shared" si="18"/>
        <v>0</v>
      </c>
      <c r="S50" s="188"/>
      <c r="T50" s="124"/>
      <c r="U50" s="905">
        <f t="shared" si="11"/>
        <v>6.7501559897209518E-14</v>
      </c>
      <c r="V50" s="76">
        <f t="shared" si="12"/>
        <v>0</v>
      </c>
      <c r="W50" s="63">
        <f t="shared" si="7"/>
        <v>0</v>
      </c>
      <c r="Z50" s="142">
        <v>4.54</v>
      </c>
      <c r="AA50" s="15"/>
      <c r="AB50" s="249">
        <f t="shared" si="4"/>
        <v>0</v>
      </c>
      <c r="AC50" s="904"/>
      <c r="AD50" s="249">
        <f t="shared" si="19"/>
        <v>0</v>
      </c>
      <c r="AE50" s="188"/>
      <c r="AF50" s="124"/>
      <c r="AG50" s="905">
        <f t="shared" si="13"/>
        <v>1112.3</v>
      </c>
      <c r="AH50" s="76">
        <f t="shared" si="14"/>
        <v>245</v>
      </c>
      <c r="AI50" s="63">
        <f t="shared" si="8"/>
        <v>0</v>
      </c>
    </row>
    <row r="51" spans="2:35" x14ac:dyDescent="0.25">
      <c r="B51" s="142">
        <v>4.54</v>
      </c>
      <c r="C51" s="15"/>
      <c r="D51" s="249">
        <f t="shared" si="0"/>
        <v>0</v>
      </c>
      <c r="E51" s="904"/>
      <c r="F51" s="249">
        <f t="shared" si="17"/>
        <v>0</v>
      </c>
      <c r="G51" s="188"/>
      <c r="H51" s="124"/>
      <c r="I51" s="905">
        <f t="shared" si="9"/>
        <v>0</v>
      </c>
      <c r="J51" s="76">
        <f t="shared" si="10"/>
        <v>0</v>
      </c>
      <c r="K51" s="63">
        <f t="shared" si="6"/>
        <v>0</v>
      </c>
      <c r="N51" s="142">
        <v>4.54</v>
      </c>
      <c r="O51" s="15"/>
      <c r="P51" s="249">
        <f t="shared" si="15"/>
        <v>0</v>
      </c>
      <c r="Q51" s="904"/>
      <c r="R51" s="249">
        <f t="shared" si="18"/>
        <v>0</v>
      </c>
      <c r="S51" s="188"/>
      <c r="T51" s="124"/>
      <c r="U51" s="905">
        <f t="shared" si="11"/>
        <v>6.7501559897209518E-14</v>
      </c>
      <c r="V51" s="76">
        <f t="shared" si="12"/>
        <v>0</v>
      </c>
      <c r="W51" s="63">
        <f t="shared" si="7"/>
        <v>0</v>
      </c>
      <c r="Z51" s="142">
        <v>4.54</v>
      </c>
      <c r="AA51" s="15"/>
      <c r="AB51" s="249">
        <f t="shared" si="4"/>
        <v>0</v>
      </c>
      <c r="AC51" s="904"/>
      <c r="AD51" s="249">
        <f t="shared" si="19"/>
        <v>0</v>
      </c>
      <c r="AE51" s="188"/>
      <c r="AF51" s="124"/>
      <c r="AG51" s="905">
        <f t="shared" si="13"/>
        <v>1112.3</v>
      </c>
      <c r="AH51" s="76">
        <f t="shared" si="14"/>
        <v>245</v>
      </c>
      <c r="AI51" s="63">
        <f t="shared" si="8"/>
        <v>0</v>
      </c>
    </row>
    <row r="52" spans="2:35" x14ac:dyDescent="0.25">
      <c r="B52" s="142">
        <v>4.54</v>
      </c>
      <c r="C52" s="15"/>
      <c r="D52" s="249">
        <f t="shared" si="0"/>
        <v>0</v>
      </c>
      <c r="E52" s="904"/>
      <c r="F52" s="249">
        <f t="shared" si="17"/>
        <v>0</v>
      </c>
      <c r="G52" s="188"/>
      <c r="H52" s="124"/>
      <c r="I52" s="905">
        <f t="shared" si="9"/>
        <v>0</v>
      </c>
      <c r="J52" s="76">
        <f t="shared" si="10"/>
        <v>0</v>
      </c>
      <c r="K52" s="63">
        <f t="shared" si="6"/>
        <v>0</v>
      </c>
      <c r="N52" s="142">
        <v>4.54</v>
      </c>
      <c r="O52" s="15"/>
      <c r="P52" s="249">
        <f t="shared" si="15"/>
        <v>0</v>
      </c>
      <c r="Q52" s="904"/>
      <c r="R52" s="249">
        <f t="shared" si="18"/>
        <v>0</v>
      </c>
      <c r="S52" s="188"/>
      <c r="T52" s="124"/>
      <c r="U52" s="905">
        <f t="shared" si="11"/>
        <v>6.7501559897209518E-14</v>
      </c>
      <c r="V52" s="76">
        <f t="shared" si="12"/>
        <v>0</v>
      </c>
      <c r="W52" s="63">
        <f t="shared" si="7"/>
        <v>0</v>
      </c>
      <c r="Z52" s="142">
        <v>4.54</v>
      </c>
      <c r="AA52" s="15"/>
      <c r="AB52" s="249">
        <f t="shared" si="4"/>
        <v>0</v>
      </c>
      <c r="AC52" s="904"/>
      <c r="AD52" s="249">
        <f t="shared" si="19"/>
        <v>0</v>
      </c>
      <c r="AE52" s="188"/>
      <c r="AF52" s="124"/>
      <c r="AG52" s="905">
        <f t="shared" si="13"/>
        <v>1112.3</v>
      </c>
      <c r="AH52" s="76">
        <f t="shared" si="14"/>
        <v>245</v>
      </c>
      <c r="AI52" s="63">
        <f t="shared" si="8"/>
        <v>0</v>
      </c>
    </row>
    <row r="53" spans="2:35" x14ac:dyDescent="0.25">
      <c r="B53" s="142">
        <v>4.54</v>
      </c>
      <c r="C53" s="15"/>
      <c r="D53" s="249">
        <f t="shared" si="0"/>
        <v>0</v>
      </c>
      <c r="E53" s="904"/>
      <c r="F53" s="249">
        <f t="shared" si="17"/>
        <v>0</v>
      </c>
      <c r="G53" s="188"/>
      <c r="H53" s="124"/>
      <c r="I53" s="905">
        <f t="shared" si="9"/>
        <v>0</v>
      </c>
      <c r="J53" s="76">
        <f t="shared" si="10"/>
        <v>0</v>
      </c>
      <c r="K53" s="63">
        <f t="shared" si="6"/>
        <v>0</v>
      </c>
      <c r="N53" s="142">
        <v>4.54</v>
      </c>
      <c r="O53" s="15"/>
      <c r="P53" s="249">
        <f t="shared" si="15"/>
        <v>0</v>
      </c>
      <c r="Q53" s="904"/>
      <c r="R53" s="249">
        <f t="shared" si="18"/>
        <v>0</v>
      </c>
      <c r="S53" s="188"/>
      <c r="T53" s="124"/>
      <c r="U53" s="905">
        <f t="shared" si="11"/>
        <v>6.7501559897209518E-14</v>
      </c>
      <c r="V53" s="76">
        <f t="shared" si="12"/>
        <v>0</v>
      </c>
      <c r="W53" s="63">
        <f t="shared" si="7"/>
        <v>0</v>
      </c>
      <c r="Z53" s="142">
        <v>4.54</v>
      </c>
      <c r="AA53" s="15"/>
      <c r="AB53" s="249">
        <f t="shared" si="4"/>
        <v>0</v>
      </c>
      <c r="AC53" s="904"/>
      <c r="AD53" s="249">
        <f t="shared" si="19"/>
        <v>0</v>
      </c>
      <c r="AE53" s="188"/>
      <c r="AF53" s="124"/>
      <c r="AG53" s="905">
        <f t="shared" si="13"/>
        <v>1112.3</v>
      </c>
      <c r="AH53" s="76">
        <f t="shared" si="14"/>
        <v>245</v>
      </c>
      <c r="AI53" s="63">
        <f t="shared" si="8"/>
        <v>0</v>
      </c>
    </row>
    <row r="54" spans="2:35" x14ac:dyDescent="0.25">
      <c r="B54" s="142">
        <v>4.54</v>
      </c>
      <c r="C54" s="15"/>
      <c r="D54" s="249">
        <f t="shared" si="0"/>
        <v>0</v>
      </c>
      <c r="E54" s="904"/>
      <c r="F54" s="249">
        <f t="shared" si="17"/>
        <v>0</v>
      </c>
      <c r="G54" s="188"/>
      <c r="H54" s="124"/>
      <c r="I54" s="905">
        <f t="shared" si="9"/>
        <v>0</v>
      </c>
      <c r="J54" s="76">
        <f t="shared" si="10"/>
        <v>0</v>
      </c>
      <c r="K54" s="63">
        <f t="shared" si="6"/>
        <v>0</v>
      </c>
      <c r="N54" s="142">
        <v>4.54</v>
      </c>
      <c r="O54" s="15"/>
      <c r="P54" s="249">
        <f t="shared" si="15"/>
        <v>0</v>
      </c>
      <c r="Q54" s="904"/>
      <c r="R54" s="249">
        <f t="shared" si="18"/>
        <v>0</v>
      </c>
      <c r="S54" s="188"/>
      <c r="T54" s="124"/>
      <c r="U54" s="905">
        <f t="shared" si="11"/>
        <v>6.7501559897209518E-14</v>
      </c>
      <c r="V54" s="76">
        <f t="shared" si="12"/>
        <v>0</v>
      </c>
      <c r="W54" s="63">
        <f t="shared" si="7"/>
        <v>0</v>
      </c>
      <c r="Z54" s="142">
        <v>4.54</v>
      </c>
      <c r="AA54" s="15"/>
      <c r="AB54" s="249">
        <f t="shared" si="4"/>
        <v>0</v>
      </c>
      <c r="AC54" s="904"/>
      <c r="AD54" s="249">
        <f t="shared" si="19"/>
        <v>0</v>
      </c>
      <c r="AE54" s="188"/>
      <c r="AF54" s="124"/>
      <c r="AG54" s="905">
        <f t="shared" si="13"/>
        <v>1112.3</v>
      </c>
      <c r="AH54" s="76">
        <f t="shared" si="14"/>
        <v>245</v>
      </c>
      <c r="AI54" s="63">
        <f t="shared" si="8"/>
        <v>0</v>
      </c>
    </row>
    <row r="55" spans="2:35" x14ac:dyDescent="0.25">
      <c r="B55" s="142">
        <v>4.54</v>
      </c>
      <c r="C55" s="15"/>
      <c r="D55" s="249">
        <f t="shared" si="0"/>
        <v>0</v>
      </c>
      <c r="E55" s="904"/>
      <c r="F55" s="249">
        <f t="shared" si="17"/>
        <v>0</v>
      </c>
      <c r="G55" s="188"/>
      <c r="H55" s="124"/>
      <c r="I55" s="219">
        <f t="shared" si="9"/>
        <v>0</v>
      </c>
      <c r="J55" s="76">
        <f t="shared" si="10"/>
        <v>0</v>
      </c>
      <c r="K55" s="63">
        <f t="shared" si="6"/>
        <v>0</v>
      </c>
      <c r="N55" s="142">
        <v>4.54</v>
      </c>
      <c r="O55" s="15"/>
      <c r="P55" s="249">
        <f t="shared" si="15"/>
        <v>0</v>
      </c>
      <c r="Q55" s="904"/>
      <c r="R55" s="249">
        <f t="shared" si="18"/>
        <v>0</v>
      </c>
      <c r="S55" s="188"/>
      <c r="T55" s="124"/>
      <c r="U55" s="219">
        <f t="shared" si="11"/>
        <v>6.7501559897209518E-14</v>
      </c>
      <c r="V55" s="76">
        <f t="shared" si="12"/>
        <v>0</v>
      </c>
      <c r="W55" s="63">
        <f t="shared" si="7"/>
        <v>0</v>
      </c>
      <c r="Z55" s="142">
        <v>4.54</v>
      </c>
      <c r="AA55" s="15"/>
      <c r="AB55" s="249">
        <f t="shared" si="4"/>
        <v>0</v>
      </c>
      <c r="AC55" s="904"/>
      <c r="AD55" s="249">
        <f t="shared" si="19"/>
        <v>0</v>
      </c>
      <c r="AE55" s="188"/>
      <c r="AF55" s="124"/>
      <c r="AG55" s="219">
        <f t="shared" si="13"/>
        <v>1112.3</v>
      </c>
      <c r="AH55" s="76">
        <f t="shared" si="14"/>
        <v>245</v>
      </c>
      <c r="AI55" s="63">
        <f t="shared" si="8"/>
        <v>0</v>
      </c>
    </row>
    <row r="56" spans="2:35" x14ac:dyDescent="0.25">
      <c r="B56" s="142">
        <v>4.54</v>
      </c>
      <c r="C56" s="15"/>
      <c r="D56" s="249">
        <f t="shared" si="0"/>
        <v>0</v>
      </c>
      <c r="E56" s="904"/>
      <c r="F56" s="249">
        <f t="shared" si="17"/>
        <v>0</v>
      </c>
      <c r="G56" s="188"/>
      <c r="H56" s="124"/>
      <c r="I56" s="219">
        <f t="shared" si="9"/>
        <v>0</v>
      </c>
      <c r="J56" s="76">
        <f t="shared" si="10"/>
        <v>0</v>
      </c>
      <c r="K56" s="63">
        <f t="shared" si="6"/>
        <v>0</v>
      </c>
      <c r="N56" s="142">
        <v>4.54</v>
      </c>
      <c r="O56" s="15"/>
      <c r="P56" s="249">
        <f t="shared" si="15"/>
        <v>0</v>
      </c>
      <c r="Q56" s="904"/>
      <c r="R56" s="249">
        <f t="shared" si="18"/>
        <v>0</v>
      </c>
      <c r="S56" s="188"/>
      <c r="T56" s="124"/>
      <c r="U56" s="219">
        <f t="shared" si="11"/>
        <v>6.7501559897209518E-14</v>
      </c>
      <c r="V56" s="76">
        <f t="shared" si="12"/>
        <v>0</v>
      </c>
      <c r="W56" s="63">
        <f t="shared" si="7"/>
        <v>0</v>
      </c>
      <c r="Z56" s="142">
        <v>4.54</v>
      </c>
      <c r="AA56" s="15"/>
      <c r="AB56" s="249">
        <f t="shared" si="4"/>
        <v>0</v>
      </c>
      <c r="AC56" s="904"/>
      <c r="AD56" s="249">
        <f t="shared" si="19"/>
        <v>0</v>
      </c>
      <c r="AE56" s="188"/>
      <c r="AF56" s="124"/>
      <c r="AG56" s="219">
        <f t="shared" si="13"/>
        <v>1112.3</v>
      </c>
      <c r="AH56" s="76">
        <f t="shared" si="14"/>
        <v>245</v>
      </c>
      <c r="AI56" s="63">
        <f t="shared" si="8"/>
        <v>0</v>
      </c>
    </row>
    <row r="57" spans="2:35" x14ac:dyDescent="0.25">
      <c r="B57" s="142">
        <v>4.54</v>
      </c>
      <c r="C57" s="15"/>
      <c r="D57" s="249">
        <f t="shared" si="0"/>
        <v>0</v>
      </c>
      <c r="E57" s="904"/>
      <c r="F57" s="249">
        <f t="shared" si="17"/>
        <v>0</v>
      </c>
      <c r="G57" s="188"/>
      <c r="H57" s="124"/>
      <c r="I57" s="219">
        <f t="shared" si="9"/>
        <v>0</v>
      </c>
      <c r="J57" s="76">
        <f t="shared" si="10"/>
        <v>0</v>
      </c>
      <c r="K57" s="63">
        <f t="shared" si="6"/>
        <v>0</v>
      </c>
      <c r="N57" s="142">
        <v>4.54</v>
      </c>
      <c r="O57" s="15"/>
      <c r="P57" s="249">
        <f t="shared" si="15"/>
        <v>0</v>
      </c>
      <c r="Q57" s="904"/>
      <c r="R57" s="249">
        <f t="shared" si="18"/>
        <v>0</v>
      </c>
      <c r="S57" s="188"/>
      <c r="T57" s="124"/>
      <c r="U57" s="219">
        <f t="shared" si="11"/>
        <v>6.7501559897209518E-14</v>
      </c>
      <c r="V57" s="76">
        <f t="shared" si="12"/>
        <v>0</v>
      </c>
      <c r="W57" s="63">
        <f t="shared" si="7"/>
        <v>0</v>
      </c>
      <c r="Z57" s="142">
        <v>4.54</v>
      </c>
      <c r="AA57" s="15"/>
      <c r="AB57" s="249">
        <f t="shared" si="4"/>
        <v>0</v>
      </c>
      <c r="AC57" s="904"/>
      <c r="AD57" s="249">
        <f t="shared" si="19"/>
        <v>0</v>
      </c>
      <c r="AE57" s="188"/>
      <c r="AF57" s="124"/>
      <c r="AG57" s="219">
        <f t="shared" si="13"/>
        <v>1112.3</v>
      </c>
      <c r="AH57" s="76">
        <f t="shared" si="14"/>
        <v>245</v>
      </c>
      <c r="AI57" s="63">
        <f t="shared" si="8"/>
        <v>0</v>
      </c>
    </row>
    <row r="58" spans="2:35" x14ac:dyDescent="0.25">
      <c r="B58" s="142">
        <v>4.54</v>
      </c>
      <c r="C58" s="15"/>
      <c r="D58" s="249">
        <f t="shared" si="0"/>
        <v>0</v>
      </c>
      <c r="E58" s="904"/>
      <c r="F58" s="249">
        <f t="shared" si="17"/>
        <v>0</v>
      </c>
      <c r="G58" s="188"/>
      <c r="H58" s="124"/>
      <c r="I58" s="219">
        <f t="shared" si="9"/>
        <v>0</v>
      </c>
      <c r="J58" s="76">
        <f t="shared" si="10"/>
        <v>0</v>
      </c>
      <c r="K58" s="63">
        <f t="shared" si="6"/>
        <v>0</v>
      </c>
      <c r="N58" s="142">
        <v>4.54</v>
      </c>
      <c r="O58" s="15"/>
      <c r="P58" s="249">
        <f t="shared" si="15"/>
        <v>0</v>
      </c>
      <c r="Q58" s="904"/>
      <c r="R58" s="249">
        <f t="shared" si="18"/>
        <v>0</v>
      </c>
      <c r="S58" s="188"/>
      <c r="T58" s="124"/>
      <c r="U58" s="219">
        <f t="shared" si="11"/>
        <v>6.7501559897209518E-14</v>
      </c>
      <c r="V58" s="76">
        <f t="shared" si="12"/>
        <v>0</v>
      </c>
      <c r="W58" s="63">
        <f t="shared" si="7"/>
        <v>0</v>
      </c>
      <c r="Z58" s="142">
        <v>4.54</v>
      </c>
      <c r="AA58" s="15"/>
      <c r="AB58" s="249">
        <f t="shared" si="4"/>
        <v>0</v>
      </c>
      <c r="AC58" s="904"/>
      <c r="AD58" s="249">
        <f t="shared" si="19"/>
        <v>0</v>
      </c>
      <c r="AE58" s="188"/>
      <c r="AF58" s="124"/>
      <c r="AG58" s="219">
        <f t="shared" si="13"/>
        <v>1112.3</v>
      </c>
      <c r="AH58" s="76">
        <f t="shared" si="14"/>
        <v>245</v>
      </c>
      <c r="AI58" s="63">
        <f t="shared" si="8"/>
        <v>0</v>
      </c>
    </row>
    <row r="59" spans="2:35" x14ac:dyDescent="0.25">
      <c r="B59" s="142">
        <v>4.54</v>
      </c>
      <c r="C59" s="15"/>
      <c r="D59" s="249">
        <f t="shared" si="0"/>
        <v>0</v>
      </c>
      <c r="E59" s="904"/>
      <c r="F59" s="249">
        <f t="shared" si="17"/>
        <v>0</v>
      </c>
      <c r="G59" s="188"/>
      <c r="H59" s="124"/>
      <c r="I59" s="219">
        <f t="shared" si="9"/>
        <v>0</v>
      </c>
      <c r="J59" s="76">
        <f t="shared" si="10"/>
        <v>0</v>
      </c>
      <c r="K59" s="63">
        <f t="shared" si="6"/>
        <v>0</v>
      </c>
      <c r="N59" s="142">
        <v>4.54</v>
      </c>
      <c r="O59" s="15"/>
      <c r="P59" s="249">
        <f t="shared" si="15"/>
        <v>0</v>
      </c>
      <c r="Q59" s="904"/>
      <c r="R59" s="249">
        <f t="shared" si="18"/>
        <v>0</v>
      </c>
      <c r="S59" s="188"/>
      <c r="T59" s="124"/>
      <c r="U59" s="219">
        <f t="shared" si="11"/>
        <v>6.7501559897209518E-14</v>
      </c>
      <c r="V59" s="76">
        <f t="shared" si="12"/>
        <v>0</v>
      </c>
      <c r="W59" s="63">
        <f t="shared" si="7"/>
        <v>0</v>
      </c>
      <c r="Z59" s="142">
        <v>4.54</v>
      </c>
      <c r="AA59" s="15"/>
      <c r="AB59" s="249">
        <f t="shared" si="4"/>
        <v>0</v>
      </c>
      <c r="AC59" s="904"/>
      <c r="AD59" s="249">
        <f t="shared" si="19"/>
        <v>0</v>
      </c>
      <c r="AE59" s="188"/>
      <c r="AF59" s="124"/>
      <c r="AG59" s="219">
        <f t="shared" si="13"/>
        <v>1112.3</v>
      </c>
      <c r="AH59" s="76">
        <f t="shared" si="14"/>
        <v>245</v>
      </c>
      <c r="AI59" s="63">
        <f t="shared" si="8"/>
        <v>0</v>
      </c>
    </row>
    <row r="60" spans="2:35" x14ac:dyDescent="0.25">
      <c r="B60" s="142">
        <v>4.54</v>
      </c>
      <c r="C60" s="15"/>
      <c r="D60" s="249">
        <f t="shared" si="0"/>
        <v>0</v>
      </c>
      <c r="E60" s="904"/>
      <c r="F60" s="249">
        <f t="shared" si="17"/>
        <v>0</v>
      </c>
      <c r="G60" s="188"/>
      <c r="H60" s="124"/>
      <c r="I60" s="219">
        <f t="shared" si="9"/>
        <v>0</v>
      </c>
      <c r="J60" s="76">
        <f t="shared" si="10"/>
        <v>0</v>
      </c>
      <c r="K60" s="63">
        <f t="shared" si="6"/>
        <v>0</v>
      </c>
      <c r="N60" s="142">
        <v>4.54</v>
      </c>
      <c r="O60" s="15"/>
      <c r="P60" s="249">
        <f t="shared" si="15"/>
        <v>0</v>
      </c>
      <c r="Q60" s="904"/>
      <c r="R60" s="249">
        <f t="shared" si="18"/>
        <v>0</v>
      </c>
      <c r="S60" s="188"/>
      <c r="T60" s="124"/>
      <c r="U60" s="219">
        <f t="shared" si="11"/>
        <v>6.7501559897209518E-14</v>
      </c>
      <c r="V60" s="76">
        <f t="shared" si="12"/>
        <v>0</v>
      </c>
      <c r="W60" s="63">
        <f t="shared" si="7"/>
        <v>0</v>
      </c>
      <c r="Z60" s="142">
        <v>4.54</v>
      </c>
      <c r="AA60" s="15"/>
      <c r="AB60" s="249">
        <f t="shared" si="4"/>
        <v>0</v>
      </c>
      <c r="AC60" s="904"/>
      <c r="AD60" s="249">
        <f t="shared" si="19"/>
        <v>0</v>
      </c>
      <c r="AE60" s="188"/>
      <c r="AF60" s="124"/>
      <c r="AG60" s="219">
        <f t="shared" si="13"/>
        <v>1112.3</v>
      </c>
      <c r="AH60" s="76">
        <f t="shared" si="14"/>
        <v>245</v>
      </c>
      <c r="AI60" s="63">
        <f t="shared" si="8"/>
        <v>0</v>
      </c>
    </row>
    <row r="61" spans="2:35" x14ac:dyDescent="0.25">
      <c r="B61" s="142">
        <v>4.54</v>
      </c>
      <c r="C61" s="15"/>
      <c r="D61" s="249">
        <f t="shared" si="0"/>
        <v>0</v>
      </c>
      <c r="E61" s="779"/>
      <c r="F61" s="249">
        <f t="shared" si="17"/>
        <v>0</v>
      </c>
      <c r="G61" s="778"/>
      <c r="H61" s="191"/>
      <c r="I61" s="219">
        <f t="shared" si="9"/>
        <v>0</v>
      </c>
      <c r="J61" s="76">
        <f t="shared" si="10"/>
        <v>0</v>
      </c>
      <c r="K61" s="63">
        <f t="shared" si="6"/>
        <v>0</v>
      </c>
      <c r="N61" s="142">
        <v>4.54</v>
      </c>
      <c r="O61" s="15"/>
      <c r="P61" s="249">
        <f t="shared" si="15"/>
        <v>0</v>
      </c>
      <c r="Q61" s="779"/>
      <c r="R61" s="249">
        <f t="shared" si="18"/>
        <v>0</v>
      </c>
      <c r="S61" s="778"/>
      <c r="T61" s="191"/>
      <c r="U61" s="219">
        <f t="shared" si="11"/>
        <v>6.7501559897209518E-14</v>
      </c>
      <c r="V61" s="76">
        <f t="shared" si="12"/>
        <v>0</v>
      </c>
      <c r="W61" s="63">
        <f t="shared" si="7"/>
        <v>0</v>
      </c>
      <c r="Z61" s="142">
        <v>4.54</v>
      </c>
      <c r="AA61" s="15"/>
      <c r="AB61" s="249">
        <f t="shared" si="4"/>
        <v>0</v>
      </c>
      <c r="AC61" s="779"/>
      <c r="AD61" s="249">
        <f t="shared" si="19"/>
        <v>0</v>
      </c>
      <c r="AE61" s="778"/>
      <c r="AF61" s="191"/>
      <c r="AG61" s="219">
        <f t="shared" si="13"/>
        <v>1112.3</v>
      </c>
      <c r="AH61" s="76">
        <f t="shared" si="14"/>
        <v>245</v>
      </c>
      <c r="AI61" s="63">
        <f t="shared" si="8"/>
        <v>0</v>
      </c>
    </row>
    <row r="62" spans="2:35" x14ac:dyDescent="0.25">
      <c r="B62" s="142">
        <v>4.54</v>
      </c>
      <c r="C62" s="15"/>
      <c r="D62" s="249">
        <f t="shared" si="0"/>
        <v>0</v>
      </c>
      <c r="E62" s="779"/>
      <c r="F62" s="249">
        <f t="shared" si="17"/>
        <v>0</v>
      </c>
      <c r="G62" s="778"/>
      <c r="H62" s="191"/>
      <c r="I62" s="219">
        <f t="shared" si="9"/>
        <v>0</v>
      </c>
      <c r="J62" s="76">
        <f t="shared" si="10"/>
        <v>0</v>
      </c>
      <c r="K62" s="63">
        <f t="shared" si="6"/>
        <v>0</v>
      </c>
      <c r="N62" s="142">
        <v>4.54</v>
      </c>
      <c r="O62" s="15"/>
      <c r="P62" s="249">
        <f t="shared" si="15"/>
        <v>0</v>
      </c>
      <c r="Q62" s="779"/>
      <c r="R62" s="249">
        <f t="shared" si="18"/>
        <v>0</v>
      </c>
      <c r="S62" s="778"/>
      <c r="T62" s="191"/>
      <c r="U62" s="219">
        <f t="shared" si="11"/>
        <v>6.7501559897209518E-14</v>
      </c>
      <c r="V62" s="76">
        <f t="shared" si="12"/>
        <v>0</v>
      </c>
      <c r="W62" s="63">
        <f t="shared" si="7"/>
        <v>0</v>
      </c>
      <c r="Z62" s="142">
        <v>4.54</v>
      </c>
      <c r="AA62" s="15"/>
      <c r="AB62" s="249">
        <f t="shared" si="4"/>
        <v>0</v>
      </c>
      <c r="AC62" s="779"/>
      <c r="AD62" s="249">
        <f t="shared" si="19"/>
        <v>0</v>
      </c>
      <c r="AE62" s="778"/>
      <c r="AF62" s="191"/>
      <c r="AG62" s="219">
        <f t="shared" si="13"/>
        <v>1112.3</v>
      </c>
      <c r="AH62" s="76">
        <f t="shared" si="14"/>
        <v>245</v>
      </c>
      <c r="AI62" s="63">
        <f t="shared" si="8"/>
        <v>0</v>
      </c>
    </row>
    <row r="63" spans="2:35" x14ac:dyDescent="0.25">
      <c r="B63" s="142">
        <v>4.54</v>
      </c>
      <c r="C63" s="15"/>
      <c r="D63" s="249">
        <f t="shared" si="0"/>
        <v>0</v>
      </c>
      <c r="E63" s="779"/>
      <c r="F63" s="249">
        <f t="shared" si="17"/>
        <v>0</v>
      </c>
      <c r="G63" s="778"/>
      <c r="H63" s="191"/>
      <c r="I63" s="219">
        <f t="shared" si="9"/>
        <v>0</v>
      </c>
      <c r="J63" s="76">
        <f t="shared" si="10"/>
        <v>0</v>
      </c>
      <c r="K63" s="63">
        <f t="shared" si="6"/>
        <v>0</v>
      </c>
      <c r="N63" s="142">
        <v>4.54</v>
      </c>
      <c r="O63" s="15"/>
      <c r="P63" s="249">
        <f t="shared" si="15"/>
        <v>0</v>
      </c>
      <c r="Q63" s="779"/>
      <c r="R63" s="249">
        <f t="shared" si="18"/>
        <v>0</v>
      </c>
      <c r="S63" s="778"/>
      <c r="T63" s="191"/>
      <c r="U63" s="219">
        <f t="shared" si="11"/>
        <v>6.7501559897209518E-14</v>
      </c>
      <c r="V63" s="76">
        <f t="shared" si="12"/>
        <v>0</v>
      </c>
      <c r="W63" s="63">
        <f t="shared" si="7"/>
        <v>0</v>
      </c>
      <c r="Z63" s="142">
        <v>4.54</v>
      </c>
      <c r="AA63" s="15"/>
      <c r="AB63" s="249">
        <f t="shared" si="4"/>
        <v>0</v>
      </c>
      <c r="AC63" s="779"/>
      <c r="AD63" s="249">
        <f t="shared" si="19"/>
        <v>0</v>
      </c>
      <c r="AE63" s="778"/>
      <c r="AF63" s="191"/>
      <c r="AG63" s="219">
        <f t="shared" si="13"/>
        <v>1112.3</v>
      </c>
      <c r="AH63" s="76">
        <f t="shared" si="14"/>
        <v>245</v>
      </c>
      <c r="AI63" s="63">
        <f t="shared" si="8"/>
        <v>0</v>
      </c>
    </row>
    <row r="64" spans="2:35" x14ac:dyDescent="0.25">
      <c r="B64" s="142">
        <v>4.54</v>
      </c>
      <c r="C64" s="15"/>
      <c r="D64" s="249">
        <f t="shared" si="0"/>
        <v>0</v>
      </c>
      <c r="E64" s="779"/>
      <c r="F64" s="249">
        <f t="shared" si="17"/>
        <v>0</v>
      </c>
      <c r="G64" s="778"/>
      <c r="H64" s="191"/>
      <c r="I64" s="219">
        <f t="shared" si="9"/>
        <v>0</v>
      </c>
      <c r="J64" s="76">
        <f t="shared" si="10"/>
        <v>0</v>
      </c>
      <c r="K64" s="63">
        <f t="shared" si="6"/>
        <v>0</v>
      </c>
      <c r="N64" s="142">
        <v>4.54</v>
      </c>
      <c r="O64" s="15"/>
      <c r="P64" s="249">
        <f t="shared" si="15"/>
        <v>0</v>
      </c>
      <c r="Q64" s="779"/>
      <c r="R64" s="249">
        <f t="shared" si="18"/>
        <v>0</v>
      </c>
      <c r="S64" s="778"/>
      <c r="T64" s="191"/>
      <c r="U64" s="219">
        <f t="shared" si="11"/>
        <v>6.7501559897209518E-14</v>
      </c>
      <c r="V64" s="76">
        <f t="shared" si="12"/>
        <v>0</v>
      </c>
      <c r="W64" s="63">
        <f t="shared" si="7"/>
        <v>0</v>
      </c>
      <c r="Z64" s="142">
        <v>4.54</v>
      </c>
      <c r="AA64" s="15"/>
      <c r="AB64" s="249">
        <f t="shared" si="4"/>
        <v>0</v>
      </c>
      <c r="AC64" s="779"/>
      <c r="AD64" s="249">
        <f t="shared" si="19"/>
        <v>0</v>
      </c>
      <c r="AE64" s="778"/>
      <c r="AF64" s="191"/>
      <c r="AG64" s="219">
        <f t="shared" si="13"/>
        <v>1112.3</v>
      </c>
      <c r="AH64" s="76">
        <f t="shared" si="14"/>
        <v>245</v>
      </c>
      <c r="AI64" s="63">
        <f t="shared" si="8"/>
        <v>0</v>
      </c>
    </row>
    <row r="65" spans="2:35" x14ac:dyDescent="0.25">
      <c r="B65" s="142">
        <v>4.54</v>
      </c>
      <c r="C65" s="15"/>
      <c r="D65" s="249">
        <f t="shared" si="0"/>
        <v>0</v>
      </c>
      <c r="E65" s="779"/>
      <c r="F65" s="249">
        <f t="shared" si="17"/>
        <v>0</v>
      </c>
      <c r="G65" s="778"/>
      <c r="H65" s="191"/>
      <c r="I65" s="219">
        <f t="shared" si="9"/>
        <v>0</v>
      </c>
      <c r="J65" s="76">
        <f t="shared" si="10"/>
        <v>0</v>
      </c>
      <c r="K65" s="63">
        <f t="shared" si="6"/>
        <v>0</v>
      </c>
      <c r="N65" s="142">
        <v>4.54</v>
      </c>
      <c r="O65" s="15"/>
      <c r="P65" s="249">
        <f t="shared" si="15"/>
        <v>0</v>
      </c>
      <c r="Q65" s="779"/>
      <c r="R65" s="249">
        <f t="shared" si="18"/>
        <v>0</v>
      </c>
      <c r="S65" s="778"/>
      <c r="T65" s="191"/>
      <c r="U65" s="219">
        <f t="shared" si="11"/>
        <v>6.7501559897209518E-14</v>
      </c>
      <c r="V65" s="76">
        <f t="shared" si="12"/>
        <v>0</v>
      </c>
      <c r="W65" s="63">
        <f t="shared" si="7"/>
        <v>0</v>
      </c>
      <c r="Z65" s="142">
        <v>4.54</v>
      </c>
      <c r="AA65" s="15"/>
      <c r="AB65" s="249">
        <f t="shared" si="4"/>
        <v>0</v>
      </c>
      <c r="AC65" s="779"/>
      <c r="AD65" s="249">
        <f t="shared" si="19"/>
        <v>0</v>
      </c>
      <c r="AE65" s="778"/>
      <c r="AF65" s="191"/>
      <c r="AG65" s="219">
        <f t="shared" si="13"/>
        <v>1112.3</v>
      </c>
      <c r="AH65" s="76">
        <f t="shared" si="14"/>
        <v>245</v>
      </c>
      <c r="AI65" s="63">
        <f t="shared" si="8"/>
        <v>0</v>
      </c>
    </row>
    <row r="66" spans="2:35" x14ac:dyDescent="0.25">
      <c r="B66" s="142">
        <v>4.54</v>
      </c>
      <c r="C66" s="15"/>
      <c r="D66" s="249">
        <f t="shared" si="0"/>
        <v>0</v>
      </c>
      <c r="E66" s="779"/>
      <c r="F66" s="249">
        <f t="shared" si="17"/>
        <v>0</v>
      </c>
      <c r="G66" s="778"/>
      <c r="H66" s="191"/>
      <c r="I66" s="219">
        <f t="shared" si="9"/>
        <v>0</v>
      </c>
      <c r="J66" s="76">
        <f t="shared" si="10"/>
        <v>0</v>
      </c>
      <c r="K66" s="63">
        <f t="shared" si="6"/>
        <v>0</v>
      </c>
      <c r="N66" s="142">
        <v>4.54</v>
      </c>
      <c r="O66" s="15"/>
      <c r="P66" s="249">
        <f t="shared" si="15"/>
        <v>0</v>
      </c>
      <c r="Q66" s="779"/>
      <c r="R66" s="249">
        <f t="shared" si="18"/>
        <v>0</v>
      </c>
      <c r="S66" s="778"/>
      <c r="T66" s="191"/>
      <c r="U66" s="219">
        <f t="shared" si="11"/>
        <v>6.7501559897209518E-14</v>
      </c>
      <c r="V66" s="76">
        <f t="shared" si="12"/>
        <v>0</v>
      </c>
      <c r="W66" s="63">
        <f t="shared" si="7"/>
        <v>0</v>
      </c>
      <c r="Z66" s="142">
        <v>4.54</v>
      </c>
      <c r="AA66" s="15"/>
      <c r="AB66" s="249">
        <f t="shared" si="4"/>
        <v>0</v>
      </c>
      <c r="AC66" s="779"/>
      <c r="AD66" s="249">
        <f t="shared" si="19"/>
        <v>0</v>
      </c>
      <c r="AE66" s="778"/>
      <c r="AF66" s="191"/>
      <c r="AG66" s="219">
        <f t="shared" si="13"/>
        <v>1112.3</v>
      </c>
      <c r="AH66" s="76">
        <f t="shared" si="14"/>
        <v>245</v>
      </c>
      <c r="AI66" s="63">
        <f t="shared" si="8"/>
        <v>0</v>
      </c>
    </row>
    <row r="67" spans="2:35" x14ac:dyDescent="0.25">
      <c r="B67" s="142">
        <v>4.54</v>
      </c>
      <c r="C67" s="15"/>
      <c r="D67" s="249">
        <f t="shared" si="0"/>
        <v>0</v>
      </c>
      <c r="E67" s="779"/>
      <c r="F67" s="249">
        <f t="shared" si="17"/>
        <v>0</v>
      </c>
      <c r="G67" s="778"/>
      <c r="H67" s="191"/>
      <c r="I67" s="219">
        <f t="shared" si="9"/>
        <v>0</v>
      </c>
      <c r="J67" s="76">
        <f t="shared" si="10"/>
        <v>0</v>
      </c>
      <c r="K67" s="63">
        <f t="shared" si="6"/>
        <v>0</v>
      </c>
      <c r="N67" s="142">
        <v>4.54</v>
      </c>
      <c r="O67" s="15"/>
      <c r="P67" s="249">
        <f t="shared" si="15"/>
        <v>0</v>
      </c>
      <c r="Q67" s="779"/>
      <c r="R67" s="249">
        <f t="shared" si="18"/>
        <v>0</v>
      </c>
      <c r="S67" s="778"/>
      <c r="T67" s="191"/>
      <c r="U67" s="219">
        <f t="shared" si="11"/>
        <v>6.7501559897209518E-14</v>
      </c>
      <c r="V67" s="76">
        <f t="shared" si="12"/>
        <v>0</v>
      </c>
      <c r="W67" s="63">
        <f t="shared" si="7"/>
        <v>0</v>
      </c>
      <c r="Z67" s="142">
        <v>4.54</v>
      </c>
      <c r="AA67" s="15"/>
      <c r="AB67" s="249">
        <f t="shared" si="4"/>
        <v>0</v>
      </c>
      <c r="AC67" s="779"/>
      <c r="AD67" s="249">
        <f t="shared" si="19"/>
        <v>0</v>
      </c>
      <c r="AE67" s="778"/>
      <c r="AF67" s="191"/>
      <c r="AG67" s="219">
        <f t="shared" si="13"/>
        <v>1112.3</v>
      </c>
      <c r="AH67" s="76">
        <f t="shared" si="14"/>
        <v>245</v>
      </c>
      <c r="AI67" s="63">
        <f t="shared" si="8"/>
        <v>0</v>
      </c>
    </row>
    <row r="68" spans="2:35" x14ac:dyDescent="0.25">
      <c r="B68" s="142">
        <v>4.54</v>
      </c>
      <c r="C68" s="15"/>
      <c r="D68" s="249">
        <f t="shared" si="0"/>
        <v>0</v>
      </c>
      <c r="E68" s="779"/>
      <c r="F68" s="777">
        <f t="shared" si="17"/>
        <v>0</v>
      </c>
      <c r="G68" s="778"/>
      <c r="H68" s="191"/>
      <c r="I68" s="219">
        <f t="shared" si="9"/>
        <v>0</v>
      </c>
      <c r="J68" s="76">
        <f t="shared" si="10"/>
        <v>0</v>
      </c>
      <c r="K68" s="63">
        <f t="shared" si="6"/>
        <v>0</v>
      </c>
      <c r="N68" s="142">
        <v>4.54</v>
      </c>
      <c r="O68" s="15"/>
      <c r="P68" s="249">
        <f t="shared" si="15"/>
        <v>0</v>
      </c>
      <c r="Q68" s="779"/>
      <c r="R68" s="777">
        <f t="shared" si="18"/>
        <v>0</v>
      </c>
      <c r="S68" s="778"/>
      <c r="T68" s="191"/>
      <c r="U68" s="219">
        <f t="shared" si="11"/>
        <v>6.7501559897209518E-14</v>
      </c>
      <c r="V68" s="76">
        <f t="shared" si="12"/>
        <v>0</v>
      </c>
      <c r="W68" s="63">
        <f t="shared" si="7"/>
        <v>0</v>
      </c>
      <c r="Z68" s="142">
        <v>4.54</v>
      </c>
      <c r="AA68" s="15"/>
      <c r="AB68" s="249">
        <f t="shared" si="4"/>
        <v>0</v>
      </c>
      <c r="AC68" s="779"/>
      <c r="AD68" s="777">
        <f t="shared" si="19"/>
        <v>0</v>
      </c>
      <c r="AE68" s="778"/>
      <c r="AF68" s="191"/>
      <c r="AG68" s="219">
        <f t="shared" si="13"/>
        <v>1112.3</v>
      </c>
      <c r="AH68" s="76">
        <f t="shared" si="14"/>
        <v>245</v>
      </c>
      <c r="AI68" s="63">
        <f t="shared" si="8"/>
        <v>0</v>
      </c>
    </row>
    <row r="69" spans="2:35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5"/>
        <v>0</v>
      </c>
      <c r="Q69" s="227"/>
      <c r="R69" s="164">
        <f t="shared" si="18"/>
        <v>0</v>
      </c>
      <c r="S69" s="148"/>
      <c r="T69" s="228"/>
      <c r="U69" s="139"/>
      <c r="V69" s="76"/>
      <c r="Z69" s="142">
        <v>4.54</v>
      </c>
      <c r="AA69" s="38"/>
      <c r="AB69" s="249">
        <f t="shared" si="4"/>
        <v>0</v>
      </c>
      <c r="AC69" s="227"/>
      <c r="AD69" s="164">
        <f t="shared" si="19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221</v>
      </c>
      <c r="D70" s="6">
        <f>SUM(D9:D69)</f>
        <v>1003.3399999999999</v>
      </c>
      <c r="E70" s="13"/>
      <c r="F70" s="6">
        <f>SUM(F9:F69)</f>
        <v>1003.3399999999999</v>
      </c>
      <c r="G70" s="31"/>
      <c r="H70" s="17"/>
      <c r="I70" s="139"/>
      <c r="J70" s="76"/>
      <c r="O70" s="15">
        <f>SUM(O9:O69)</f>
        <v>111</v>
      </c>
      <c r="P70" s="6">
        <f>SUM(P9:P69)</f>
        <v>503.94</v>
      </c>
      <c r="Q70" s="13"/>
      <c r="R70" s="6">
        <f>SUM(R9:R69)</f>
        <v>503.94</v>
      </c>
      <c r="S70" s="31"/>
      <c r="T70" s="17"/>
      <c r="U70" s="139"/>
      <c r="V70" s="76"/>
      <c r="AA70" s="15">
        <f>SUM(AA9:AA69)</f>
        <v>196</v>
      </c>
      <c r="AB70" s="6">
        <f>SUM(AB9:AB69)</f>
        <v>889.84</v>
      </c>
      <c r="AC70" s="13"/>
      <c r="AD70" s="6">
        <f>SUM(AD9:AD69)</f>
        <v>889.84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245</v>
      </c>
      <c r="AC72" s="41"/>
      <c r="AD72" s="6"/>
      <c r="AE72" s="31"/>
      <c r="AF72" s="17"/>
      <c r="AG72" s="139"/>
      <c r="AH72" s="76"/>
    </row>
    <row r="73" spans="2:35" x14ac:dyDescent="0.25">
      <c r="C73" s="1148" t="s">
        <v>19</v>
      </c>
      <c r="D73" s="1149"/>
      <c r="E73" s="40">
        <f>E4+E5-F70+E6+E7</f>
        <v>1.1368683772161603E-13</v>
      </c>
      <c r="F73" s="6"/>
      <c r="G73" s="6"/>
      <c r="H73" s="17"/>
      <c r="I73" s="139"/>
      <c r="J73" s="76"/>
      <c r="O73" s="1148" t="s">
        <v>19</v>
      </c>
      <c r="P73" s="1149"/>
      <c r="Q73" s="40">
        <f>Q4+Q5-R70+Q6+Q7</f>
        <v>0</v>
      </c>
      <c r="R73" s="6"/>
      <c r="S73" s="6"/>
      <c r="T73" s="17"/>
      <c r="U73" s="139"/>
      <c r="V73" s="76"/>
      <c r="AA73" s="1148" t="s">
        <v>19</v>
      </c>
      <c r="AB73" s="1149"/>
      <c r="AC73" s="40">
        <f>AC4+AC5-AD70+AC6+AC7</f>
        <v>1112.3000000000002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50" t="s">
        <v>19</v>
      </c>
      <c r="J7" s="1152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1"/>
      <c r="J8" s="1153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48" t="s">
        <v>19</v>
      </c>
      <c r="D64" s="1149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4" t="s">
        <v>269</v>
      </c>
      <c r="B1" s="1154"/>
      <c r="C1" s="1154"/>
      <c r="D1" s="1154"/>
      <c r="E1" s="1154"/>
      <c r="F1" s="1154"/>
      <c r="G1" s="1154"/>
      <c r="H1" s="103">
        <v>1</v>
      </c>
    </row>
    <row r="2" spans="1:10" ht="15.75" thickBot="1" x14ac:dyDescent="0.3">
      <c r="B2" s="743"/>
      <c r="D2" s="48"/>
      <c r="F2" s="5"/>
    </row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26.25" customHeight="1" thickTop="1" x14ac:dyDescent="0.25">
      <c r="B4" s="1159" t="s">
        <v>80</v>
      </c>
      <c r="C4" s="320"/>
      <c r="D4" s="478"/>
      <c r="E4" s="375"/>
      <c r="F4" s="346"/>
      <c r="G4" s="76"/>
    </row>
    <row r="5" spans="1:10" ht="15" customHeight="1" thickBot="1" x14ac:dyDescent="0.3">
      <c r="A5" s="518" t="s">
        <v>105</v>
      </c>
      <c r="B5" s="1160"/>
      <c r="C5" s="320">
        <v>68</v>
      </c>
      <c r="D5" s="478">
        <v>44342</v>
      </c>
      <c r="E5" s="375">
        <v>907.54</v>
      </c>
      <c r="F5" s="346">
        <v>30</v>
      </c>
      <c r="G5" s="332">
        <f>F37</f>
        <v>1264.94</v>
      </c>
      <c r="H5" s="61">
        <f>E4+E5+E6-G5</f>
        <v>0</v>
      </c>
    </row>
    <row r="6" spans="1:10" ht="16.5" customHeight="1" thickBot="1" x14ac:dyDescent="0.3">
      <c r="A6" s="668"/>
      <c r="B6" s="479"/>
      <c r="C6" s="320"/>
      <c r="D6" s="478"/>
      <c r="E6" s="375">
        <v>357.4</v>
      </c>
      <c r="F6" s="346">
        <v>13</v>
      </c>
      <c r="G6" s="268"/>
      <c r="H6" s="265"/>
      <c r="I6" s="265"/>
    </row>
    <row r="7" spans="1:10" ht="15.75" customHeight="1" thickBot="1" x14ac:dyDescent="0.35">
      <c r="A7" s="668"/>
      <c r="B7" s="466"/>
      <c r="C7" s="320"/>
      <c r="D7" s="478"/>
      <c r="E7" s="375"/>
      <c r="F7" s="346"/>
      <c r="G7" s="268"/>
      <c r="H7" s="265"/>
      <c r="I7" s="819"/>
      <c r="J7" s="600"/>
    </row>
    <row r="8" spans="1:10" ht="16.5" customHeight="1" thickTop="1" thickBot="1" x14ac:dyDescent="0.3">
      <c r="A8" s="265"/>
      <c r="B8" s="744"/>
      <c r="C8" s="320"/>
      <c r="D8" s="341"/>
      <c r="E8" s="476"/>
      <c r="F8" s="477"/>
      <c r="G8" s="268"/>
      <c r="H8" s="265"/>
      <c r="I8" s="1155" t="s">
        <v>50</v>
      </c>
      <c r="J8" s="11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0" t="s">
        <v>15</v>
      </c>
      <c r="H9" s="821"/>
      <c r="I9" s="1156"/>
      <c r="J9" s="1158"/>
    </row>
    <row r="10" spans="1:10" ht="15.75" thickTop="1" x14ac:dyDescent="0.25">
      <c r="A10" s="2"/>
      <c r="B10" s="87"/>
      <c r="C10" s="15">
        <v>17</v>
      </c>
      <c r="D10" s="165">
        <v>518.55999999999995</v>
      </c>
      <c r="E10" s="357">
        <v>44352</v>
      </c>
      <c r="F10" s="72">
        <f t="shared" ref="F10:F36" si="0">D10</f>
        <v>518.55999999999995</v>
      </c>
      <c r="G10" s="291" t="s">
        <v>164</v>
      </c>
      <c r="H10" s="946">
        <v>52</v>
      </c>
      <c r="I10" s="243">
        <f>E4+E5+E6-F10+E7+E8</f>
        <v>746.38000000000011</v>
      </c>
      <c r="J10" s="134">
        <f>F4+F5+F6+F7-C10+F8</f>
        <v>26</v>
      </c>
    </row>
    <row r="11" spans="1:10" x14ac:dyDescent="0.25">
      <c r="A11" s="2"/>
      <c r="B11" s="87"/>
      <c r="C11" s="15">
        <v>18</v>
      </c>
      <c r="D11" s="165">
        <v>512.97</v>
      </c>
      <c r="E11" s="358">
        <v>44357</v>
      </c>
      <c r="F11" s="72">
        <f t="shared" si="0"/>
        <v>512.97</v>
      </c>
      <c r="G11" s="291" t="s">
        <v>176</v>
      </c>
      <c r="H11" s="292">
        <v>52</v>
      </c>
      <c r="I11" s="293">
        <f>I10-F11</f>
        <v>233.41000000000008</v>
      </c>
      <c r="J11" s="294">
        <f>J10-C11</f>
        <v>8</v>
      </c>
    </row>
    <row r="12" spans="1:10" x14ac:dyDescent="0.25">
      <c r="A12" s="84" t="s">
        <v>32</v>
      </c>
      <c r="B12" s="87"/>
      <c r="C12" s="15">
        <v>8</v>
      </c>
      <c r="D12" s="1013">
        <v>233.41</v>
      </c>
      <c r="E12" s="983">
        <v>44393</v>
      </c>
      <c r="F12" s="249">
        <f t="shared" si="0"/>
        <v>233.41</v>
      </c>
      <c r="G12" s="463" t="s">
        <v>487</v>
      </c>
      <c r="H12" s="464">
        <v>52</v>
      </c>
      <c r="I12" s="293">
        <f t="shared" ref="I12:I26" si="1">I11-F12</f>
        <v>0</v>
      </c>
      <c r="J12" s="294">
        <f t="shared" ref="J12:J26" si="2">J11-C12</f>
        <v>0</v>
      </c>
    </row>
    <row r="13" spans="1:10" x14ac:dyDescent="0.25">
      <c r="A13" s="85"/>
      <c r="B13" s="87"/>
      <c r="C13" s="15"/>
      <c r="D13" s="1013">
        <v>0</v>
      </c>
      <c r="E13" s="984"/>
      <c r="F13" s="249">
        <f t="shared" si="0"/>
        <v>0</v>
      </c>
      <c r="G13" s="1057"/>
      <c r="H13" s="1058"/>
      <c r="I13" s="1059">
        <f t="shared" si="1"/>
        <v>0</v>
      </c>
      <c r="J13" s="1060">
        <f t="shared" si="2"/>
        <v>0</v>
      </c>
    </row>
    <row r="14" spans="1:10" x14ac:dyDescent="0.25">
      <c r="A14" s="87"/>
      <c r="B14" s="87"/>
      <c r="C14" s="15"/>
      <c r="D14" s="1013">
        <v>0</v>
      </c>
      <c r="E14" s="984"/>
      <c r="F14" s="249">
        <f t="shared" si="0"/>
        <v>0</v>
      </c>
      <c r="G14" s="1057"/>
      <c r="H14" s="1058"/>
      <c r="I14" s="1059">
        <f t="shared" si="1"/>
        <v>0</v>
      </c>
      <c r="J14" s="1060">
        <f t="shared" si="2"/>
        <v>0</v>
      </c>
    </row>
    <row r="15" spans="1:10" x14ac:dyDescent="0.25">
      <c r="A15" s="86" t="s">
        <v>33</v>
      </c>
      <c r="B15" s="87"/>
      <c r="C15" s="15"/>
      <c r="D15" s="1013">
        <v>0</v>
      </c>
      <c r="E15" s="984"/>
      <c r="F15" s="249">
        <f t="shared" si="0"/>
        <v>0</v>
      </c>
      <c r="G15" s="1057"/>
      <c r="H15" s="1058"/>
      <c r="I15" s="1059">
        <f t="shared" si="1"/>
        <v>0</v>
      </c>
      <c r="J15" s="1060">
        <f t="shared" si="2"/>
        <v>0</v>
      </c>
    </row>
    <row r="16" spans="1:10" x14ac:dyDescent="0.25">
      <c r="A16" s="85"/>
      <c r="B16" s="87"/>
      <c r="C16" s="15"/>
      <c r="D16" s="1013">
        <v>0</v>
      </c>
      <c r="E16" s="983"/>
      <c r="F16" s="249">
        <f t="shared" si="0"/>
        <v>0</v>
      </c>
      <c r="G16" s="1057"/>
      <c r="H16" s="1058"/>
      <c r="I16" s="1059">
        <f t="shared" si="1"/>
        <v>0</v>
      </c>
      <c r="J16" s="1060">
        <f t="shared" si="2"/>
        <v>0</v>
      </c>
    </row>
    <row r="17" spans="1:10" x14ac:dyDescent="0.25">
      <c r="A17" s="87"/>
      <c r="B17" s="87"/>
      <c r="C17" s="15"/>
      <c r="D17" s="1013">
        <v>0</v>
      </c>
      <c r="E17" s="984"/>
      <c r="F17" s="249">
        <f t="shared" si="0"/>
        <v>0</v>
      </c>
      <c r="G17" s="1057"/>
      <c r="H17" s="1058"/>
      <c r="I17" s="1059">
        <f t="shared" si="1"/>
        <v>0</v>
      </c>
      <c r="J17" s="1060">
        <f t="shared" si="2"/>
        <v>0</v>
      </c>
    </row>
    <row r="18" spans="1:10" x14ac:dyDescent="0.25">
      <c r="A18" s="2"/>
      <c r="B18" s="87"/>
      <c r="C18" s="15"/>
      <c r="D18" s="1013">
        <v>0</v>
      </c>
      <c r="E18" s="984"/>
      <c r="F18" s="249">
        <f t="shared" si="0"/>
        <v>0</v>
      </c>
      <c r="G18" s="1014"/>
      <c r="H18" s="46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55"/>
      <c r="D19" s="1013">
        <v>0</v>
      </c>
      <c r="E19" s="984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1013">
        <v>0</v>
      </c>
      <c r="E20" s="983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1013">
        <v>0</v>
      </c>
      <c r="E21" s="983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0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0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0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0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0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0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0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0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0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43</v>
      </c>
      <c r="D37" s="165">
        <v>0</v>
      </c>
      <c r="E37" s="39"/>
      <c r="F37" s="5">
        <f>SUM(F10:F36)</f>
        <v>1264.94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142" t="s">
        <v>11</v>
      </c>
      <c r="D40" s="1143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18"/>
      <c r="B1" s="1118"/>
      <c r="C1" s="1118"/>
      <c r="D1" s="1118"/>
      <c r="E1" s="1118"/>
      <c r="F1" s="1118"/>
      <c r="G1" s="111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63" t="s">
        <v>67</v>
      </c>
      <c r="B5" s="1165" t="s">
        <v>146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64"/>
      <c r="B6" s="1166"/>
      <c r="C6" s="272"/>
      <c r="D6" s="341"/>
      <c r="E6" s="345"/>
      <c r="F6" s="346"/>
      <c r="G6" s="265"/>
      <c r="I6" s="1167" t="s">
        <v>3</v>
      </c>
      <c r="J6" s="11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8"/>
      <c r="J7" s="1162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6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42" t="s">
        <v>11</v>
      </c>
      <c r="D47" s="1143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18"/>
      <c r="B1" s="1118"/>
      <c r="C1" s="1118"/>
      <c r="D1" s="1118"/>
      <c r="E1" s="1118"/>
      <c r="F1" s="1118"/>
      <c r="G1" s="111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38"/>
      <c r="B5" s="1165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39"/>
      <c r="B6" s="1166"/>
      <c r="C6" s="272"/>
      <c r="D6" s="341"/>
      <c r="E6" s="345"/>
      <c r="F6" s="346"/>
      <c r="G6" s="265"/>
      <c r="I6" s="1167" t="s">
        <v>3</v>
      </c>
      <c r="J6" s="116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8"/>
      <c r="J7" s="1162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42" t="s">
        <v>11</v>
      </c>
      <c r="D33" s="1143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B1"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24" t="s">
        <v>168</v>
      </c>
      <c r="B1" s="1124"/>
      <c r="C1" s="1124"/>
      <c r="D1" s="1124"/>
      <c r="E1" s="1124"/>
      <c r="F1" s="1124"/>
      <c r="G1" s="1124"/>
      <c r="H1" s="103">
        <v>1</v>
      </c>
      <c r="L1" s="1124" t="s">
        <v>270</v>
      </c>
      <c r="M1" s="1124"/>
      <c r="N1" s="1124"/>
      <c r="O1" s="1124"/>
      <c r="P1" s="1124"/>
      <c r="Q1" s="1124"/>
      <c r="R1" s="1124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73" t="s">
        <v>67</v>
      </c>
      <c r="B5" s="1174" t="s">
        <v>167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73" t="s">
        <v>67</v>
      </c>
      <c r="M5" s="1174" t="s">
        <v>167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73"/>
      <c r="B6" s="1174"/>
      <c r="C6" s="515"/>
      <c r="D6" s="273"/>
      <c r="E6" s="585"/>
      <c r="F6" s="153"/>
      <c r="G6" s="332"/>
      <c r="H6" s="61">
        <f>E4+E5+E6+E7-G5</f>
        <v>1031.04</v>
      </c>
      <c r="L6" s="1173"/>
      <c r="M6" s="1174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71" t="s">
        <v>3</v>
      </c>
      <c r="J7" s="1169" t="s">
        <v>4</v>
      </c>
      <c r="L7" s="316"/>
      <c r="M7" s="979"/>
      <c r="N7" s="515"/>
      <c r="O7" s="273"/>
      <c r="P7" s="585"/>
      <c r="Q7" s="153"/>
      <c r="R7" s="265"/>
      <c r="T7" s="1171" t="s">
        <v>3</v>
      </c>
      <c r="U7" s="116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72"/>
      <c r="J8" s="1170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72"/>
      <c r="U8" s="1170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42" t="s">
        <v>11</v>
      </c>
      <c r="D48" s="1143"/>
      <c r="E48" s="155" t="e">
        <f>E6+E5+#REF!+-F45</f>
        <v>#REF!</v>
      </c>
      <c r="L48" s="48"/>
      <c r="N48" s="1142" t="s">
        <v>11</v>
      </c>
      <c r="O48" s="1143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75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76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0"/>
      <c r="E9" s="783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3"/>
      <c r="E10" s="784"/>
      <c r="F10" s="481">
        <f t="shared" ref="F10:F29" si="0">D10</f>
        <v>0</v>
      </c>
      <c r="G10" s="517"/>
      <c r="H10" s="705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3"/>
      <c r="E11" s="822"/>
      <c r="F11" s="481">
        <f t="shared" si="0"/>
        <v>0</v>
      </c>
      <c r="G11" s="517"/>
      <c r="H11" s="705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3"/>
      <c r="E12" s="822"/>
      <c r="F12" s="481">
        <f t="shared" si="0"/>
        <v>0</v>
      </c>
      <c r="G12" s="517"/>
      <c r="H12" s="705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3"/>
      <c r="E13" s="822"/>
      <c r="F13" s="481">
        <f t="shared" si="0"/>
        <v>0</v>
      </c>
      <c r="G13" s="517"/>
      <c r="H13" s="705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3"/>
      <c r="E14" s="784"/>
      <c r="F14" s="481">
        <f t="shared" si="0"/>
        <v>0</v>
      </c>
      <c r="G14" s="517"/>
      <c r="H14" s="705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3"/>
      <c r="E15" s="784"/>
      <c r="F15" s="481">
        <f t="shared" si="0"/>
        <v>0</v>
      </c>
      <c r="G15" s="517"/>
      <c r="H15" s="705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3"/>
      <c r="E16" s="784"/>
      <c r="F16" s="481">
        <f t="shared" si="0"/>
        <v>0</v>
      </c>
      <c r="G16" s="517"/>
      <c r="H16" s="705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3"/>
      <c r="E17" s="785"/>
      <c r="F17" s="481">
        <f t="shared" si="0"/>
        <v>0</v>
      </c>
      <c r="G17" s="517"/>
      <c r="H17" s="705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3"/>
      <c r="E18" s="785"/>
      <c r="F18" s="481">
        <f t="shared" si="0"/>
        <v>0</v>
      </c>
      <c r="G18" s="517"/>
      <c r="H18" s="705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3"/>
      <c r="E19" s="785"/>
      <c r="F19" s="481">
        <f t="shared" si="0"/>
        <v>0</v>
      </c>
      <c r="G19" s="482"/>
      <c r="H19" s="681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3"/>
      <c r="E20" s="785"/>
      <c r="F20" s="481">
        <f t="shared" si="0"/>
        <v>0</v>
      </c>
      <c r="G20" s="482"/>
      <c r="H20" s="681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3"/>
      <c r="E21" s="785"/>
      <c r="F21" s="481">
        <f t="shared" si="0"/>
        <v>0</v>
      </c>
      <c r="G21" s="482"/>
      <c r="H21" s="681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3"/>
      <c r="E22" s="785"/>
      <c r="F22" s="481">
        <f t="shared" si="0"/>
        <v>0</v>
      </c>
      <c r="G22" s="482"/>
      <c r="H22" s="681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3"/>
      <c r="E23" s="785"/>
      <c r="F23" s="481">
        <f t="shared" si="0"/>
        <v>0</v>
      </c>
      <c r="G23" s="482"/>
      <c r="H23" s="681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1"/>
      <c r="E24" s="785"/>
      <c r="F24" s="481">
        <f t="shared" si="0"/>
        <v>0</v>
      </c>
      <c r="G24" s="482"/>
      <c r="H24" s="681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1"/>
      <c r="E25" s="785"/>
      <c r="F25" s="481">
        <f t="shared" si="0"/>
        <v>0</v>
      </c>
      <c r="G25" s="482"/>
      <c r="H25" s="681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1"/>
      <c r="E26" s="785"/>
      <c r="F26" s="481">
        <f t="shared" si="0"/>
        <v>0</v>
      </c>
      <c r="G26" s="482"/>
      <c r="H26" s="681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1"/>
      <c r="E27" s="785"/>
      <c r="F27" s="481">
        <f t="shared" si="0"/>
        <v>0</v>
      </c>
      <c r="G27" s="482"/>
      <c r="H27" s="681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1"/>
      <c r="E28" s="785"/>
      <c r="F28" s="481">
        <f t="shared" si="0"/>
        <v>0</v>
      </c>
      <c r="G28" s="482"/>
      <c r="H28" s="681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1"/>
      <c r="E29" s="785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1"/>
      <c r="E30" s="786"/>
      <c r="F30" s="516"/>
      <c r="G30" s="522"/>
      <c r="H30" s="520"/>
    </row>
    <row r="31" spans="2:10" x14ac:dyDescent="0.25">
      <c r="B31" s="530"/>
      <c r="C31" s="480"/>
      <c r="D31" s="781"/>
      <c r="E31" s="787"/>
      <c r="F31" s="516"/>
      <c r="G31" s="523"/>
      <c r="H31" s="523"/>
    </row>
    <row r="32" spans="2:10" ht="15.75" thickBot="1" x14ac:dyDescent="0.3">
      <c r="B32" s="77"/>
      <c r="C32" s="483"/>
      <c r="D32" s="782"/>
      <c r="E32" s="788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7" t="s">
        <v>75</v>
      </c>
      <c r="C4" s="107"/>
      <c r="D4" s="144"/>
      <c r="E4" s="90"/>
      <c r="F4" s="76"/>
      <c r="G4" s="612"/>
    </row>
    <row r="5" spans="1:9" x14ac:dyDescent="0.25">
      <c r="A5" s="79"/>
      <c r="B5" s="1178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6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2"/>
      <c r="E11" s="532"/>
      <c r="F11" s="481">
        <f t="shared" ref="F11:F30" si="0">D11</f>
        <v>0</v>
      </c>
      <c r="G11" s="517"/>
      <c r="H11" s="705"/>
      <c r="I11" s="706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2"/>
      <c r="E12" s="532"/>
      <c r="F12" s="481">
        <f t="shared" si="0"/>
        <v>0</v>
      </c>
      <c r="G12" s="517"/>
      <c r="H12" s="705"/>
      <c r="I12" s="706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2"/>
      <c r="E13" s="532"/>
      <c r="F13" s="481">
        <f t="shared" si="0"/>
        <v>0</v>
      </c>
      <c r="G13" s="517"/>
      <c r="H13" s="705"/>
      <c r="I13" s="706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2"/>
      <c r="E14" s="532"/>
      <c r="F14" s="481">
        <f t="shared" si="0"/>
        <v>0</v>
      </c>
      <c r="G14" s="517"/>
      <c r="H14" s="705"/>
      <c r="I14" s="706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2"/>
      <c r="E15" s="532"/>
      <c r="F15" s="481">
        <f t="shared" si="0"/>
        <v>0</v>
      </c>
      <c r="G15" s="517"/>
      <c r="H15" s="705"/>
      <c r="I15" s="706">
        <f t="shared" si="2"/>
        <v>0</v>
      </c>
    </row>
    <row r="16" spans="1:9" x14ac:dyDescent="0.25">
      <c r="B16" s="529">
        <f t="shared" si="1"/>
        <v>0</v>
      </c>
      <c r="C16" s="480"/>
      <c r="D16" s="682"/>
      <c r="E16" s="532"/>
      <c r="F16" s="481">
        <f t="shared" si="0"/>
        <v>0</v>
      </c>
      <c r="G16" s="517"/>
      <c r="H16" s="705"/>
      <c r="I16" s="706">
        <f t="shared" si="2"/>
        <v>0</v>
      </c>
    </row>
    <row r="17" spans="2:9" x14ac:dyDescent="0.25">
      <c r="B17" s="529">
        <f t="shared" si="1"/>
        <v>0</v>
      </c>
      <c r="C17" s="480"/>
      <c r="D17" s="682"/>
      <c r="E17" s="532"/>
      <c r="F17" s="481">
        <f t="shared" si="0"/>
        <v>0</v>
      </c>
      <c r="G17" s="517"/>
      <c r="H17" s="705"/>
      <c r="I17" s="706">
        <f t="shared" si="2"/>
        <v>0</v>
      </c>
    </row>
    <row r="18" spans="2:9" x14ac:dyDescent="0.25">
      <c r="B18" s="529">
        <f t="shared" si="1"/>
        <v>0</v>
      </c>
      <c r="C18" s="480"/>
      <c r="D18" s="682"/>
      <c r="E18" s="533"/>
      <c r="F18" s="481">
        <f t="shared" si="0"/>
        <v>0</v>
      </c>
      <c r="G18" s="517"/>
      <c r="H18" s="705"/>
      <c r="I18" s="706">
        <f t="shared" si="2"/>
        <v>0</v>
      </c>
    </row>
    <row r="19" spans="2:9" x14ac:dyDescent="0.25">
      <c r="B19" s="529">
        <f t="shared" si="1"/>
        <v>0</v>
      </c>
      <c r="C19" s="480"/>
      <c r="D19" s="682"/>
      <c r="E19" s="533"/>
      <c r="F19" s="481">
        <f t="shared" si="0"/>
        <v>0</v>
      </c>
      <c r="G19" s="517"/>
      <c r="H19" s="705"/>
      <c r="I19" s="706">
        <f t="shared" si="2"/>
        <v>0</v>
      </c>
    </row>
    <row r="20" spans="2:9" x14ac:dyDescent="0.25">
      <c r="B20" s="529">
        <f t="shared" si="1"/>
        <v>0</v>
      </c>
      <c r="C20" s="480"/>
      <c r="D20" s="682"/>
      <c r="E20" s="679"/>
      <c r="F20" s="677">
        <f t="shared" si="0"/>
        <v>0</v>
      </c>
      <c r="G20" s="678"/>
      <c r="H20" s="680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3"/>
      <c r="E21" s="533"/>
      <c r="F21" s="481">
        <f t="shared" si="0"/>
        <v>0</v>
      </c>
      <c r="G21" s="482"/>
      <c r="H21" s="681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3"/>
      <c r="E22" s="533"/>
      <c r="F22" s="481">
        <f t="shared" si="0"/>
        <v>0</v>
      </c>
      <c r="G22" s="482"/>
      <c r="H22" s="681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3"/>
      <c r="E23" s="533"/>
      <c r="F23" s="481">
        <f t="shared" si="0"/>
        <v>0</v>
      </c>
      <c r="G23" s="482"/>
      <c r="H23" s="681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3"/>
      <c r="E24" s="533"/>
      <c r="F24" s="481">
        <f t="shared" si="0"/>
        <v>0</v>
      </c>
      <c r="G24" s="482"/>
      <c r="H24" s="681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3"/>
      <c r="E25" s="533"/>
      <c r="F25" s="481">
        <f t="shared" si="0"/>
        <v>0</v>
      </c>
      <c r="G25" s="482"/>
      <c r="H25" s="681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3"/>
      <c r="E26" s="533"/>
      <c r="F26" s="481">
        <f t="shared" si="0"/>
        <v>0</v>
      </c>
      <c r="G26" s="482"/>
      <c r="H26" s="681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3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3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3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9" t="s">
        <v>148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80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1"/>
      <c r="E9" s="702"/>
      <c r="F9" s="707">
        <f t="shared" si="0"/>
        <v>0</v>
      </c>
      <c r="G9" s="708"/>
      <c r="H9" s="709"/>
      <c r="I9" s="288">
        <f>I8-D9</f>
        <v>0</v>
      </c>
    </row>
    <row r="10" spans="1:9" ht="15.75" x14ac:dyDescent="0.25">
      <c r="A10" s="79"/>
      <c r="B10" s="2"/>
      <c r="C10" s="15"/>
      <c r="D10" s="701"/>
      <c r="E10" s="702"/>
      <c r="F10" s="707">
        <f t="shared" si="0"/>
        <v>0</v>
      </c>
      <c r="G10" s="708"/>
      <c r="H10" s="709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1"/>
      <c r="E11" s="960"/>
      <c r="F11" s="707">
        <f t="shared" si="0"/>
        <v>0</v>
      </c>
      <c r="G11" s="708"/>
      <c r="H11" s="709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61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61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61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61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83"/>
  <sheetViews>
    <sheetView topLeftCell="K16" workbookViewId="0">
      <selection activeCell="O37" sqref="O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18" t="s">
        <v>275</v>
      </c>
      <c r="B1" s="1118"/>
      <c r="C1" s="1118"/>
      <c r="D1" s="1118"/>
      <c r="E1" s="1118"/>
      <c r="F1" s="1118"/>
      <c r="G1" s="1118"/>
      <c r="H1" s="11">
        <v>1</v>
      </c>
      <c r="K1" s="1118" t="s">
        <v>275</v>
      </c>
      <c r="L1" s="1118"/>
      <c r="M1" s="1118"/>
      <c r="N1" s="1118"/>
      <c r="O1" s="1118"/>
      <c r="P1" s="1118"/>
      <c r="Q1" s="1118"/>
      <c r="R1" s="11">
        <v>1</v>
      </c>
    </row>
    <row r="2" spans="1:19" ht="15.75" thickBot="1" x14ac:dyDescent="0.3">
      <c r="A2" t="s">
        <v>85</v>
      </c>
      <c r="C2" s="12"/>
      <c r="D2" s="12"/>
      <c r="F2" s="12"/>
      <c r="K2" t="s">
        <v>85</v>
      </c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43.5" x14ac:dyDescent="0.25">
      <c r="A5" s="275" t="s">
        <v>68</v>
      </c>
      <c r="B5" s="1119" t="s">
        <v>283</v>
      </c>
      <c r="C5" s="1017">
        <v>52.5</v>
      </c>
      <c r="D5" s="1018">
        <v>44382</v>
      </c>
      <c r="E5" s="1019">
        <v>5030.5</v>
      </c>
      <c r="F5" s="1020"/>
      <c r="G5" s="286"/>
      <c r="K5" s="999" t="s">
        <v>285</v>
      </c>
      <c r="L5" s="1122" t="s">
        <v>284</v>
      </c>
      <c r="M5" s="1017" t="s">
        <v>286</v>
      </c>
      <c r="N5" s="1018">
        <v>44386</v>
      </c>
      <c r="O5" s="1019">
        <v>18469.82</v>
      </c>
      <c r="P5" s="1020">
        <v>25</v>
      </c>
      <c r="Q5" s="1056">
        <v>18532.5</v>
      </c>
      <c r="R5" s="7">
        <f>O5+O6+O7-Q5</f>
        <v>-62.680000000000291</v>
      </c>
    </row>
    <row r="6" spans="1:19" x14ac:dyDescent="0.25">
      <c r="A6" s="710"/>
      <c r="B6" s="1119"/>
      <c r="C6" s="671"/>
      <c r="D6" s="273"/>
      <c r="E6" s="293"/>
      <c r="F6" s="279"/>
      <c r="G6" s="288">
        <f>F78</f>
        <v>5030.5</v>
      </c>
      <c r="H6" s="7">
        <f>E6-G6+E7+E5-G5</f>
        <v>0</v>
      </c>
      <c r="K6" s="710"/>
      <c r="L6" s="1122"/>
      <c r="M6" s="671"/>
      <c r="N6" s="273"/>
      <c r="O6" s="293"/>
      <c r="P6" s="279"/>
      <c r="Q6" s="288"/>
      <c r="R6" s="286"/>
    </row>
    <row r="7" spans="1:1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/>
      <c r="C9" s="15">
        <v>1</v>
      </c>
      <c r="D9" s="290">
        <v>852.5</v>
      </c>
      <c r="E9" s="323">
        <v>44383</v>
      </c>
      <c r="F9" s="290">
        <f t="shared" ref="F9:F72" si="0">D9</f>
        <v>852.5</v>
      </c>
      <c r="G9" s="291" t="s">
        <v>412</v>
      </c>
      <c r="H9" s="292">
        <v>52</v>
      </c>
      <c r="I9" s="302">
        <f>E6-F9+E5+E7</f>
        <v>4178</v>
      </c>
      <c r="K9" s="84" t="s">
        <v>32</v>
      </c>
      <c r="L9" s="87">
        <v>1</v>
      </c>
      <c r="M9" s="65" t="s">
        <v>287</v>
      </c>
      <c r="N9" s="290">
        <v>772</v>
      </c>
      <c r="O9" s="323">
        <v>44386</v>
      </c>
      <c r="P9" s="290">
        <f t="shared" ref="P9:P72" si="1">N9</f>
        <v>772</v>
      </c>
      <c r="Q9" s="291" t="s">
        <v>447</v>
      </c>
      <c r="R9" s="292">
        <v>53</v>
      </c>
      <c r="S9" s="302">
        <f>O6-P9+O5+O7</f>
        <v>17697.82</v>
      </c>
    </row>
    <row r="10" spans="1:19" x14ac:dyDescent="0.25">
      <c r="A10" s="224"/>
      <c r="B10" s="87"/>
      <c r="C10" s="15">
        <v>1</v>
      </c>
      <c r="D10" s="290">
        <v>849.5</v>
      </c>
      <c r="E10" s="323">
        <v>44383</v>
      </c>
      <c r="F10" s="290">
        <f t="shared" si="0"/>
        <v>849.5</v>
      </c>
      <c r="G10" s="291" t="s">
        <v>412</v>
      </c>
      <c r="H10" s="292">
        <v>52</v>
      </c>
      <c r="I10" s="302">
        <f>I9-F10</f>
        <v>3328.5</v>
      </c>
      <c r="K10" s="224"/>
      <c r="L10" s="87">
        <v>1</v>
      </c>
      <c r="M10" s="65" t="s">
        <v>288</v>
      </c>
      <c r="N10" s="290">
        <v>776</v>
      </c>
      <c r="O10" s="323">
        <v>44386</v>
      </c>
      <c r="P10" s="290">
        <f t="shared" si="1"/>
        <v>776</v>
      </c>
      <c r="Q10" s="291" t="s">
        <v>443</v>
      </c>
      <c r="R10" s="292">
        <v>53</v>
      </c>
      <c r="S10" s="302">
        <f>S9-P10</f>
        <v>16921.82</v>
      </c>
    </row>
    <row r="11" spans="1:19" x14ac:dyDescent="0.25">
      <c r="A11" s="211"/>
      <c r="B11" s="87"/>
      <c r="C11" s="15">
        <v>1</v>
      </c>
      <c r="D11" s="290">
        <v>688.5</v>
      </c>
      <c r="E11" s="323">
        <v>44383</v>
      </c>
      <c r="F11" s="290">
        <f t="shared" si="0"/>
        <v>688.5</v>
      </c>
      <c r="G11" s="291" t="s">
        <v>412</v>
      </c>
      <c r="H11" s="292">
        <v>52</v>
      </c>
      <c r="I11" s="302">
        <f t="shared" ref="I11:I74" si="2">I10-F11</f>
        <v>2640</v>
      </c>
      <c r="K11" s="211"/>
      <c r="L11" s="87">
        <v>1</v>
      </c>
      <c r="M11" s="65" t="s">
        <v>289</v>
      </c>
      <c r="N11" s="290">
        <v>854</v>
      </c>
      <c r="O11" s="323">
        <v>44386</v>
      </c>
      <c r="P11" s="290">
        <f t="shared" si="1"/>
        <v>854</v>
      </c>
      <c r="Q11" s="291" t="s">
        <v>443</v>
      </c>
      <c r="R11" s="292">
        <v>53</v>
      </c>
      <c r="S11" s="302">
        <f t="shared" ref="S11:S74" si="3">S10-P11</f>
        <v>16067.82</v>
      </c>
    </row>
    <row r="12" spans="1:19" x14ac:dyDescent="0.25">
      <c r="A12" s="211"/>
      <c r="B12" s="87"/>
      <c r="C12" s="15">
        <v>1</v>
      </c>
      <c r="D12" s="290">
        <v>873.5</v>
      </c>
      <c r="E12" s="323">
        <v>44383</v>
      </c>
      <c r="F12" s="290">
        <f t="shared" si="0"/>
        <v>873.5</v>
      </c>
      <c r="G12" s="291" t="s">
        <v>412</v>
      </c>
      <c r="H12" s="292">
        <v>52</v>
      </c>
      <c r="I12" s="302">
        <f t="shared" si="2"/>
        <v>1766.5</v>
      </c>
      <c r="K12" s="211"/>
      <c r="L12" s="87">
        <v>1</v>
      </c>
      <c r="M12" s="65" t="s">
        <v>290</v>
      </c>
      <c r="N12" s="290">
        <v>823</v>
      </c>
      <c r="O12" s="323">
        <v>44386</v>
      </c>
      <c r="P12" s="290">
        <f t="shared" si="1"/>
        <v>823</v>
      </c>
      <c r="Q12" s="291" t="s">
        <v>444</v>
      </c>
      <c r="R12" s="292">
        <v>53</v>
      </c>
      <c r="S12" s="302">
        <f t="shared" si="3"/>
        <v>15244.82</v>
      </c>
    </row>
    <row r="13" spans="1:19" x14ac:dyDescent="0.25">
      <c r="A13" s="86" t="s">
        <v>33</v>
      </c>
      <c r="B13" s="87"/>
      <c r="C13" s="15">
        <v>1</v>
      </c>
      <c r="D13" s="290">
        <v>848</v>
      </c>
      <c r="E13" s="323">
        <v>44383</v>
      </c>
      <c r="F13" s="290">
        <f t="shared" si="0"/>
        <v>848</v>
      </c>
      <c r="G13" s="291" t="s">
        <v>412</v>
      </c>
      <c r="H13" s="292">
        <v>52</v>
      </c>
      <c r="I13" s="302">
        <f t="shared" si="2"/>
        <v>918.5</v>
      </c>
      <c r="K13" s="86" t="s">
        <v>33</v>
      </c>
      <c r="L13" s="87">
        <v>1</v>
      </c>
      <c r="M13" s="65" t="s">
        <v>289</v>
      </c>
      <c r="N13" s="290">
        <v>821.5</v>
      </c>
      <c r="O13" s="323">
        <v>44386</v>
      </c>
      <c r="P13" s="290">
        <f t="shared" si="1"/>
        <v>821.5</v>
      </c>
      <c r="Q13" s="291" t="s">
        <v>443</v>
      </c>
      <c r="R13" s="292">
        <v>53</v>
      </c>
      <c r="S13" s="302">
        <f t="shared" si="3"/>
        <v>14423.32</v>
      </c>
    </row>
    <row r="14" spans="1:19" x14ac:dyDescent="0.25">
      <c r="A14" s="76"/>
      <c r="B14" s="87"/>
      <c r="C14" s="15">
        <v>1</v>
      </c>
      <c r="D14" s="290">
        <v>918.5</v>
      </c>
      <c r="E14" s="323">
        <v>44383</v>
      </c>
      <c r="F14" s="290">
        <f t="shared" si="0"/>
        <v>918.5</v>
      </c>
      <c r="G14" s="291" t="s">
        <v>412</v>
      </c>
      <c r="H14" s="292">
        <v>52</v>
      </c>
      <c r="I14" s="302">
        <f t="shared" si="2"/>
        <v>0</v>
      </c>
      <c r="K14" s="76"/>
      <c r="L14" s="87">
        <v>1</v>
      </c>
      <c r="M14" s="65" t="s">
        <v>289</v>
      </c>
      <c r="N14" s="290">
        <v>613</v>
      </c>
      <c r="O14" s="323">
        <v>44386</v>
      </c>
      <c r="P14" s="290">
        <f t="shared" si="1"/>
        <v>613</v>
      </c>
      <c r="Q14" s="291" t="s">
        <v>444</v>
      </c>
      <c r="R14" s="292">
        <v>53</v>
      </c>
      <c r="S14" s="302">
        <f t="shared" si="3"/>
        <v>13810.32</v>
      </c>
    </row>
    <row r="15" spans="1:19" x14ac:dyDescent="0.25">
      <c r="A15" s="76"/>
      <c r="B15" s="87"/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  <c r="K15" s="76"/>
      <c r="L15" s="87">
        <v>1</v>
      </c>
      <c r="M15" s="65" t="s">
        <v>289</v>
      </c>
      <c r="N15" s="290">
        <v>810</v>
      </c>
      <c r="O15" s="323">
        <v>44386</v>
      </c>
      <c r="P15" s="290">
        <f t="shared" si="1"/>
        <v>810</v>
      </c>
      <c r="Q15" s="291" t="s">
        <v>444</v>
      </c>
      <c r="R15" s="292">
        <v>53</v>
      </c>
      <c r="S15" s="302">
        <f t="shared" si="3"/>
        <v>13000.32</v>
      </c>
    </row>
    <row r="16" spans="1:19" x14ac:dyDescent="0.25">
      <c r="B16" s="87"/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  <c r="L16" s="87">
        <v>1</v>
      </c>
      <c r="M16" s="65" t="s">
        <v>289</v>
      </c>
      <c r="N16" s="290">
        <v>843</v>
      </c>
      <c r="O16" s="323">
        <v>44386</v>
      </c>
      <c r="P16" s="290">
        <f t="shared" si="1"/>
        <v>843</v>
      </c>
      <c r="Q16" s="291" t="s">
        <v>443</v>
      </c>
      <c r="R16" s="292">
        <v>53</v>
      </c>
      <c r="S16" s="302">
        <f t="shared" si="3"/>
        <v>12157.32</v>
      </c>
    </row>
    <row r="17" spans="1:19" x14ac:dyDescent="0.25">
      <c r="B17" s="87"/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  <c r="L17" s="87">
        <v>1</v>
      </c>
      <c r="M17" s="65" t="s">
        <v>290</v>
      </c>
      <c r="N17" s="290">
        <v>772.5</v>
      </c>
      <c r="O17" s="323">
        <v>44386</v>
      </c>
      <c r="P17" s="290">
        <f t="shared" si="1"/>
        <v>772.5</v>
      </c>
      <c r="Q17" s="291" t="s">
        <v>443</v>
      </c>
      <c r="R17" s="292">
        <v>53</v>
      </c>
      <c r="S17" s="302">
        <f t="shared" si="3"/>
        <v>11384.82</v>
      </c>
    </row>
    <row r="18" spans="1:19" x14ac:dyDescent="0.25">
      <c r="A18" s="129"/>
      <c r="B18" s="87"/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  <c r="K18" s="129"/>
      <c r="L18" s="87">
        <v>1</v>
      </c>
      <c r="M18" s="65" t="s">
        <v>290</v>
      </c>
      <c r="N18" s="290">
        <v>829.5</v>
      </c>
      <c r="O18" s="323">
        <v>44386</v>
      </c>
      <c r="P18" s="290">
        <f t="shared" si="1"/>
        <v>829.5</v>
      </c>
      <c r="Q18" s="291" t="s">
        <v>443</v>
      </c>
      <c r="R18" s="292">
        <v>53</v>
      </c>
      <c r="S18" s="302">
        <f t="shared" si="3"/>
        <v>10555.32</v>
      </c>
    </row>
    <row r="19" spans="1:19" x14ac:dyDescent="0.25">
      <c r="A19" s="129"/>
      <c r="B19" s="87">
        <f t="shared" ref="B19:B54" si="4">B18-C19</f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  <c r="K19" s="129"/>
      <c r="L19" s="87">
        <v>1</v>
      </c>
      <c r="M19" s="65" t="s">
        <v>289</v>
      </c>
      <c r="N19" s="290">
        <v>844.5</v>
      </c>
      <c r="O19" s="323">
        <v>44386</v>
      </c>
      <c r="P19" s="290">
        <f t="shared" si="1"/>
        <v>844.5</v>
      </c>
      <c r="Q19" s="291" t="s">
        <v>447</v>
      </c>
      <c r="R19" s="292">
        <v>53</v>
      </c>
      <c r="S19" s="302">
        <f t="shared" si="3"/>
        <v>9710.82</v>
      </c>
    </row>
    <row r="20" spans="1:19" x14ac:dyDescent="0.25">
      <c r="A20" s="129"/>
      <c r="B20" s="87">
        <f t="shared" si="4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  <c r="K20" s="129"/>
      <c r="L20" s="87">
        <v>1</v>
      </c>
      <c r="M20" s="65" t="s">
        <v>289</v>
      </c>
      <c r="N20" s="290">
        <v>851.5</v>
      </c>
      <c r="O20" s="323">
        <v>44386</v>
      </c>
      <c r="P20" s="290">
        <f t="shared" si="1"/>
        <v>851.5</v>
      </c>
      <c r="Q20" s="291" t="s">
        <v>447</v>
      </c>
      <c r="R20" s="292">
        <v>53</v>
      </c>
      <c r="S20" s="302">
        <f t="shared" si="3"/>
        <v>8859.32</v>
      </c>
    </row>
    <row r="21" spans="1:19" x14ac:dyDescent="0.25">
      <c r="A21" s="129"/>
      <c r="B21" s="87">
        <f t="shared" si="4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  <c r="K21" s="129"/>
      <c r="L21" s="87">
        <v>1</v>
      </c>
      <c r="M21" s="65" t="s">
        <v>287</v>
      </c>
      <c r="N21" s="290">
        <v>452.5</v>
      </c>
      <c r="O21" s="323">
        <v>44386</v>
      </c>
      <c r="P21" s="290">
        <f t="shared" si="1"/>
        <v>452.5</v>
      </c>
      <c r="Q21" s="291" t="s">
        <v>447</v>
      </c>
      <c r="R21" s="292">
        <v>53</v>
      </c>
      <c r="S21" s="302">
        <f t="shared" si="3"/>
        <v>8406.82</v>
      </c>
    </row>
    <row r="22" spans="1:19" x14ac:dyDescent="0.25">
      <c r="A22" s="129"/>
      <c r="B22" s="308">
        <f t="shared" si="4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  <c r="K22" s="129"/>
      <c r="L22" s="87">
        <v>1</v>
      </c>
      <c r="M22" s="65" t="s">
        <v>289</v>
      </c>
      <c r="N22" s="290">
        <v>821.5</v>
      </c>
      <c r="O22" s="323">
        <v>44386</v>
      </c>
      <c r="P22" s="290">
        <f t="shared" si="1"/>
        <v>821.5</v>
      </c>
      <c r="Q22" s="291" t="s">
        <v>444</v>
      </c>
      <c r="R22" s="292">
        <v>53</v>
      </c>
      <c r="S22" s="302">
        <f t="shared" si="3"/>
        <v>7585.32</v>
      </c>
    </row>
    <row r="23" spans="1:19" x14ac:dyDescent="0.25">
      <c r="A23" s="130"/>
      <c r="B23" s="308">
        <f t="shared" si="4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  <c r="K23" s="130"/>
      <c r="L23" s="87">
        <v>1</v>
      </c>
      <c r="M23" s="65" t="s">
        <v>287</v>
      </c>
      <c r="N23" s="290">
        <v>775.5</v>
      </c>
      <c r="O23" s="323">
        <v>44386</v>
      </c>
      <c r="P23" s="290">
        <f t="shared" si="1"/>
        <v>775.5</v>
      </c>
      <c r="Q23" s="291" t="s">
        <v>447</v>
      </c>
      <c r="R23" s="292">
        <v>53</v>
      </c>
      <c r="S23" s="302">
        <f t="shared" si="3"/>
        <v>6809.82</v>
      </c>
    </row>
    <row r="24" spans="1:19" x14ac:dyDescent="0.25">
      <c r="A24" s="129"/>
      <c r="B24" s="308">
        <f t="shared" si="4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  <c r="K24" s="129"/>
      <c r="L24" s="87">
        <v>1</v>
      </c>
      <c r="M24" s="65" t="s">
        <v>287</v>
      </c>
      <c r="N24" s="290">
        <v>841</v>
      </c>
      <c r="O24" s="323">
        <v>44386</v>
      </c>
      <c r="P24" s="290">
        <f t="shared" si="1"/>
        <v>841</v>
      </c>
      <c r="Q24" s="291" t="s">
        <v>447</v>
      </c>
      <c r="R24" s="292">
        <v>53</v>
      </c>
      <c r="S24" s="302">
        <f t="shared" si="3"/>
        <v>5968.82</v>
      </c>
    </row>
    <row r="25" spans="1:19" x14ac:dyDescent="0.25">
      <c r="A25" s="129"/>
      <c r="B25" s="308">
        <f t="shared" si="4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  <c r="K25" s="129"/>
      <c r="L25" s="87">
        <v>1</v>
      </c>
      <c r="M25" s="65" t="s">
        <v>290</v>
      </c>
      <c r="N25" s="290">
        <v>163.5</v>
      </c>
      <c r="O25" s="323">
        <v>44386</v>
      </c>
      <c r="P25" s="290">
        <f t="shared" si="1"/>
        <v>163.5</v>
      </c>
      <c r="Q25" s="291" t="s">
        <v>447</v>
      </c>
      <c r="R25" s="292">
        <v>53</v>
      </c>
      <c r="S25" s="302">
        <f t="shared" si="3"/>
        <v>5805.32</v>
      </c>
    </row>
    <row r="26" spans="1:19" x14ac:dyDescent="0.25">
      <c r="A26" s="129"/>
      <c r="B26" s="211">
        <f t="shared" si="4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  <c r="K26" s="129"/>
      <c r="L26" s="87">
        <v>1</v>
      </c>
      <c r="M26" s="65" t="s">
        <v>287</v>
      </c>
      <c r="N26" s="290">
        <v>781.5</v>
      </c>
      <c r="O26" s="323">
        <v>44386</v>
      </c>
      <c r="P26" s="290">
        <f t="shared" si="1"/>
        <v>781.5</v>
      </c>
      <c r="Q26" s="291" t="s">
        <v>447</v>
      </c>
      <c r="R26" s="292">
        <v>53</v>
      </c>
      <c r="S26" s="302">
        <f t="shared" si="3"/>
        <v>5023.82</v>
      </c>
    </row>
    <row r="27" spans="1:19" x14ac:dyDescent="0.25">
      <c r="A27" s="129"/>
      <c r="B27" s="308">
        <f t="shared" si="4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  <c r="K27" s="129"/>
      <c r="L27" s="87">
        <v>1</v>
      </c>
      <c r="M27" s="65" t="s">
        <v>290</v>
      </c>
      <c r="N27" s="290">
        <v>797.5</v>
      </c>
      <c r="O27" s="323">
        <v>44386</v>
      </c>
      <c r="P27" s="290">
        <f t="shared" si="1"/>
        <v>797.5</v>
      </c>
      <c r="Q27" s="291" t="s">
        <v>447</v>
      </c>
      <c r="R27" s="292">
        <v>53</v>
      </c>
      <c r="S27" s="302">
        <f t="shared" si="3"/>
        <v>4226.32</v>
      </c>
    </row>
    <row r="28" spans="1:19" x14ac:dyDescent="0.25">
      <c r="A28" s="129"/>
      <c r="B28" s="211">
        <f t="shared" si="4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  <c r="K28" s="129"/>
      <c r="L28" s="87">
        <v>1</v>
      </c>
      <c r="M28" s="65" t="s">
        <v>287</v>
      </c>
      <c r="N28" s="290">
        <v>817</v>
      </c>
      <c r="O28" s="323">
        <v>44386</v>
      </c>
      <c r="P28" s="290">
        <f t="shared" si="1"/>
        <v>817</v>
      </c>
      <c r="Q28" s="291" t="s">
        <v>447</v>
      </c>
      <c r="R28" s="292">
        <v>53</v>
      </c>
      <c r="S28" s="302">
        <f t="shared" si="3"/>
        <v>3409.3199999999997</v>
      </c>
    </row>
    <row r="29" spans="1:19" x14ac:dyDescent="0.25">
      <c r="A29" s="129"/>
      <c r="B29" s="308">
        <f t="shared" si="4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  <c r="K29" s="129"/>
      <c r="L29" s="87">
        <v>1</v>
      </c>
      <c r="M29" s="65" t="s">
        <v>288</v>
      </c>
      <c r="N29" s="290">
        <v>337</v>
      </c>
      <c r="O29" s="323">
        <v>44386</v>
      </c>
      <c r="P29" s="290">
        <f t="shared" si="1"/>
        <v>337</v>
      </c>
      <c r="Q29" s="291" t="s">
        <v>443</v>
      </c>
      <c r="R29" s="292">
        <v>53</v>
      </c>
      <c r="S29" s="302">
        <f t="shared" si="3"/>
        <v>3072.3199999999997</v>
      </c>
    </row>
    <row r="30" spans="1:19" x14ac:dyDescent="0.25">
      <c r="A30" s="129"/>
      <c r="B30" s="308">
        <f t="shared" si="4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  <c r="K30" s="129"/>
      <c r="L30" s="87">
        <v>1</v>
      </c>
      <c r="M30" s="65" t="s">
        <v>287</v>
      </c>
      <c r="N30" s="290">
        <v>843</v>
      </c>
      <c r="O30" s="323">
        <v>44386</v>
      </c>
      <c r="P30" s="290">
        <f t="shared" si="1"/>
        <v>843</v>
      </c>
      <c r="Q30" s="291" t="s">
        <v>447</v>
      </c>
      <c r="R30" s="292">
        <v>53</v>
      </c>
      <c r="S30" s="302">
        <f t="shared" si="3"/>
        <v>2229.3199999999997</v>
      </c>
    </row>
    <row r="31" spans="1:19" x14ac:dyDescent="0.25">
      <c r="A31" s="129"/>
      <c r="B31" s="308">
        <f t="shared" si="4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  <c r="K31" s="129"/>
      <c r="L31" s="87">
        <v>1</v>
      </c>
      <c r="M31" s="65" t="s">
        <v>288</v>
      </c>
      <c r="N31" s="290">
        <v>772.5</v>
      </c>
      <c r="O31" s="323">
        <v>44386</v>
      </c>
      <c r="P31" s="290">
        <f t="shared" si="1"/>
        <v>772.5</v>
      </c>
      <c r="Q31" s="291" t="s">
        <v>443</v>
      </c>
      <c r="R31" s="292">
        <v>53</v>
      </c>
      <c r="S31" s="302">
        <f t="shared" si="3"/>
        <v>1456.8199999999997</v>
      </c>
    </row>
    <row r="32" spans="1:19" x14ac:dyDescent="0.25">
      <c r="A32" s="129"/>
      <c r="B32" s="308">
        <f t="shared" si="4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  <c r="K32" s="129"/>
      <c r="L32" s="87">
        <v>1</v>
      </c>
      <c r="M32" s="65" t="s">
        <v>288</v>
      </c>
      <c r="N32" s="290">
        <v>760.5</v>
      </c>
      <c r="O32" s="323">
        <v>44386</v>
      </c>
      <c r="P32" s="290">
        <f t="shared" si="1"/>
        <v>760.5</v>
      </c>
      <c r="Q32" s="291" t="s">
        <v>443</v>
      </c>
      <c r="R32" s="292">
        <v>53</v>
      </c>
      <c r="S32" s="302">
        <f t="shared" si="3"/>
        <v>696.31999999999971</v>
      </c>
    </row>
    <row r="33" spans="1:19" x14ac:dyDescent="0.25">
      <c r="A33" s="129"/>
      <c r="B33" s="308">
        <f t="shared" si="4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  <c r="K33" s="129"/>
      <c r="L33" s="87">
        <v>1</v>
      </c>
      <c r="M33" s="65" t="s">
        <v>288</v>
      </c>
      <c r="N33" s="290">
        <v>759</v>
      </c>
      <c r="O33" s="323">
        <v>44386</v>
      </c>
      <c r="P33" s="290">
        <f t="shared" si="1"/>
        <v>759</v>
      </c>
      <c r="Q33" s="291" t="s">
        <v>443</v>
      </c>
      <c r="R33" s="292">
        <v>53</v>
      </c>
      <c r="S33" s="302">
        <f t="shared" si="3"/>
        <v>-62.680000000000291</v>
      </c>
    </row>
    <row r="34" spans="1:19" x14ac:dyDescent="0.25">
      <c r="A34" s="129"/>
      <c r="B34" s="308">
        <f t="shared" si="4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  <c r="K34" s="129"/>
      <c r="L34" s="308"/>
      <c r="M34" s="65"/>
      <c r="N34" s="290"/>
      <c r="O34" s="323"/>
      <c r="P34" s="1048">
        <f t="shared" si="1"/>
        <v>0</v>
      </c>
      <c r="Q34" s="1049"/>
      <c r="R34" s="1050"/>
      <c r="S34" s="1047">
        <f t="shared" si="3"/>
        <v>-62.680000000000291</v>
      </c>
    </row>
    <row r="35" spans="1:19" x14ac:dyDescent="0.25">
      <c r="A35" s="129"/>
      <c r="B35" s="308">
        <f t="shared" si="4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  <c r="K35" s="129"/>
      <c r="L35" s="308"/>
      <c r="M35" s="15"/>
      <c r="N35" s="290"/>
      <c r="O35" s="323"/>
      <c r="P35" s="1048">
        <f t="shared" si="1"/>
        <v>0</v>
      </c>
      <c r="Q35" s="1049"/>
      <c r="R35" s="1050"/>
      <c r="S35" s="1047">
        <f t="shared" si="3"/>
        <v>-62.680000000000291</v>
      </c>
    </row>
    <row r="36" spans="1:1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  <c r="K36" s="129" t="s">
        <v>22</v>
      </c>
      <c r="L36" s="308"/>
      <c r="M36" s="15"/>
      <c r="N36" s="290"/>
      <c r="O36" s="323"/>
      <c r="P36" s="1048">
        <f t="shared" si="1"/>
        <v>0</v>
      </c>
      <c r="Q36" s="1049"/>
      <c r="R36" s="1050"/>
      <c r="S36" s="1047">
        <f t="shared" si="3"/>
        <v>-62.680000000000291</v>
      </c>
    </row>
    <row r="37" spans="1:19" x14ac:dyDescent="0.25">
      <c r="A37" s="130"/>
      <c r="B37" s="308">
        <f t="shared" si="4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  <c r="K37" s="130"/>
      <c r="L37" s="308"/>
      <c r="M37" s="15"/>
      <c r="N37" s="290"/>
      <c r="O37" s="323"/>
      <c r="P37" s="1048">
        <f t="shared" si="1"/>
        <v>0</v>
      </c>
      <c r="Q37" s="1049"/>
      <c r="R37" s="1050"/>
      <c r="S37" s="1047">
        <f t="shared" si="3"/>
        <v>-62.680000000000291</v>
      </c>
    </row>
    <row r="38" spans="1:19" x14ac:dyDescent="0.25">
      <c r="A38" s="129"/>
      <c r="B38" s="308">
        <f t="shared" si="4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  <c r="K38" s="129"/>
      <c r="L38" s="308"/>
      <c r="M38" s="15"/>
      <c r="N38" s="290"/>
      <c r="O38" s="323"/>
      <c r="P38" s="290">
        <f t="shared" si="1"/>
        <v>0</v>
      </c>
      <c r="Q38" s="291"/>
      <c r="R38" s="292"/>
      <c r="S38" s="302">
        <f t="shared" si="3"/>
        <v>-62.680000000000291</v>
      </c>
    </row>
    <row r="39" spans="1:19" x14ac:dyDescent="0.25">
      <c r="A39" s="129"/>
      <c r="B39" s="87">
        <f t="shared" si="4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  <c r="K39" s="129"/>
      <c r="L39" s="87"/>
      <c r="M39" s="15"/>
      <c r="N39" s="290"/>
      <c r="O39" s="323"/>
      <c r="P39" s="290">
        <f t="shared" si="1"/>
        <v>0</v>
      </c>
      <c r="Q39" s="291"/>
      <c r="R39" s="292"/>
      <c r="S39" s="302">
        <f t="shared" si="3"/>
        <v>-62.680000000000291</v>
      </c>
    </row>
    <row r="40" spans="1:19" x14ac:dyDescent="0.25">
      <c r="A40" s="129"/>
      <c r="B40" s="87">
        <f t="shared" si="4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  <c r="K40" s="129"/>
      <c r="L40" s="87"/>
      <c r="M40" s="15"/>
      <c r="N40" s="290"/>
      <c r="O40" s="323"/>
      <c r="P40" s="290">
        <f t="shared" si="1"/>
        <v>0</v>
      </c>
      <c r="Q40" s="291"/>
      <c r="R40" s="292"/>
      <c r="S40" s="302">
        <f t="shared" si="3"/>
        <v>-62.680000000000291</v>
      </c>
    </row>
    <row r="41" spans="1:19" x14ac:dyDescent="0.25">
      <c r="A41" s="129"/>
      <c r="B41" s="87">
        <f t="shared" si="4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  <c r="K41" s="129"/>
      <c r="L41" s="87"/>
      <c r="M41" s="15"/>
      <c r="N41" s="290"/>
      <c r="O41" s="323"/>
      <c r="P41" s="290">
        <f t="shared" si="1"/>
        <v>0</v>
      </c>
      <c r="Q41" s="291"/>
      <c r="R41" s="292"/>
      <c r="S41" s="302">
        <f t="shared" si="3"/>
        <v>-62.680000000000291</v>
      </c>
    </row>
    <row r="42" spans="1:19" x14ac:dyDescent="0.25">
      <c r="A42" s="129"/>
      <c r="B42" s="87">
        <f t="shared" si="4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  <c r="K42" s="129"/>
      <c r="L42" s="87"/>
      <c r="M42" s="15"/>
      <c r="N42" s="290"/>
      <c r="O42" s="323"/>
      <c r="P42" s="290">
        <f t="shared" si="1"/>
        <v>0</v>
      </c>
      <c r="Q42" s="291"/>
      <c r="R42" s="292"/>
      <c r="S42" s="302">
        <f t="shared" si="3"/>
        <v>-62.680000000000291</v>
      </c>
    </row>
    <row r="43" spans="1:19" x14ac:dyDescent="0.25">
      <c r="A43" s="129"/>
      <c r="B43" s="87">
        <f t="shared" si="4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  <c r="K43" s="129"/>
      <c r="L43" s="87"/>
      <c r="M43" s="15"/>
      <c r="N43" s="290"/>
      <c r="O43" s="323"/>
      <c r="P43" s="290">
        <f t="shared" si="1"/>
        <v>0</v>
      </c>
      <c r="Q43" s="291"/>
      <c r="R43" s="292"/>
      <c r="S43" s="302">
        <f t="shared" si="3"/>
        <v>-62.680000000000291</v>
      </c>
    </row>
    <row r="44" spans="1:19" x14ac:dyDescent="0.25">
      <c r="A44" s="129"/>
      <c r="B44" s="87">
        <f t="shared" si="4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  <c r="K44" s="129"/>
      <c r="L44" s="87"/>
      <c r="M44" s="15"/>
      <c r="N44" s="290"/>
      <c r="O44" s="323"/>
      <c r="P44" s="290">
        <f t="shared" si="1"/>
        <v>0</v>
      </c>
      <c r="Q44" s="291"/>
      <c r="R44" s="292"/>
      <c r="S44" s="302">
        <f t="shared" si="3"/>
        <v>-62.680000000000291</v>
      </c>
    </row>
    <row r="45" spans="1:19" x14ac:dyDescent="0.25">
      <c r="A45" s="129"/>
      <c r="B45" s="87">
        <f t="shared" si="4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  <c r="K45" s="129"/>
      <c r="L45" s="87"/>
      <c r="M45" s="15"/>
      <c r="N45" s="290"/>
      <c r="O45" s="323"/>
      <c r="P45" s="290">
        <f t="shared" si="1"/>
        <v>0</v>
      </c>
      <c r="Q45" s="291"/>
      <c r="R45" s="292"/>
      <c r="S45" s="302">
        <f t="shared" si="3"/>
        <v>-62.680000000000291</v>
      </c>
    </row>
    <row r="46" spans="1:19" x14ac:dyDescent="0.25">
      <c r="A46" s="129"/>
      <c r="B46" s="87">
        <f t="shared" si="4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  <c r="K46" s="129"/>
      <c r="L46" s="87"/>
      <c r="M46" s="15"/>
      <c r="N46" s="290"/>
      <c r="O46" s="323"/>
      <c r="P46" s="290">
        <f t="shared" si="1"/>
        <v>0</v>
      </c>
      <c r="Q46" s="291"/>
      <c r="R46" s="292"/>
      <c r="S46" s="302">
        <f t="shared" si="3"/>
        <v>-62.680000000000291</v>
      </c>
    </row>
    <row r="47" spans="1:19" x14ac:dyDescent="0.25">
      <c r="A47" s="129"/>
      <c r="B47" s="87">
        <f t="shared" si="4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  <c r="K47" s="129"/>
      <c r="L47" s="87"/>
      <c r="M47" s="15"/>
      <c r="N47" s="290"/>
      <c r="O47" s="323"/>
      <c r="P47" s="290">
        <f t="shared" si="1"/>
        <v>0</v>
      </c>
      <c r="Q47" s="291"/>
      <c r="R47" s="292"/>
      <c r="S47" s="302">
        <f t="shared" si="3"/>
        <v>-62.680000000000291</v>
      </c>
    </row>
    <row r="48" spans="1:19" x14ac:dyDescent="0.25">
      <c r="A48" s="129"/>
      <c r="B48" s="87">
        <f t="shared" si="4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  <c r="K48" s="129"/>
      <c r="L48" s="87"/>
      <c r="M48" s="15"/>
      <c r="N48" s="290"/>
      <c r="O48" s="323"/>
      <c r="P48" s="290">
        <f t="shared" si="1"/>
        <v>0</v>
      </c>
      <c r="Q48" s="291"/>
      <c r="R48" s="292"/>
      <c r="S48" s="302">
        <f t="shared" si="3"/>
        <v>-62.680000000000291</v>
      </c>
    </row>
    <row r="49" spans="1:19" x14ac:dyDescent="0.25">
      <c r="A49" s="129"/>
      <c r="B49" s="87">
        <f t="shared" si="4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  <c r="K49" s="129"/>
      <c r="L49" s="87"/>
      <c r="M49" s="15"/>
      <c r="N49" s="290"/>
      <c r="O49" s="323"/>
      <c r="P49" s="290">
        <f t="shared" si="1"/>
        <v>0</v>
      </c>
      <c r="Q49" s="291"/>
      <c r="R49" s="292"/>
      <c r="S49" s="302">
        <f t="shared" si="3"/>
        <v>-62.680000000000291</v>
      </c>
    </row>
    <row r="50" spans="1:19" x14ac:dyDescent="0.25">
      <c r="A50" s="129"/>
      <c r="B50" s="87">
        <f t="shared" si="4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  <c r="K50" s="129"/>
      <c r="L50" s="87"/>
      <c r="M50" s="15"/>
      <c r="N50" s="290"/>
      <c r="O50" s="323"/>
      <c r="P50" s="290">
        <f t="shared" si="1"/>
        <v>0</v>
      </c>
      <c r="Q50" s="291"/>
      <c r="R50" s="292"/>
      <c r="S50" s="302">
        <f t="shared" si="3"/>
        <v>-62.680000000000291</v>
      </c>
    </row>
    <row r="51" spans="1:19" x14ac:dyDescent="0.25">
      <c r="A51" s="129"/>
      <c r="B51" s="87">
        <f t="shared" si="4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  <c r="K51" s="129"/>
      <c r="L51" s="87"/>
      <c r="M51" s="15"/>
      <c r="N51" s="290"/>
      <c r="O51" s="323"/>
      <c r="P51" s="290">
        <f t="shared" si="1"/>
        <v>0</v>
      </c>
      <c r="Q51" s="291"/>
      <c r="R51" s="292"/>
      <c r="S51" s="302">
        <f t="shared" si="3"/>
        <v>-62.680000000000291</v>
      </c>
    </row>
    <row r="52" spans="1:19" x14ac:dyDescent="0.25">
      <c r="A52" s="129"/>
      <c r="B52" s="87">
        <f t="shared" si="4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  <c r="K52" s="129"/>
      <c r="L52" s="87"/>
      <c r="M52" s="15"/>
      <c r="N52" s="290"/>
      <c r="O52" s="323"/>
      <c r="P52" s="290">
        <f t="shared" si="1"/>
        <v>0</v>
      </c>
      <c r="Q52" s="291"/>
      <c r="R52" s="292"/>
      <c r="S52" s="302">
        <f t="shared" si="3"/>
        <v>-62.680000000000291</v>
      </c>
    </row>
    <row r="53" spans="1:19" x14ac:dyDescent="0.25">
      <c r="A53" s="129"/>
      <c r="B53" s="87">
        <f t="shared" si="4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  <c r="K53" s="129"/>
      <c r="L53" s="87"/>
      <c r="M53" s="15"/>
      <c r="N53" s="290"/>
      <c r="O53" s="323"/>
      <c r="P53" s="290">
        <f t="shared" si="1"/>
        <v>0</v>
      </c>
      <c r="Q53" s="291"/>
      <c r="R53" s="292"/>
      <c r="S53" s="302">
        <f t="shared" si="3"/>
        <v>-62.680000000000291</v>
      </c>
    </row>
    <row r="54" spans="1:19" x14ac:dyDescent="0.25">
      <c r="A54" s="129"/>
      <c r="B54" s="87">
        <f t="shared" si="4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  <c r="K54" s="129"/>
      <c r="L54" s="87"/>
      <c r="M54" s="15"/>
      <c r="N54" s="290"/>
      <c r="O54" s="323"/>
      <c r="P54" s="290">
        <f t="shared" si="1"/>
        <v>0</v>
      </c>
      <c r="Q54" s="291"/>
      <c r="R54" s="292"/>
      <c r="S54" s="302">
        <f t="shared" si="3"/>
        <v>-62.680000000000291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  <c r="K55" s="129"/>
      <c r="L55" s="12"/>
      <c r="M55" s="15"/>
      <c r="N55" s="290"/>
      <c r="O55" s="323"/>
      <c r="P55" s="290">
        <f t="shared" si="1"/>
        <v>0</v>
      </c>
      <c r="Q55" s="291"/>
      <c r="R55" s="292"/>
      <c r="S55" s="302">
        <f t="shared" si="3"/>
        <v>-62.680000000000291</v>
      </c>
    </row>
    <row r="56" spans="1:19" x14ac:dyDescent="0.25">
      <c r="A56" s="129"/>
      <c r="B56" s="12">
        <f t="shared" ref="B56:B75" si="5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  <c r="K56" s="129"/>
      <c r="L56" s="12"/>
      <c r="M56" s="15"/>
      <c r="N56" s="290"/>
      <c r="O56" s="323"/>
      <c r="P56" s="290">
        <f t="shared" si="1"/>
        <v>0</v>
      </c>
      <c r="Q56" s="291"/>
      <c r="R56" s="292"/>
      <c r="S56" s="302">
        <f t="shared" si="3"/>
        <v>-62.680000000000291</v>
      </c>
    </row>
    <row r="57" spans="1:19" x14ac:dyDescent="0.25">
      <c r="A57" s="129"/>
      <c r="B57" s="12">
        <f t="shared" si="5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  <c r="K57" s="129"/>
      <c r="L57" s="12"/>
      <c r="M57" s="15"/>
      <c r="N57" s="290"/>
      <c r="O57" s="323"/>
      <c r="P57" s="290">
        <f t="shared" si="1"/>
        <v>0</v>
      </c>
      <c r="Q57" s="291"/>
      <c r="R57" s="292"/>
      <c r="S57" s="302">
        <f t="shared" si="3"/>
        <v>-62.680000000000291</v>
      </c>
    </row>
    <row r="58" spans="1:19" x14ac:dyDescent="0.25">
      <c r="A58" s="129"/>
      <c r="B58" s="12">
        <f t="shared" si="5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  <c r="K58" s="129"/>
      <c r="L58" s="12"/>
      <c r="M58" s="15"/>
      <c r="N58" s="290"/>
      <c r="O58" s="323"/>
      <c r="P58" s="290">
        <f t="shared" si="1"/>
        <v>0</v>
      </c>
      <c r="Q58" s="291"/>
      <c r="R58" s="292"/>
      <c r="S58" s="302">
        <f t="shared" si="3"/>
        <v>-62.680000000000291</v>
      </c>
    </row>
    <row r="59" spans="1:19" x14ac:dyDescent="0.25">
      <c r="A59" s="129"/>
      <c r="B59" s="12">
        <f t="shared" si="5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  <c r="K59" s="129"/>
      <c r="L59" s="12"/>
      <c r="M59" s="15"/>
      <c r="N59" s="290"/>
      <c r="O59" s="323"/>
      <c r="P59" s="290">
        <f t="shared" si="1"/>
        <v>0</v>
      </c>
      <c r="Q59" s="291"/>
      <c r="R59" s="292"/>
      <c r="S59" s="302">
        <f t="shared" si="3"/>
        <v>-62.680000000000291</v>
      </c>
    </row>
    <row r="60" spans="1:19" x14ac:dyDescent="0.25">
      <c r="A60" s="129"/>
      <c r="B60" s="12">
        <f t="shared" si="5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  <c r="K60" s="129"/>
      <c r="L60" s="12"/>
      <c r="M60" s="15"/>
      <c r="N60" s="290"/>
      <c r="O60" s="323"/>
      <c r="P60" s="290">
        <f t="shared" si="1"/>
        <v>0</v>
      </c>
      <c r="Q60" s="291"/>
      <c r="R60" s="292"/>
      <c r="S60" s="302">
        <f t="shared" si="3"/>
        <v>-62.680000000000291</v>
      </c>
    </row>
    <row r="61" spans="1:19" x14ac:dyDescent="0.25">
      <c r="A61" s="129"/>
      <c r="B61" s="12">
        <f t="shared" si="5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  <c r="K61" s="129"/>
      <c r="L61" s="12"/>
      <c r="M61" s="15"/>
      <c r="N61" s="290"/>
      <c r="O61" s="323"/>
      <c r="P61" s="290">
        <f t="shared" si="1"/>
        <v>0</v>
      </c>
      <c r="Q61" s="291"/>
      <c r="R61" s="292"/>
      <c r="S61" s="302">
        <f t="shared" si="3"/>
        <v>-62.680000000000291</v>
      </c>
    </row>
    <row r="62" spans="1:19" x14ac:dyDescent="0.25">
      <c r="A62" s="129"/>
      <c r="B62" s="12">
        <f t="shared" si="5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  <c r="K62" s="129"/>
      <c r="L62" s="12"/>
      <c r="M62" s="15"/>
      <c r="N62" s="290"/>
      <c r="O62" s="323"/>
      <c r="P62" s="290">
        <f t="shared" si="1"/>
        <v>0</v>
      </c>
      <c r="Q62" s="291"/>
      <c r="R62" s="292"/>
      <c r="S62" s="302">
        <f t="shared" si="3"/>
        <v>-62.680000000000291</v>
      </c>
    </row>
    <row r="63" spans="1:19" x14ac:dyDescent="0.25">
      <c r="A63" s="129"/>
      <c r="B63" s="12">
        <f t="shared" si="5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  <c r="K63" s="129"/>
      <c r="L63" s="12"/>
      <c r="M63" s="15"/>
      <c r="N63" s="290"/>
      <c r="O63" s="323"/>
      <c r="P63" s="290">
        <f t="shared" si="1"/>
        <v>0</v>
      </c>
      <c r="Q63" s="291"/>
      <c r="R63" s="292"/>
      <c r="S63" s="302">
        <f t="shared" si="3"/>
        <v>-62.680000000000291</v>
      </c>
    </row>
    <row r="64" spans="1:19" x14ac:dyDescent="0.25">
      <c r="A64" s="129"/>
      <c r="B64" s="12">
        <f t="shared" si="5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  <c r="K64" s="129"/>
      <c r="L64" s="12"/>
      <c r="M64" s="15"/>
      <c r="N64" s="290"/>
      <c r="O64" s="323"/>
      <c r="P64" s="290">
        <f t="shared" si="1"/>
        <v>0</v>
      </c>
      <c r="Q64" s="291"/>
      <c r="R64" s="292"/>
      <c r="S64" s="302">
        <f t="shared" si="3"/>
        <v>-62.680000000000291</v>
      </c>
    </row>
    <row r="65" spans="1:19" x14ac:dyDescent="0.25">
      <c r="A65" s="129"/>
      <c r="B65" s="12">
        <f t="shared" si="5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  <c r="K65" s="129"/>
      <c r="L65" s="12"/>
      <c r="M65" s="15"/>
      <c r="N65" s="290"/>
      <c r="O65" s="323"/>
      <c r="P65" s="290">
        <f t="shared" si="1"/>
        <v>0</v>
      </c>
      <c r="Q65" s="291"/>
      <c r="R65" s="292"/>
      <c r="S65" s="302">
        <f t="shared" si="3"/>
        <v>-62.680000000000291</v>
      </c>
    </row>
    <row r="66" spans="1:19" x14ac:dyDescent="0.25">
      <c r="A66" s="129"/>
      <c r="B66" s="12">
        <f t="shared" si="5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  <c r="K66" s="129"/>
      <c r="L66" s="12"/>
      <c r="M66" s="15"/>
      <c r="N66" s="290"/>
      <c r="O66" s="323"/>
      <c r="P66" s="290">
        <f t="shared" si="1"/>
        <v>0</v>
      </c>
      <c r="Q66" s="291"/>
      <c r="R66" s="292"/>
      <c r="S66" s="302">
        <f t="shared" si="3"/>
        <v>-62.680000000000291</v>
      </c>
    </row>
    <row r="67" spans="1:19" x14ac:dyDescent="0.25">
      <c r="A67" s="129"/>
      <c r="B67" s="12">
        <f t="shared" si="5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  <c r="K67" s="129"/>
      <c r="L67" s="12"/>
      <c r="M67" s="15"/>
      <c r="N67" s="72"/>
      <c r="O67" s="236"/>
      <c r="P67" s="72">
        <f t="shared" si="1"/>
        <v>0</v>
      </c>
      <c r="Q67" s="73"/>
      <c r="R67" s="74"/>
      <c r="S67" s="110">
        <f t="shared" si="3"/>
        <v>-62.680000000000291</v>
      </c>
    </row>
    <row r="68" spans="1:19" x14ac:dyDescent="0.25">
      <c r="A68" s="129"/>
      <c r="B68" s="12">
        <f t="shared" si="5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  <c r="K68" s="129"/>
      <c r="L68" s="12"/>
      <c r="M68" s="15"/>
      <c r="N68" s="62"/>
      <c r="O68" s="245"/>
      <c r="P68" s="72">
        <f t="shared" si="1"/>
        <v>0</v>
      </c>
      <c r="Q68" s="73"/>
      <c r="R68" s="74"/>
      <c r="S68" s="110">
        <f t="shared" si="3"/>
        <v>-62.680000000000291</v>
      </c>
    </row>
    <row r="69" spans="1:19" x14ac:dyDescent="0.25">
      <c r="A69" s="129"/>
      <c r="B69" s="12">
        <f t="shared" si="5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  <c r="K69" s="129"/>
      <c r="L69" s="12"/>
      <c r="M69" s="15"/>
      <c r="N69" s="62"/>
      <c r="O69" s="245"/>
      <c r="P69" s="72">
        <f t="shared" si="1"/>
        <v>0</v>
      </c>
      <c r="Q69" s="73"/>
      <c r="R69" s="74"/>
      <c r="S69" s="110">
        <f t="shared" si="3"/>
        <v>-62.680000000000291</v>
      </c>
    </row>
    <row r="70" spans="1:19" x14ac:dyDescent="0.25">
      <c r="A70" s="129"/>
      <c r="B70" s="12">
        <f t="shared" si="5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  <c r="K70" s="129"/>
      <c r="L70" s="12"/>
      <c r="M70" s="15"/>
      <c r="N70" s="62"/>
      <c r="O70" s="245"/>
      <c r="P70" s="72">
        <f t="shared" si="1"/>
        <v>0</v>
      </c>
      <c r="Q70" s="73"/>
      <c r="R70" s="74"/>
      <c r="S70" s="110">
        <f t="shared" si="3"/>
        <v>-62.680000000000291</v>
      </c>
    </row>
    <row r="71" spans="1:19" x14ac:dyDescent="0.25">
      <c r="A71" s="129"/>
      <c r="B71" s="12">
        <f t="shared" si="5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  <c r="K71" s="129"/>
      <c r="L71" s="12"/>
      <c r="M71" s="15"/>
      <c r="N71" s="62"/>
      <c r="O71" s="245"/>
      <c r="P71" s="72">
        <f t="shared" si="1"/>
        <v>0</v>
      </c>
      <c r="Q71" s="73"/>
      <c r="R71" s="74"/>
      <c r="S71" s="110">
        <f t="shared" si="3"/>
        <v>-62.680000000000291</v>
      </c>
    </row>
    <row r="72" spans="1:19" x14ac:dyDescent="0.25">
      <c r="A72" s="129"/>
      <c r="B72" s="12">
        <f t="shared" si="5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  <c r="K72" s="129"/>
      <c r="L72" s="12"/>
      <c r="M72" s="15"/>
      <c r="N72" s="62"/>
      <c r="O72" s="245"/>
      <c r="P72" s="72">
        <f t="shared" si="1"/>
        <v>0</v>
      </c>
      <c r="Q72" s="73"/>
      <c r="R72" s="74"/>
      <c r="S72" s="110">
        <f t="shared" si="3"/>
        <v>-62.680000000000291</v>
      </c>
    </row>
    <row r="73" spans="1:19" x14ac:dyDescent="0.25">
      <c r="A73" s="129"/>
      <c r="B73" s="12">
        <f t="shared" si="5"/>
        <v>0</v>
      </c>
      <c r="C73" s="15"/>
      <c r="D73" s="62"/>
      <c r="E73" s="245"/>
      <c r="F73" s="72">
        <f t="shared" ref="F73" si="6">D73</f>
        <v>0</v>
      </c>
      <c r="G73" s="73"/>
      <c r="H73" s="74"/>
      <c r="I73" s="110">
        <f t="shared" si="2"/>
        <v>0</v>
      </c>
      <c r="K73" s="129"/>
      <c r="L73" s="12"/>
      <c r="M73" s="15"/>
      <c r="N73" s="62"/>
      <c r="O73" s="245"/>
      <c r="P73" s="72">
        <f t="shared" ref="P73" si="7">N73</f>
        <v>0</v>
      </c>
      <c r="Q73" s="73"/>
      <c r="R73" s="74"/>
      <c r="S73" s="110">
        <f t="shared" si="3"/>
        <v>-62.680000000000291</v>
      </c>
    </row>
    <row r="74" spans="1:19" x14ac:dyDescent="0.25">
      <c r="A74" s="129"/>
      <c r="B74" s="12">
        <f t="shared" si="5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  <c r="K74" s="129"/>
      <c r="L74" s="12"/>
      <c r="M74" s="15"/>
      <c r="N74" s="62"/>
      <c r="O74" s="245"/>
      <c r="P74" s="72">
        <f>N74</f>
        <v>0</v>
      </c>
      <c r="Q74" s="73"/>
      <c r="R74" s="74"/>
      <c r="S74" s="110">
        <f t="shared" si="3"/>
        <v>-62.680000000000291</v>
      </c>
    </row>
    <row r="75" spans="1:19" x14ac:dyDescent="0.25">
      <c r="A75" s="129"/>
      <c r="B75" s="12">
        <f t="shared" si="5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8">I74-F75</f>
        <v>0</v>
      </c>
      <c r="K75" s="129"/>
      <c r="L75" s="12"/>
      <c r="M75" s="15"/>
      <c r="N75" s="62"/>
      <c r="O75" s="245"/>
      <c r="P75" s="72">
        <f>N75</f>
        <v>0</v>
      </c>
      <c r="Q75" s="73"/>
      <c r="R75" s="74"/>
      <c r="S75" s="110">
        <f t="shared" ref="S75:S76" si="9">S74-P75</f>
        <v>-62.680000000000291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8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9"/>
        <v>-62.680000000000291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6</v>
      </c>
      <c r="D78" s="6">
        <f>SUM(D9:D77)</f>
        <v>5030.5</v>
      </c>
      <c r="F78" s="6">
        <f>SUM(F9:F77)</f>
        <v>5030.5</v>
      </c>
      <c r="L78">
        <f>SUM(L9:L77)</f>
        <v>25</v>
      </c>
      <c r="M78" s="55"/>
      <c r="N78" s="6">
        <f>SUM(N9:N77)</f>
        <v>18532.5</v>
      </c>
      <c r="P78" s="6">
        <f>SUM(P9:P77)</f>
        <v>18532.5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-6</v>
      </c>
      <c r="N81" s="46" t="s">
        <v>4</v>
      </c>
      <c r="O81" s="59">
        <f>P5+P6-M78+P7-L78</f>
        <v>0</v>
      </c>
    </row>
    <row r="82" spans="3:16" ht="15.75" thickBot="1" x14ac:dyDescent="0.3"/>
    <row r="83" spans="3:16" ht="15.75" thickBot="1" x14ac:dyDescent="0.3">
      <c r="C83" s="1120" t="s">
        <v>11</v>
      </c>
      <c r="D83" s="1121"/>
      <c r="E83" s="60">
        <f>E5+E6-F78+E7</f>
        <v>0</v>
      </c>
      <c r="F83" s="76"/>
      <c r="M83" s="1120" t="s">
        <v>11</v>
      </c>
      <c r="N83" s="1121"/>
      <c r="O83" s="60">
        <f>O5+O6-P78+O7</f>
        <v>-62.680000000000291</v>
      </c>
      <c r="P83" s="76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9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24" t="s">
        <v>271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16" t="s">
        <v>53</v>
      </c>
      <c r="B5" s="1181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16"/>
      <c r="B6" s="1181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87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88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90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91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92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93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94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89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95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96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97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98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99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100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101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20" t="s">
        <v>11</v>
      </c>
      <c r="D60" s="1121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4" t="s">
        <v>272</v>
      </c>
      <c r="B1" s="1124"/>
      <c r="C1" s="1124"/>
      <c r="D1" s="1124"/>
      <c r="E1" s="1124"/>
      <c r="F1" s="1124"/>
      <c r="G1" s="1124"/>
      <c r="H1" s="103">
        <v>1</v>
      </c>
    </row>
    <row r="2" spans="1:11" ht="15.75" thickBot="1" x14ac:dyDescent="0.3">
      <c r="A2" t="s">
        <v>85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83" t="s">
        <v>147</v>
      </c>
      <c r="B5" s="1140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84"/>
      <c r="B6" s="1141"/>
      <c r="C6" s="515"/>
      <c r="D6" s="273"/>
      <c r="E6" s="528"/>
      <c r="F6" s="346"/>
      <c r="I6" s="1167" t="s">
        <v>3</v>
      </c>
      <c r="J6" s="1161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85"/>
      <c r="J7" s="1182"/>
    </row>
    <row r="8" spans="1:11" ht="16.5" thickBot="1" x14ac:dyDescent="0.3">
      <c r="A8" s="588"/>
      <c r="B8" s="582"/>
      <c r="C8" s="515"/>
      <c r="D8" s="273"/>
      <c r="E8" s="589"/>
      <c r="F8" s="346"/>
      <c r="I8" s="1185"/>
      <c r="J8" s="1182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68"/>
      <c r="J9" s="1182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494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30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30"/>
      <c r="F19" s="72">
        <f t="shared" si="0"/>
        <v>0</v>
      </c>
      <c r="G19" s="736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30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30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30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30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30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30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142" t="s">
        <v>11</v>
      </c>
      <c r="D49" s="1143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9" t="s">
        <v>137</v>
      </c>
      <c r="C4" s="107"/>
      <c r="D4" s="144"/>
      <c r="E4" s="90"/>
      <c r="F4" s="76"/>
      <c r="G4" s="889"/>
    </row>
    <row r="5" spans="1:9" x14ac:dyDescent="0.25">
      <c r="A5" s="79"/>
      <c r="B5" s="1180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6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3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3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3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3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3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3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3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3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3"/>
      <c r="E16" s="824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5"/>
      <c r="E17" s="824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3"/>
      <c r="E18" s="824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3"/>
      <c r="E19" s="824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3"/>
      <c r="E20" s="824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3"/>
      <c r="E21" s="824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3"/>
      <c r="E22" s="824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3"/>
      <c r="E23" s="824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3"/>
      <c r="E24" s="824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3"/>
      <c r="E25" s="824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3"/>
      <c r="E26" s="824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1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5" t="s">
        <v>21</v>
      </c>
      <c r="E33" s="886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87" t="s">
        <v>4</v>
      </c>
      <c r="E34" s="888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9" t="s">
        <v>81</v>
      </c>
      <c r="C4" s="107"/>
      <c r="D4" s="144"/>
      <c r="E4" s="90"/>
      <c r="F4" s="76"/>
      <c r="G4" s="633"/>
    </row>
    <row r="5" spans="1:9" x14ac:dyDescent="0.25">
      <c r="A5" s="79"/>
      <c r="B5" s="1180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4" t="s">
        <v>273</v>
      </c>
      <c r="B1" s="1124"/>
      <c r="C1" s="1124"/>
      <c r="D1" s="1124"/>
      <c r="E1" s="1124"/>
      <c r="F1" s="1124"/>
      <c r="G1" s="112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86" t="s">
        <v>145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87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88"/>
      <c r="C6" s="272"/>
      <c r="D6" s="270"/>
      <c r="E6" s="507"/>
      <c r="F6" s="294"/>
      <c r="G6" s="265"/>
      <c r="H6" s="265"/>
      <c r="I6" s="1167" t="s">
        <v>3</v>
      </c>
      <c r="J6" s="116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8"/>
      <c r="J7" s="1182"/>
    </row>
    <row r="8" spans="1:11" ht="15.75" thickTop="1" x14ac:dyDescent="0.25">
      <c r="A8" s="84" t="s">
        <v>32</v>
      </c>
      <c r="B8" s="762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213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2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225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2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246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2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254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2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257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2">
        <f t="shared" si="1"/>
        <v>428</v>
      </c>
      <c r="C13" s="15">
        <v>20</v>
      </c>
      <c r="D13" s="958">
        <v>272.2</v>
      </c>
      <c r="E13" s="959">
        <v>44385</v>
      </c>
      <c r="F13" s="545">
        <f t="shared" si="0"/>
        <v>272.2</v>
      </c>
      <c r="G13" s="546" t="s">
        <v>426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2">
        <f t="shared" si="1"/>
        <v>424</v>
      </c>
      <c r="C14" s="15">
        <v>4</v>
      </c>
      <c r="D14" s="958">
        <v>54.44</v>
      </c>
      <c r="E14" s="959">
        <v>44385</v>
      </c>
      <c r="F14" s="545">
        <f t="shared" si="0"/>
        <v>54.44</v>
      </c>
      <c r="G14" s="636" t="s">
        <v>441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2">
        <f t="shared" si="1"/>
        <v>414</v>
      </c>
      <c r="C15" s="15">
        <v>10</v>
      </c>
      <c r="D15" s="958">
        <v>136.1</v>
      </c>
      <c r="E15" s="959">
        <v>44389</v>
      </c>
      <c r="F15" s="545">
        <f t="shared" si="0"/>
        <v>136.1</v>
      </c>
      <c r="G15" s="636" t="s">
        <v>452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2">
        <f t="shared" si="1"/>
        <v>394</v>
      </c>
      <c r="C16" s="15">
        <v>20</v>
      </c>
      <c r="D16" s="958">
        <v>272.2</v>
      </c>
      <c r="E16" s="1051">
        <v>44390</v>
      </c>
      <c r="F16" s="545">
        <f t="shared" si="0"/>
        <v>272.2</v>
      </c>
      <c r="G16" s="636" t="s">
        <v>463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2">
        <f t="shared" si="1"/>
        <v>345</v>
      </c>
      <c r="C17" s="15">
        <v>49</v>
      </c>
      <c r="D17" s="958">
        <v>666.89</v>
      </c>
      <c r="E17" s="1051">
        <v>44393</v>
      </c>
      <c r="F17" s="545">
        <f t="shared" si="0"/>
        <v>666.89</v>
      </c>
      <c r="G17" s="1052" t="s">
        <v>488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2">
        <f t="shared" si="1"/>
        <v>335</v>
      </c>
      <c r="C18" s="15">
        <v>10</v>
      </c>
      <c r="D18" s="958">
        <v>136.1</v>
      </c>
      <c r="E18" s="1051">
        <v>44398</v>
      </c>
      <c r="F18" s="545">
        <f t="shared" si="0"/>
        <v>136.1</v>
      </c>
      <c r="G18" s="636" t="s">
        <v>518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2">
        <f t="shared" si="1"/>
        <v>286</v>
      </c>
      <c r="C19" s="15">
        <v>49</v>
      </c>
      <c r="D19" s="958">
        <v>666.89</v>
      </c>
      <c r="E19" s="1051">
        <v>44399</v>
      </c>
      <c r="F19" s="545">
        <f t="shared" si="0"/>
        <v>666.89</v>
      </c>
      <c r="G19" s="636" t="s">
        <v>522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2">
        <f t="shared" si="1"/>
        <v>237</v>
      </c>
      <c r="C20" s="15">
        <v>49</v>
      </c>
      <c r="D20" s="958">
        <v>666.89</v>
      </c>
      <c r="E20" s="959">
        <v>44399</v>
      </c>
      <c r="F20" s="545">
        <f t="shared" si="0"/>
        <v>666.89</v>
      </c>
      <c r="G20" s="636" t="s">
        <v>512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2">
        <f t="shared" si="1"/>
        <v>188</v>
      </c>
      <c r="C21" s="15">
        <v>49</v>
      </c>
      <c r="D21" s="958">
        <v>666.89</v>
      </c>
      <c r="E21" s="959">
        <v>44407</v>
      </c>
      <c r="F21" s="545">
        <f t="shared" si="0"/>
        <v>666.89</v>
      </c>
      <c r="G21" s="636" t="s">
        <v>561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2">
        <f t="shared" si="1"/>
        <v>188</v>
      </c>
      <c r="C22" s="15"/>
      <c r="D22" s="958"/>
      <c r="E22" s="959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2">
        <f t="shared" si="1"/>
        <v>188</v>
      </c>
      <c r="C23" s="15"/>
      <c r="D23" s="958"/>
      <c r="E23" s="959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2">
        <f t="shared" si="1"/>
        <v>188</v>
      </c>
      <c r="C24" s="635"/>
      <c r="D24" s="958"/>
      <c r="E24" s="1051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2">
        <f t="shared" si="1"/>
        <v>188</v>
      </c>
      <c r="C25" s="635"/>
      <c r="D25" s="958"/>
      <c r="E25" s="1051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2">
        <f t="shared" si="1"/>
        <v>188</v>
      </c>
      <c r="C26" s="635"/>
      <c r="D26" s="958"/>
      <c r="E26" s="1051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2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2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2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2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2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2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2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2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2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2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2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2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2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2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2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2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2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2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2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142" t="s">
        <v>11</v>
      </c>
      <c r="D47" s="1143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24" t="s">
        <v>263</v>
      </c>
      <c r="B1" s="1124"/>
      <c r="C1" s="1124"/>
      <c r="D1" s="1124"/>
      <c r="E1" s="1124"/>
      <c r="F1" s="1124"/>
      <c r="G1" s="1124"/>
      <c r="H1" s="11">
        <v>1</v>
      </c>
      <c r="K1" s="1124" t="s">
        <v>293</v>
      </c>
      <c r="L1" s="1124"/>
      <c r="M1" s="1124"/>
      <c r="N1" s="1124"/>
      <c r="O1" s="1124"/>
      <c r="P1" s="1124"/>
      <c r="Q1" s="1124"/>
      <c r="R1" s="11">
        <v>2</v>
      </c>
      <c r="U1" s="1118" t="s">
        <v>275</v>
      </c>
      <c r="V1" s="1118"/>
      <c r="W1" s="1118"/>
      <c r="X1" s="1118"/>
      <c r="Y1" s="1118"/>
      <c r="Z1" s="1118"/>
      <c r="AA1" s="1118"/>
      <c r="AB1" s="11">
        <v>3</v>
      </c>
    </row>
    <row r="2" spans="1:29" ht="15.75" thickBot="1" x14ac:dyDescent="0.3">
      <c r="A2" t="s">
        <v>85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2"/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141</v>
      </c>
      <c r="B5" s="1123" t="s">
        <v>124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123</v>
      </c>
      <c r="L5" s="1123" t="s">
        <v>125</v>
      </c>
      <c r="M5" s="760">
        <v>87</v>
      </c>
      <c r="N5" s="273">
        <v>44372</v>
      </c>
      <c r="O5" s="285">
        <v>312.24</v>
      </c>
      <c r="P5" s="279">
        <v>25</v>
      </c>
      <c r="Q5" s="286"/>
      <c r="U5" s="275" t="s">
        <v>123</v>
      </c>
      <c r="V5" s="1123" t="s">
        <v>125</v>
      </c>
      <c r="W5" s="760">
        <v>87</v>
      </c>
      <c r="X5" s="273">
        <v>44387</v>
      </c>
      <c r="Y5" s="285">
        <v>630.30999999999995</v>
      </c>
      <c r="Z5" s="279">
        <v>50</v>
      </c>
      <c r="AA5" s="286"/>
    </row>
    <row r="6" spans="1:29" x14ac:dyDescent="0.25">
      <c r="A6" s="710"/>
      <c r="B6" s="1123"/>
      <c r="C6" s="671">
        <v>92</v>
      </c>
      <c r="D6" s="273">
        <v>44344</v>
      </c>
      <c r="E6" s="293">
        <v>605.9</v>
      </c>
      <c r="F6" s="279">
        <v>50</v>
      </c>
      <c r="G6" s="288">
        <f>F78</f>
        <v>1414.7100000000003</v>
      </c>
      <c r="H6" s="7">
        <f>E6-G6+E7+E5-G5</f>
        <v>-2.2737367544323206E-13</v>
      </c>
      <c r="K6" s="275"/>
      <c r="L6" s="1123"/>
      <c r="M6" s="671"/>
      <c r="N6" s="273"/>
      <c r="O6" s="293"/>
      <c r="P6" s="279"/>
      <c r="Q6" s="288">
        <f>P78</f>
        <v>312.24</v>
      </c>
      <c r="R6" s="7">
        <f>O6-Q6+O7+O5-Q5</f>
        <v>0</v>
      </c>
      <c r="U6" s="275"/>
      <c r="V6" s="1123"/>
      <c r="W6" s="671"/>
      <c r="X6" s="273"/>
      <c r="Y6" s="293"/>
      <c r="Z6" s="279"/>
      <c r="AA6" s="288">
        <f>Z78</f>
        <v>630.31000000000006</v>
      </c>
      <c r="AB6" s="7">
        <f>Y6-AA6+Y7+Y5-AA5</f>
        <v>-1.1368683772161603E-13</v>
      </c>
    </row>
    <row r="7" spans="1:29" ht="15.75" thickBot="1" x14ac:dyDescent="0.3">
      <c r="A7" s="265"/>
      <c r="B7" s="299"/>
      <c r="C7" s="297">
        <v>92</v>
      </c>
      <c r="D7" s="273">
        <v>44372</v>
      </c>
      <c r="E7" s="285">
        <v>190.3</v>
      </c>
      <c r="F7" s="279">
        <v>16</v>
      </c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66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153</v>
      </c>
      <c r="H9" s="292">
        <v>94</v>
      </c>
      <c r="I9" s="302">
        <f>E6-F9+E5+E7</f>
        <v>796.2</v>
      </c>
      <c r="K9" s="84" t="s">
        <v>32</v>
      </c>
      <c r="L9" s="87">
        <f>P6-M9+P5+P7</f>
        <v>15</v>
      </c>
      <c r="M9" s="15">
        <v>10</v>
      </c>
      <c r="N9" s="290">
        <v>124.03</v>
      </c>
      <c r="O9" s="323">
        <v>44378</v>
      </c>
      <c r="P9" s="290">
        <f t="shared" ref="P9:P72" si="1">N9</f>
        <v>124.03</v>
      </c>
      <c r="Q9" s="291" t="s">
        <v>246</v>
      </c>
      <c r="R9" s="292">
        <v>90</v>
      </c>
      <c r="S9" s="302">
        <f>O6-P9+O5+O7</f>
        <v>188.21</v>
      </c>
      <c r="U9" s="84" t="s">
        <v>32</v>
      </c>
      <c r="V9" s="87">
        <f>Z6-W9+Z5+Z7</f>
        <v>30</v>
      </c>
      <c r="W9" s="15">
        <v>20</v>
      </c>
      <c r="X9" s="290">
        <v>252.21</v>
      </c>
      <c r="Y9" s="323">
        <v>44394</v>
      </c>
      <c r="Z9" s="290">
        <f t="shared" ref="Z9:Z72" si="2">X9</f>
        <v>252.21</v>
      </c>
      <c r="AA9" s="291" t="s">
        <v>491</v>
      </c>
      <c r="AB9" s="292">
        <v>90</v>
      </c>
      <c r="AC9" s="302">
        <f>Y6-Z9+Y5+Y7</f>
        <v>378.09999999999991</v>
      </c>
    </row>
    <row r="10" spans="1:29" x14ac:dyDescent="0.25">
      <c r="A10" s="224"/>
      <c r="B10" s="87">
        <f>B9-C10</f>
        <v>64</v>
      </c>
      <c r="C10" s="15">
        <v>2</v>
      </c>
      <c r="D10" s="756">
        <v>24.61</v>
      </c>
      <c r="E10" s="757">
        <v>44368</v>
      </c>
      <c r="F10" s="756">
        <f t="shared" ref="F10:F72" si="3">D10</f>
        <v>24.61</v>
      </c>
      <c r="G10" s="758" t="s">
        <v>206</v>
      </c>
      <c r="H10" s="759">
        <v>95</v>
      </c>
      <c r="I10" s="302">
        <f>I9-F10</f>
        <v>771.59</v>
      </c>
      <c r="K10" s="224"/>
      <c r="L10" s="87">
        <f>L9-M10</f>
        <v>0</v>
      </c>
      <c r="M10" s="76">
        <v>15</v>
      </c>
      <c r="N10" s="290">
        <v>188.21</v>
      </c>
      <c r="O10" s="323">
        <v>44386</v>
      </c>
      <c r="P10" s="290">
        <f t="shared" si="1"/>
        <v>188.21</v>
      </c>
      <c r="Q10" s="291" t="s">
        <v>442</v>
      </c>
      <c r="R10" s="292">
        <v>90</v>
      </c>
      <c r="S10" s="302">
        <f>S9-P10</f>
        <v>0</v>
      </c>
      <c r="T10" s="166"/>
      <c r="U10" s="224"/>
      <c r="V10" s="87">
        <f>V9-W10</f>
        <v>20</v>
      </c>
      <c r="W10" s="76">
        <v>10</v>
      </c>
      <c r="X10" s="290">
        <v>126.58</v>
      </c>
      <c r="Y10" s="323">
        <v>44401</v>
      </c>
      <c r="Z10" s="290">
        <f t="shared" si="2"/>
        <v>126.58</v>
      </c>
      <c r="AA10" s="291" t="s">
        <v>536</v>
      </c>
      <c r="AB10" s="292">
        <v>90</v>
      </c>
      <c r="AC10" s="302">
        <f>AC9-Z10</f>
        <v>251.51999999999992</v>
      </c>
    </row>
    <row r="11" spans="1:29" x14ac:dyDescent="0.25">
      <c r="A11" s="211"/>
      <c r="B11" s="87">
        <f t="shared" ref="B11:B54" si="4">B10-C11</f>
        <v>44</v>
      </c>
      <c r="C11" s="15">
        <v>20</v>
      </c>
      <c r="D11" s="756">
        <v>247.05</v>
      </c>
      <c r="E11" s="757">
        <v>44372</v>
      </c>
      <c r="F11" s="756">
        <f t="shared" si="3"/>
        <v>247.05</v>
      </c>
      <c r="G11" s="758" t="s">
        <v>217</v>
      </c>
      <c r="H11" s="759">
        <v>95</v>
      </c>
      <c r="I11" s="302">
        <f t="shared" ref="I11:I74" si="5">I10-F11</f>
        <v>524.54</v>
      </c>
      <c r="J11" s="265"/>
      <c r="K11" s="211"/>
      <c r="L11" s="87">
        <f t="shared" ref="L11:L54" si="6">L10-M11</f>
        <v>0</v>
      </c>
      <c r="M11" s="76"/>
      <c r="N11" s="290"/>
      <c r="O11" s="323"/>
      <c r="P11" s="1048">
        <f t="shared" si="1"/>
        <v>0</v>
      </c>
      <c r="Q11" s="1049"/>
      <c r="R11" s="1050"/>
      <c r="S11" s="1047">
        <f t="shared" ref="S11:S74" si="7">S10-P11</f>
        <v>0</v>
      </c>
      <c r="T11" s="166"/>
      <c r="U11" s="211"/>
      <c r="V11" s="87">
        <f t="shared" ref="V11:V54" si="8">V10-W11</f>
        <v>0</v>
      </c>
      <c r="W11" s="76">
        <v>20</v>
      </c>
      <c r="X11" s="290">
        <v>251.52</v>
      </c>
      <c r="Y11" s="323">
        <v>44406</v>
      </c>
      <c r="Z11" s="290">
        <f t="shared" si="2"/>
        <v>251.52</v>
      </c>
      <c r="AA11" s="291" t="s">
        <v>553</v>
      </c>
      <c r="AB11" s="292">
        <v>90</v>
      </c>
      <c r="AC11" s="302">
        <f t="shared" ref="AC11:AC74" si="9">AC10-Z11</f>
        <v>0</v>
      </c>
    </row>
    <row r="12" spans="1:29" x14ac:dyDescent="0.25">
      <c r="A12" s="211"/>
      <c r="B12" s="87">
        <f t="shared" si="4"/>
        <v>34</v>
      </c>
      <c r="C12" s="15">
        <v>10</v>
      </c>
      <c r="D12" s="756">
        <v>118.98</v>
      </c>
      <c r="E12" s="757">
        <v>44378</v>
      </c>
      <c r="F12" s="756">
        <f t="shared" si="3"/>
        <v>118.98</v>
      </c>
      <c r="G12" s="758" t="s">
        <v>246</v>
      </c>
      <c r="H12" s="759">
        <v>95</v>
      </c>
      <c r="I12" s="302">
        <f t="shared" si="5"/>
        <v>405.55999999999995</v>
      </c>
      <c r="J12" s="265"/>
      <c r="K12" s="211"/>
      <c r="L12" s="87">
        <f t="shared" si="6"/>
        <v>0</v>
      </c>
      <c r="M12" s="76"/>
      <c r="N12" s="290"/>
      <c r="O12" s="323"/>
      <c r="P12" s="1048">
        <f t="shared" si="1"/>
        <v>0</v>
      </c>
      <c r="Q12" s="1049"/>
      <c r="R12" s="1050"/>
      <c r="S12" s="1047">
        <f t="shared" si="7"/>
        <v>0</v>
      </c>
      <c r="T12" s="166"/>
      <c r="U12" s="211"/>
      <c r="V12" s="87">
        <f t="shared" si="8"/>
        <v>0</v>
      </c>
      <c r="W12" s="76"/>
      <c r="X12" s="290"/>
      <c r="Y12" s="323"/>
      <c r="Z12" s="1048">
        <f t="shared" si="2"/>
        <v>0</v>
      </c>
      <c r="AA12" s="1049"/>
      <c r="AB12" s="1050"/>
      <c r="AC12" s="1047">
        <f t="shared" si="9"/>
        <v>0</v>
      </c>
    </row>
    <row r="13" spans="1:29" x14ac:dyDescent="0.25">
      <c r="A13" s="86" t="s">
        <v>33</v>
      </c>
      <c r="B13" s="87">
        <f t="shared" si="4"/>
        <v>14</v>
      </c>
      <c r="C13" s="15">
        <v>20</v>
      </c>
      <c r="D13" s="1040">
        <v>238.4</v>
      </c>
      <c r="E13" s="1041">
        <v>44387</v>
      </c>
      <c r="F13" s="1040">
        <f t="shared" si="3"/>
        <v>238.4</v>
      </c>
      <c r="G13" s="546" t="s">
        <v>448</v>
      </c>
      <c r="H13" s="634">
        <v>95</v>
      </c>
      <c r="I13" s="302">
        <f t="shared" si="5"/>
        <v>167.15999999999994</v>
      </c>
      <c r="J13" s="265"/>
      <c r="K13" s="86" t="s">
        <v>33</v>
      </c>
      <c r="L13" s="87">
        <f t="shared" si="6"/>
        <v>0</v>
      </c>
      <c r="M13" s="76"/>
      <c r="N13" s="290"/>
      <c r="O13" s="323"/>
      <c r="P13" s="1048">
        <f t="shared" si="1"/>
        <v>0</v>
      </c>
      <c r="Q13" s="1049"/>
      <c r="R13" s="1050"/>
      <c r="S13" s="1047">
        <f t="shared" si="7"/>
        <v>0</v>
      </c>
      <c r="T13" s="166"/>
      <c r="U13" s="86" t="s">
        <v>33</v>
      </c>
      <c r="V13" s="87">
        <f t="shared" si="8"/>
        <v>0</v>
      </c>
      <c r="W13" s="76"/>
      <c r="X13" s="290"/>
      <c r="Y13" s="323"/>
      <c r="Z13" s="1048">
        <f t="shared" si="2"/>
        <v>0</v>
      </c>
      <c r="AA13" s="1049"/>
      <c r="AB13" s="1050"/>
      <c r="AC13" s="1047">
        <f t="shared" si="9"/>
        <v>0</v>
      </c>
    </row>
    <row r="14" spans="1:29" x14ac:dyDescent="0.25">
      <c r="A14" s="76"/>
      <c r="B14" s="87">
        <f t="shared" si="4"/>
        <v>0</v>
      </c>
      <c r="C14" s="15">
        <v>14</v>
      </c>
      <c r="D14" s="1040">
        <v>167.16</v>
      </c>
      <c r="E14" s="1041">
        <v>44401</v>
      </c>
      <c r="F14" s="1040">
        <f t="shared" si="3"/>
        <v>167.16</v>
      </c>
      <c r="G14" s="546" t="s">
        <v>536</v>
      </c>
      <c r="H14" s="634">
        <v>95</v>
      </c>
      <c r="I14" s="302">
        <f t="shared" si="5"/>
        <v>0</v>
      </c>
      <c r="J14" s="265"/>
      <c r="K14" s="76"/>
      <c r="L14" s="87">
        <f t="shared" si="6"/>
        <v>0</v>
      </c>
      <c r="M14" s="76"/>
      <c r="N14" s="290"/>
      <c r="O14" s="323"/>
      <c r="P14" s="1048">
        <f t="shared" si="1"/>
        <v>0</v>
      </c>
      <c r="Q14" s="1049"/>
      <c r="R14" s="1050"/>
      <c r="S14" s="1047">
        <f t="shared" si="7"/>
        <v>0</v>
      </c>
      <c r="T14" s="166"/>
      <c r="U14" s="76"/>
      <c r="V14" s="87">
        <f t="shared" si="8"/>
        <v>0</v>
      </c>
      <c r="W14" s="76"/>
      <c r="X14" s="290"/>
      <c r="Y14" s="323"/>
      <c r="Z14" s="1048">
        <f t="shared" si="2"/>
        <v>0</v>
      </c>
      <c r="AA14" s="1049"/>
      <c r="AB14" s="1050"/>
      <c r="AC14" s="1047">
        <f t="shared" si="9"/>
        <v>0</v>
      </c>
    </row>
    <row r="15" spans="1:29" x14ac:dyDescent="0.25">
      <c r="A15" s="76"/>
      <c r="B15" s="87">
        <f t="shared" si="4"/>
        <v>0</v>
      </c>
      <c r="C15" s="15"/>
      <c r="D15" s="1040"/>
      <c r="E15" s="1041"/>
      <c r="F15" s="1044">
        <f t="shared" si="3"/>
        <v>0</v>
      </c>
      <c r="G15" s="1045"/>
      <c r="H15" s="1046"/>
      <c r="I15" s="1047">
        <f t="shared" si="5"/>
        <v>0</v>
      </c>
      <c r="J15" s="265"/>
      <c r="K15" s="76"/>
      <c r="L15" s="87">
        <f t="shared" si="6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7"/>
        <v>0</v>
      </c>
      <c r="T15" s="166"/>
      <c r="U15" s="76"/>
      <c r="V15" s="87">
        <f t="shared" si="8"/>
        <v>0</v>
      </c>
      <c r="W15" s="76"/>
      <c r="X15" s="290"/>
      <c r="Y15" s="323"/>
      <c r="Z15" s="290">
        <f t="shared" si="2"/>
        <v>0</v>
      </c>
      <c r="AA15" s="291"/>
      <c r="AB15" s="292"/>
      <c r="AC15" s="302">
        <f t="shared" si="9"/>
        <v>0</v>
      </c>
    </row>
    <row r="16" spans="1:29" x14ac:dyDescent="0.25">
      <c r="B16" s="87">
        <f t="shared" si="4"/>
        <v>0</v>
      </c>
      <c r="C16" s="15"/>
      <c r="D16" s="1040"/>
      <c r="E16" s="1041"/>
      <c r="F16" s="1044">
        <f t="shared" si="3"/>
        <v>0</v>
      </c>
      <c r="G16" s="1045"/>
      <c r="H16" s="1046"/>
      <c r="I16" s="1047">
        <f t="shared" si="5"/>
        <v>0</v>
      </c>
      <c r="J16" s="265"/>
      <c r="L16" s="87">
        <f t="shared" si="6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7"/>
        <v>0</v>
      </c>
      <c r="T16" s="166"/>
      <c r="V16" s="87">
        <f t="shared" si="8"/>
        <v>0</v>
      </c>
      <c r="W16" s="76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</row>
    <row r="17" spans="1:29" x14ac:dyDescent="0.25">
      <c r="B17" s="87">
        <f t="shared" si="4"/>
        <v>0</v>
      </c>
      <c r="C17" s="15"/>
      <c r="D17" s="1040"/>
      <c r="E17" s="1041"/>
      <c r="F17" s="1044">
        <f t="shared" si="3"/>
        <v>0</v>
      </c>
      <c r="G17" s="1045"/>
      <c r="H17" s="1046"/>
      <c r="I17" s="1047">
        <f t="shared" si="5"/>
        <v>0</v>
      </c>
      <c r="J17" s="265"/>
      <c r="L17" s="87">
        <f t="shared" si="6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7"/>
        <v>0</v>
      </c>
      <c r="T17" s="166"/>
      <c r="V17" s="87">
        <f t="shared" si="8"/>
        <v>0</v>
      </c>
      <c r="W17" s="76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</row>
    <row r="18" spans="1:29" x14ac:dyDescent="0.25">
      <c r="A18" s="129"/>
      <c r="B18" s="87">
        <f t="shared" si="4"/>
        <v>0</v>
      </c>
      <c r="C18" s="15"/>
      <c r="D18" s="1040"/>
      <c r="E18" s="1041"/>
      <c r="F18" s="1040">
        <f t="shared" si="3"/>
        <v>0</v>
      </c>
      <c r="G18" s="546"/>
      <c r="H18" s="634"/>
      <c r="I18" s="302">
        <f t="shared" si="5"/>
        <v>0</v>
      </c>
      <c r="J18" s="265"/>
      <c r="K18" s="129"/>
      <c r="L18" s="87">
        <f t="shared" si="6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7"/>
        <v>0</v>
      </c>
      <c r="T18" s="166"/>
      <c r="U18" s="129"/>
      <c r="V18" s="87">
        <f t="shared" si="8"/>
        <v>0</v>
      </c>
      <c r="W18" s="76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</row>
    <row r="19" spans="1:29" x14ac:dyDescent="0.25">
      <c r="A19" s="129"/>
      <c r="B19" s="87">
        <f t="shared" si="4"/>
        <v>0</v>
      </c>
      <c r="C19" s="15"/>
      <c r="D19" s="1040"/>
      <c r="E19" s="1041"/>
      <c r="F19" s="1040">
        <f t="shared" si="3"/>
        <v>0</v>
      </c>
      <c r="G19" s="546"/>
      <c r="H19" s="634"/>
      <c r="I19" s="302">
        <f t="shared" si="5"/>
        <v>0</v>
      </c>
      <c r="K19" s="129"/>
      <c r="L19" s="87">
        <f t="shared" si="6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0</v>
      </c>
      <c r="U19" s="129"/>
      <c r="V19" s="87">
        <f t="shared" si="8"/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</row>
    <row r="20" spans="1:29" x14ac:dyDescent="0.25">
      <c r="A20" s="129"/>
      <c r="B20" s="87">
        <f t="shared" si="4"/>
        <v>0</v>
      </c>
      <c r="C20" s="15"/>
      <c r="D20" s="1040"/>
      <c r="E20" s="1041"/>
      <c r="F20" s="1040">
        <f t="shared" si="3"/>
        <v>0</v>
      </c>
      <c r="G20" s="546"/>
      <c r="H20" s="634"/>
      <c r="I20" s="302">
        <f t="shared" si="5"/>
        <v>0</v>
      </c>
      <c r="K20" s="129"/>
      <c r="L20" s="87">
        <f t="shared" si="6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0</v>
      </c>
      <c r="U20" s="129"/>
      <c r="V20" s="87">
        <f t="shared" si="8"/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</row>
    <row r="21" spans="1:29" x14ac:dyDescent="0.25">
      <c r="A21" s="129"/>
      <c r="B21" s="87">
        <f t="shared" si="4"/>
        <v>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0</v>
      </c>
      <c r="K21" s="129"/>
      <c r="L21" s="87">
        <f t="shared" si="6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0</v>
      </c>
      <c r="U21" s="129"/>
      <c r="V21" s="87">
        <f t="shared" si="8"/>
        <v>0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0</v>
      </c>
    </row>
    <row r="22" spans="1:29" x14ac:dyDescent="0.25">
      <c r="A22" s="129"/>
      <c r="B22" s="308">
        <f t="shared" si="4"/>
        <v>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0</v>
      </c>
      <c r="K22" s="129"/>
      <c r="L22" s="308">
        <f t="shared" si="6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0</v>
      </c>
      <c r="U22" s="129"/>
      <c r="V22" s="308">
        <f t="shared" si="8"/>
        <v>0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0</v>
      </c>
    </row>
    <row r="23" spans="1:29" x14ac:dyDescent="0.25">
      <c r="A23" s="130"/>
      <c r="B23" s="308">
        <f t="shared" si="4"/>
        <v>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0</v>
      </c>
      <c r="K23" s="130"/>
      <c r="L23" s="308">
        <f t="shared" si="6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0</v>
      </c>
      <c r="U23" s="130"/>
      <c r="V23" s="308">
        <f t="shared" si="8"/>
        <v>0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0</v>
      </c>
    </row>
    <row r="24" spans="1:29" x14ac:dyDescent="0.25">
      <c r="A24" s="129"/>
      <c r="B24" s="308">
        <f t="shared" si="4"/>
        <v>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0</v>
      </c>
      <c r="K24" s="129"/>
      <c r="L24" s="308">
        <f t="shared" si="6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0</v>
      </c>
      <c r="U24" s="129"/>
      <c r="V24" s="308">
        <f t="shared" si="8"/>
        <v>0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0</v>
      </c>
    </row>
    <row r="25" spans="1:29" x14ac:dyDescent="0.25">
      <c r="A25" s="129"/>
      <c r="B25" s="308">
        <f t="shared" si="4"/>
        <v>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0</v>
      </c>
      <c r="K25" s="129"/>
      <c r="L25" s="308">
        <f t="shared" si="6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0</v>
      </c>
      <c r="U25" s="129"/>
      <c r="V25" s="308">
        <f t="shared" si="8"/>
        <v>0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0</v>
      </c>
    </row>
    <row r="26" spans="1:29" x14ac:dyDescent="0.25">
      <c r="A26" s="129"/>
      <c r="B26" s="211">
        <f t="shared" si="4"/>
        <v>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0</v>
      </c>
      <c r="K26" s="129"/>
      <c r="L26" s="211">
        <f t="shared" si="6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0</v>
      </c>
      <c r="U26" s="129"/>
      <c r="V26" s="211">
        <f t="shared" si="8"/>
        <v>0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0</v>
      </c>
    </row>
    <row r="27" spans="1:29" x14ac:dyDescent="0.25">
      <c r="A27" s="129"/>
      <c r="B27" s="308">
        <f t="shared" si="4"/>
        <v>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0</v>
      </c>
      <c r="K27" s="129"/>
      <c r="L27" s="308">
        <f t="shared" si="6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0</v>
      </c>
      <c r="U27" s="129"/>
      <c r="V27" s="308">
        <f t="shared" si="8"/>
        <v>0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0</v>
      </c>
    </row>
    <row r="28" spans="1:29" x14ac:dyDescent="0.25">
      <c r="A28" s="129"/>
      <c r="B28" s="211">
        <f t="shared" si="4"/>
        <v>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0</v>
      </c>
      <c r="K28" s="129"/>
      <c r="L28" s="211">
        <f t="shared" si="6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0</v>
      </c>
      <c r="U28" s="129"/>
      <c r="V28" s="211">
        <f t="shared" si="8"/>
        <v>0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0</v>
      </c>
    </row>
    <row r="29" spans="1:29" x14ac:dyDescent="0.25">
      <c r="A29" s="129"/>
      <c r="B29" s="308">
        <f t="shared" si="4"/>
        <v>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0</v>
      </c>
      <c r="K29" s="129"/>
      <c r="L29" s="308">
        <f t="shared" si="6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0</v>
      </c>
      <c r="U29" s="129"/>
      <c r="V29" s="308">
        <f t="shared" si="8"/>
        <v>0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0</v>
      </c>
    </row>
    <row r="30" spans="1:29" x14ac:dyDescent="0.25">
      <c r="A30" s="129"/>
      <c r="B30" s="308">
        <f t="shared" si="4"/>
        <v>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0</v>
      </c>
      <c r="K30" s="129"/>
      <c r="L30" s="308">
        <f t="shared" si="6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0</v>
      </c>
      <c r="U30" s="129"/>
      <c r="V30" s="308">
        <f t="shared" si="8"/>
        <v>0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0</v>
      </c>
    </row>
    <row r="31" spans="1:29" x14ac:dyDescent="0.25">
      <c r="A31" s="129"/>
      <c r="B31" s="308">
        <f t="shared" si="4"/>
        <v>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0</v>
      </c>
      <c r="K31" s="129"/>
      <c r="L31" s="308">
        <f t="shared" si="6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0</v>
      </c>
      <c r="U31" s="129"/>
      <c r="V31" s="308">
        <f t="shared" si="8"/>
        <v>0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0</v>
      </c>
    </row>
    <row r="32" spans="1:29" x14ac:dyDescent="0.25">
      <c r="A32" s="129"/>
      <c r="B32" s="308">
        <f t="shared" si="4"/>
        <v>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0</v>
      </c>
      <c r="K32" s="129"/>
      <c r="L32" s="308">
        <f t="shared" si="6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0</v>
      </c>
      <c r="U32" s="129"/>
      <c r="V32" s="308">
        <f t="shared" si="8"/>
        <v>0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0</v>
      </c>
    </row>
    <row r="33" spans="1:29" x14ac:dyDescent="0.25">
      <c r="A33" s="129"/>
      <c r="B33" s="308">
        <f t="shared" si="4"/>
        <v>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0</v>
      </c>
      <c r="K33" s="129"/>
      <c r="L33" s="308">
        <f t="shared" si="6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0</v>
      </c>
      <c r="U33" s="129"/>
      <c r="V33" s="308">
        <f t="shared" si="8"/>
        <v>0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0</v>
      </c>
    </row>
    <row r="34" spans="1:29" x14ac:dyDescent="0.25">
      <c r="A34" s="129"/>
      <c r="B34" s="308">
        <f t="shared" si="4"/>
        <v>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0</v>
      </c>
      <c r="K34" s="129"/>
      <c r="L34" s="308">
        <f t="shared" si="6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0</v>
      </c>
      <c r="U34" s="129"/>
      <c r="V34" s="308">
        <f t="shared" si="8"/>
        <v>0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0</v>
      </c>
    </row>
    <row r="35" spans="1:29" x14ac:dyDescent="0.25">
      <c r="A35" s="129"/>
      <c r="B35" s="308">
        <f t="shared" si="4"/>
        <v>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0</v>
      </c>
      <c r="K35" s="129"/>
      <c r="L35" s="308">
        <f t="shared" si="6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0</v>
      </c>
      <c r="U35" s="129"/>
      <c r="V35" s="308">
        <f t="shared" si="8"/>
        <v>0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0</v>
      </c>
    </row>
    <row r="36" spans="1:2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0</v>
      </c>
      <c r="K36" s="129" t="s">
        <v>22</v>
      </c>
      <c r="L36" s="308">
        <f t="shared" si="6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0</v>
      </c>
      <c r="U36" s="129" t="s">
        <v>22</v>
      </c>
      <c r="V36" s="308">
        <f t="shared" si="8"/>
        <v>0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0</v>
      </c>
    </row>
    <row r="37" spans="1:29" x14ac:dyDescent="0.25">
      <c r="A37" s="130"/>
      <c r="B37" s="308">
        <f t="shared" si="4"/>
        <v>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0</v>
      </c>
      <c r="K37" s="130"/>
      <c r="L37" s="308">
        <f t="shared" si="6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0</v>
      </c>
      <c r="U37" s="130"/>
      <c r="V37" s="308">
        <f t="shared" si="8"/>
        <v>0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0</v>
      </c>
    </row>
    <row r="38" spans="1:29" x14ac:dyDescent="0.25">
      <c r="A38" s="129"/>
      <c r="B38" s="308">
        <f t="shared" si="4"/>
        <v>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0</v>
      </c>
      <c r="K38" s="129"/>
      <c r="L38" s="308">
        <f t="shared" si="6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0</v>
      </c>
      <c r="U38" s="129"/>
      <c r="V38" s="308">
        <f t="shared" si="8"/>
        <v>0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0</v>
      </c>
    </row>
    <row r="39" spans="1:29" x14ac:dyDescent="0.25">
      <c r="A39" s="129"/>
      <c r="B39" s="87">
        <f t="shared" si="4"/>
        <v>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0</v>
      </c>
      <c r="K39" s="129"/>
      <c r="L39" s="87">
        <f t="shared" si="6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0</v>
      </c>
      <c r="U39" s="129"/>
      <c r="V39" s="87">
        <f t="shared" si="8"/>
        <v>0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0</v>
      </c>
    </row>
    <row r="40" spans="1:29" x14ac:dyDescent="0.25">
      <c r="A40" s="129"/>
      <c r="B40" s="87">
        <f t="shared" si="4"/>
        <v>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0</v>
      </c>
      <c r="K40" s="129"/>
      <c r="L40" s="87">
        <f t="shared" si="6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0</v>
      </c>
      <c r="U40" s="129"/>
      <c r="V40" s="87">
        <f t="shared" si="8"/>
        <v>0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0</v>
      </c>
    </row>
    <row r="41" spans="1:29" x14ac:dyDescent="0.25">
      <c r="A41" s="129"/>
      <c r="B41" s="87">
        <f t="shared" si="4"/>
        <v>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0</v>
      </c>
      <c r="K41" s="129"/>
      <c r="L41" s="87">
        <f t="shared" si="6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0</v>
      </c>
      <c r="U41" s="129"/>
      <c r="V41" s="87">
        <f t="shared" si="8"/>
        <v>0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0</v>
      </c>
    </row>
    <row r="42" spans="1:29" x14ac:dyDescent="0.25">
      <c r="A42" s="129"/>
      <c r="B42" s="87">
        <f t="shared" si="4"/>
        <v>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0</v>
      </c>
      <c r="K42" s="129"/>
      <c r="L42" s="87">
        <f t="shared" si="6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0</v>
      </c>
      <c r="U42" s="129"/>
      <c r="V42" s="87">
        <f t="shared" si="8"/>
        <v>0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0</v>
      </c>
    </row>
    <row r="43" spans="1:29" x14ac:dyDescent="0.25">
      <c r="A43" s="129"/>
      <c r="B43" s="87">
        <f t="shared" si="4"/>
        <v>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0</v>
      </c>
      <c r="K43" s="129"/>
      <c r="L43" s="87">
        <f t="shared" si="6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0</v>
      </c>
      <c r="U43" s="129"/>
      <c r="V43" s="87">
        <f t="shared" si="8"/>
        <v>0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0</v>
      </c>
    </row>
    <row r="44" spans="1:29" x14ac:dyDescent="0.25">
      <c r="A44" s="129"/>
      <c r="B44" s="87">
        <f t="shared" si="4"/>
        <v>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0</v>
      </c>
      <c r="K44" s="129"/>
      <c r="L44" s="87">
        <f t="shared" si="6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0</v>
      </c>
      <c r="U44" s="129"/>
      <c r="V44" s="87">
        <f t="shared" si="8"/>
        <v>0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0</v>
      </c>
    </row>
    <row r="45" spans="1:29" x14ac:dyDescent="0.25">
      <c r="A45" s="129"/>
      <c r="B45" s="87">
        <f t="shared" si="4"/>
        <v>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0</v>
      </c>
      <c r="K45" s="129"/>
      <c r="L45" s="87">
        <f t="shared" si="6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0</v>
      </c>
      <c r="U45" s="129"/>
      <c r="V45" s="87">
        <f t="shared" si="8"/>
        <v>0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0</v>
      </c>
    </row>
    <row r="46" spans="1:29" x14ac:dyDescent="0.25">
      <c r="A46" s="129"/>
      <c r="B46" s="87">
        <f t="shared" si="4"/>
        <v>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0</v>
      </c>
      <c r="K46" s="129"/>
      <c r="L46" s="87">
        <f t="shared" si="6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0</v>
      </c>
      <c r="U46" s="129"/>
      <c r="V46" s="87">
        <f t="shared" si="8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</row>
    <row r="47" spans="1:29" x14ac:dyDescent="0.25">
      <c r="A47" s="129"/>
      <c r="B47" s="87">
        <f t="shared" si="4"/>
        <v>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0</v>
      </c>
      <c r="K47" s="129"/>
      <c r="L47" s="87">
        <f t="shared" si="6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0</v>
      </c>
      <c r="U47" s="129"/>
      <c r="V47" s="87">
        <f t="shared" si="8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</row>
    <row r="48" spans="1:29" x14ac:dyDescent="0.25">
      <c r="A48" s="129"/>
      <c r="B48" s="87">
        <f t="shared" si="4"/>
        <v>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0</v>
      </c>
      <c r="K48" s="129"/>
      <c r="L48" s="87">
        <f t="shared" si="6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0</v>
      </c>
      <c r="U48" s="129"/>
      <c r="V48" s="87">
        <f t="shared" si="8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</row>
    <row r="49" spans="1:29" x14ac:dyDescent="0.25">
      <c r="A49" s="129"/>
      <c r="B49" s="87">
        <f t="shared" si="4"/>
        <v>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0</v>
      </c>
      <c r="K49" s="129"/>
      <c r="L49" s="87">
        <f t="shared" si="6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0</v>
      </c>
      <c r="U49" s="129"/>
      <c r="V49" s="87">
        <f t="shared" si="8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</row>
    <row r="50" spans="1:29" x14ac:dyDescent="0.25">
      <c r="A50" s="129"/>
      <c r="B50" s="87">
        <f t="shared" si="4"/>
        <v>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0</v>
      </c>
      <c r="K50" s="129"/>
      <c r="L50" s="87">
        <f t="shared" si="6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0</v>
      </c>
      <c r="U50" s="129"/>
      <c r="V50" s="87">
        <f t="shared" si="8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</row>
    <row r="51" spans="1:29" x14ac:dyDescent="0.25">
      <c r="A51" s="129"/>
      <c r="B51" s="87">
        <f t="shared" si="4"/>
        <v>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0</v>
      </c>
      <c r="K51" s="129"/>
      <c r="L51" s="87">
        <f t="shared" si="6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0</v>
      </c>
      <c r="U51" s="129"/>
      <c r="V51" s="87">
        <f t="shared" si="8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</row>
    <row r="52" spans="1:29" x14ac:dyDescent="0.25">
      <c r="A52" s="129"/>
      <c r="B52" s="87">
        <f t="shared" si="4"/>
        <v>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0</v>
      </c>
      <c r="K52" s="129"/>
      <c r="L52" s="87">
        <f t="shared" si="6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0</v>
      </c>
      <c r="U52" s="129"/>
      <c r="V52" s="87">
        <f t="shared" si="8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</row>
    <row r="53" spans="1:29" x14ac:dyDescent="0.25">
      <c r="A53" s="129"/>
      <c r="B53" s="87">
        <f t="shared" si="4"/>
        <v>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0</v>
      </c>
      <c r="K53" s="129"/>
      <c r="L53" s="87">
        <f t="shared" si="6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0</v>
      </c>
      <c r="U53" s="129"/>
      <c r="V53" s="87">
        <f t="shared" si="8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</row>
    <row r="54" spans="1:29" x14ac:dyDescent="0.25">
      <c r="A54" s="129"/>
      <c r="B54" s="87">
        <f t="shared" si="4"/>
        <v>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0</v>
      </c>
      <c r="K54" s="129"/>
      <c r="L54" s="87">
        <f t="shared" si="6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0</v>
      </c>
      <c r="U54" s="129"/>
      <c r="V54" s="87">
        <f t="shared" si="8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</row>
    <row r="55" spans="1:29" x14ac:dyDescent="0.25">
      <c r="A55" s="129"/>
      <c r="B55" s="12">
        <f>B54-C55</f>
        <v>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0</v>
      </c>
      <c r="U55" s="129"/>
      <c r="V55" s="12">
        <f>V54-W55</f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</row>
    <row r="56" spans="1:29" x14ac:dyDescent="0.25">
      <c r="A56" s="129"/>
      <c r="B56" s="12">
        <f t="shared" ref="B56:B75" si="10">B55-C56</f>
        <v>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0</v>
      </c>
      <c r="K56" s="129"/>
      <c r="L56" s="12">
        <f t="shared" ref="L56:L75" si="11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0</v>
      </c>
      <c r="U56" s="129"/>
      <c r="V56" s="12">
        <f t="shared" ref="V56:V75" si="12"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</row>
    <row r="57" spans="1:29" x14ac:dyDescent="0.25">
      <c r="A57" s="129"/>
      <c r="B57" s="12">
        <f t="shared" si="10"/>
        <v>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0</v>
      </c>
      <c r="K57" s="129"/>
      <c r="L57" s="12">
        <f t="shared" si="11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0</v>
      </c>
      <c r="U57" s="129"/>
      <c r="V57" s="12">
        <f t="shared" si="12"/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</row>
    <row r="58" spans="1:29" x14ac:dyDescent="0.25">
      <c r="A58" s="129"/>
      <c r="B58" s="12">
        <f t="shared" si="10"/>
        <v>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0</v>
      </c>
      <c r="K58" s="129"/>
      <c r="L58" s="12">
        <f t="shared" si="11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0</v>
      </c>
      <c r="U58" s="129"/>
      <c r="V58" s="12">
        <f t="shared" si="12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</row>
    <row r="59" spans="1:29" x14ac:dyDescent="0.25">
      <c r="A59" s="129"/>
      <c r="B59" s="12">
        <f t="shared" si="10"/>
        <v>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0</v>
      </c>
      <c r="K59" s="129"/>
      <c r="L59" s="12">
        <f t="shared" si="11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0</v>
      </c>
      <c r="U59" s="129"/>
      <c r="V59" s="12">
        <f t="shared" si="12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</row>
    <row r="60" spans="1:29" x14ac:dyDescent="0.25">
      <c r="A60" s="129"/>
      <c r="B60" s="12">
        <f t="shared" si="10"/>
        <v>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0</v>
      </c>
      <c r="K60" s="129"/>
      <c r="L60" s="12">
        <f t="shared" si="11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0</v>
      </c>
      <c r="U60" s="129"/>
      <c r="V60" s="12">
        <f t="shared" si="12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</row>
    <row r="61" spans="1:29" x14ac:dyDescent="0.25">
      <c r="A61" s="129"/>
      <c r="B61" s="12">
        <f t="shared" si="10"/>
        <v>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0</v>
      </c>
      <c r="K61" s="129"/>
      <c r="L61" s="12">
        <f t="shared" si="11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0</v>
      </c>
      <c r="U61" s="129"/>
      <c r="V61" s="12">
        <f t="shared" si="12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</row>
    <row r="62" spans="1:29" x14ac:dyDescent="0.25">
      <c r="A62" s="129"/>
      <c r="B62" s="12">
        <f t="shared" si="10"/>
        <v>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0</v>
      </c>
      <c r="K62" s="129"/>
      <c r="L62" s="12">
        <f t="shared" si="11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0</v>
      </c>
      <c r="U62" s="129"/>
      <c r="V62" s="12">
        <f t="shared" si="12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</row>
    <row r="63" spans="1:29" x14ac:dyDescent="0.25">
      <c r="A63" s="129"/>
      <c r="B63" s="12">
        <f t="shared" si="10"/>
        <v>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0</v>
      </c>
      <c r="K63" s="129"/>
      <c r="L63" s="12">
        <f t="shared" si="11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0</v>
      </c>
      <c r="U63" s="129"/>
      <c r="V63" s="12">
        <f t="shared" si="12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</row>
    <row r="64" spans="1:29" x14ac:dyDescent="0.25">
      <c r="A64" s="129"/>
      <c r="B64" s="12">
        <f t="shared" si="10"/>
        <v>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0</v>
      </c>
      <c r="K64" s="129"/>
      <c r="L64" s="12">
        <f t="shared" si="11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0</v>
      </c>
      <c r="U64" s="129"/>
      <c r="V64" s="12">
        <f t="shared" si="12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</row>
    <row r="65" spans="1:29" x14ac:dyDescent="0.25">
      <c r="A65" s="129"/>
      <c r="B65" s="12">
        <f t="shared" si="10"/>
        <v>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0</v>
      </c>
      <c r="K65" s="129"/>
      <c r="L65" s="12">
        <f t="shared" si="11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0</v>
      </c>
      <c r="U65" s="129"/>
      <c r="V65" s="12">
        <f t="shared" si="12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</row>
    <row r="66" spans="1:29" x14ac:dyDescent="0.25">
      <c r="A66" s="129"/>
      <c r="B66" s="12">
        <f t="shared" si="10"/>
        <v>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0</v>
      </c>
      <c r="K66" s="129"/>
      <c r="L66" s="12">
        <f t="shared" si="11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0</v>
      </c>
      <c r="U66" s="129"/>
      <c r="V66" s="12">
        <f t="shared" si="12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</row>
    <row r="67" spans="1:29" x14ac:dyDescent="0.25">
      <c r="A67" s="129"/>
      <c r="B67" s="12">
        <f t="shared" si="10"/>
        <v>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0</v>
      </c>
      <c r="K67" s="129"/>
      <c r="L67" s="12">
        <f t="shared" si="11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0</v>
      </c>
      <c r="U67" s="129"/>
      <c r="V67" s="12">
        <f t="shared" si="12"/>
        <v>0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0</v>
      </c>
    </row>
    <row r="68" spans="1:29" x14ac:dyDescent="0.25">
      <c r="A68" s="129"/>
      <c r="B68" s="12">
        <f t="shared" si="10"/>
        <v>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0</v>
      </c>
      <c r="K68" s="129"/>
      <c r="L68" s="12">
        <f t="shared" si="11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0</v>
      </c>
      <c r="U68" s="129"/>
      <c r="V68" s="12">
        <f t="shared" si="12"/>
        <v>0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0</v>
      </c>
    </row>
    <row r="69" spans="1:29" x14ac:dyDescent="0.25">
      <c r="A69" s="129"/>
      <c r="B69" s="12">
        <f t="shared" si="10"/>
        <v>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0</v>
      </c>
      <c r="K69" s="129"/>
      <c r="L69" s="12">
        <f t="shared" si="11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0</v>
      </c>
      <c r="U69" s="129"/>
      <c r="V69" s="12">
        <f t="shared" si="12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</row>
    <row r="70" spans="1:29" x14ac:dyDescent="0.25">
      <c r="A70" s="129"/>
      <c r="B70" s="12">
        <f t="shared" si="10"/>
        <v>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0</v>
      </c>
      <c r="K70" s="129"/>
      <c r="L70" s="12">
        <f t="shared" si="11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0</v>
      </c>
      <c r="U70" s="129"/>
      <c r="V70" s="12">
        <f t="shared" si="12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</row>
    <row r="71" spans="1:29" x14ac:dyDescent="0.25">
      <c r="A71" s="129"/>
      <c r="B71" s="12">
        <f t="shared" si="10"/>
        <v>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0</v>
      </c>
      <c r="K71" s="129"/>
      <c r="L71" s="12">
        <f t="shared" si="11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0</v>
      </c>
      <c r="U71" s="129"/>
      <c r="V71" s="12">
        <f t="shared" si="12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</row>
    <row r="72" spans="1:29" x14ac:dyDescent="0.25">
      <c r="A72" s="129"/>
      <c r="B72" s="12">
        <f t="shared" si="10"/>
        <v>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0</v>
      </c>
      <c r="K72" s="129"/>
      <c r="L72" s="12">
        <f t="shared" si="11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0</v>
      </c>
      <c r="U72" s="129"/>
      <c r="V72" s="12">
        <f t="shared" si="12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</row>
    <row r="73" spans="1:29" x14ac:dyDescent="0.25">
      <c r="A73" s="129"/>
      <c r="B73" s="12">
        <f t="shared" si="10"/>
        <v>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0</v>
      </c>
      <c r="K73" s="129"/>
      <c r="L73" s="12">
        <f t="shared" si="11"/>
        <v>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0</v>
      </c>
      <c r="U73" s="129"/>
      <c r="V73" s="12">
        <f t="shared" si="12"/>
        <v>0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0</v>
      </c>
    </row>
    <row r="74" spans="1:29" x14ac:dyDescent="0.25">
      <c r="A74" s="129"/>
      <c r="B74" s="12">
        <f t="shared" si="10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0</v>
      </c>
      <c r="K74" s="129"/>
      <c r="L74" s="12">
        <f t="shared" si="11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0</v>
      </c>
      <c r="U74" s="129"/>
      <c r="V74" s="12">
        <f t="shared" si="12"/>
        <v>0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0</v>
      </c>
    </row>
    <row r="75" spans="1:29" x14ac:dyDescent="0.25">
      <c r="A75" s="129"/>
      <c r="B75" s="12">
        <f t="shared" si="10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0</v>
      </c>
      <c r="K75" s="129"/>
      <c r="L75" s="12">
        <f t="shared" si="11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0</v>
      </c>
      <c r="U75" s="129"/>
      <c r="V75" s="12">
        <f t="shared" si="12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0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0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0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116</v>
      </c>
      <c r="D78" s="6">
        <f>SUM(D9:D77)</f>
        <v>1414.7100000000003</v>
      </c>
      <c r="F78" s="6">
        <f>SUM(F9:F77)</f>
        <v>1414.7100000000003</v>
      </c>
      <c r="M78" s="55">
        <f>SUM(M9:M77)</f>
        <v>25</v>
      </c>
      <c r="N78" s="6">
        <f>SUM(N9:N77)</f>
        <v>312.24</v>
      </c>
      <c r="P78" s="6">
        <f>SUM(P9:P77)</f>
        <v>312.24</v>
      </c>
      <c r="W78" s="55">
        <f>SUM(W9:W77)</f>
        <v>50</v>
      </c>
      <c r="X78" s="6">
        <f>SUM(X9:X77)</f>
        <v>630.31000000000006</v>
      </c>
      <c r="Z78" s="6">
        <f>SUM(Z9:Z77)</f>
        <v>630.31000000000006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  <c r="X81" s="46" t="s">
        <v>4</v>
      </c>
      <c r="Y81" s="59">
        <f>Z5+Z6-W78+Z7</f>
        <v>0</v>
      </c>
    </row>
    <row r="82" spans="3:26" ht="15.75" thickBot="1" x14ac:dyDescent="0.3"/>
    <row r="83" spans="3:26" ht="15.75" thickBot="1" x14ac:dyDescent="0.3">
      <c r="C83" s="1120" t="s">
        <v>11</v>
      </c>
      <c r="D83" s="1121"/>
      <c r="E83" s="60">
        <f>E5+E6-F78+E7</f>
        <v>-3.979039320256561E-13</v>
      </c>
      <c r="F83" s="76"/>
      <c r="M83" s="1120" t="s">
        <v>11</v>
      </c>
      <c r="N83" s="1121"/>
      <c r="O83" s="60">
        <f>O5+O6-P78+O7</f>
        <v>0</v>
      </c>
      <c r="P83" s="76"/>
      <c r="W83" s="1120" t="s">
        <v>11</v>
      </c>
      <c r="X83" s="1121"/>
      <c r="Y83" s="60">
        <f>Y5+Y6-Z78+Y7</f>
        <v>-1.1368683772161603E-13</v>
      </c>
      <c r="Z83" s="76"/>
    </row>
  </sheetData>
  <mergeCells count="9">
    <mergeCell ref="U1:AA1"/>
    <mergeCell ref="V5:V6"/>
    <mergeCell ref="W83:X83"/>
    <mergeCell ref="M83:N83"/>
    <mergeCell ref="A1:G1"/>
    <mergeCell ref="B5:B6"/>
    <mergeCell ref="C83:D83"/>
    <mergeCell ref="K1:Q1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C1" zoomScaleNormal="100" workbookViewId="0">
      <pane xSplit="2" ySplit="9" topLeftCell="AE10" activePane="bottomRight" state="frozen"/>
      <selection activeCell="AC1" sqref="AC1"/>
      <selection pane="topRight" activeCell="AE1" sqref="AE1"/>
      <selection pane="bottomLeft" activeCell="AC10" sqref="AC10"/>
      <selection pane="bottomRight" activeCell="AL17" sqref="AL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4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4"/>
  </cols>
  <sheetData>
    <row r="1" spans="1:39" ht="40.5" x14ac:dyDescent="0.55000000000000004">
      <c r="A1" s="1124" t="s">
        <v>264</v>
      </c>
      <c r="B1" s="1124"/>
      <c r="C1" s="1124"/>
      <c r="D1" s="1124"/>
      <c r="E1" s="1124"/>
      <c r="F1" s="1124"/>
      <c r="G1" s="1124"/>
      <c r="H1" s="11">
        <v>1</v>
      </c>
      <c r="K1" s="1124" t="str">
        <f>A1</f>
        <v>INVENTARIO      DEL MES DE JUNIO   2021</v>
      </c>
      <c r="L1" s="1124"/>
      <c r="M1" s="1124"/>
      <c r="N1" s="1124"/>
      <c r="O1" s="1124"/>
      <c r="P1" s="1124"/>
      <c r="Q1" s="1124"/>
      <c r="R1" s="11">
        <v>2</v>
      </c>
      <c r="U1" s="1118" t="str">
        <f>K1</f>
        <v>INVENTARIO      DEL MES DE JUNIO   2021</v>
      </c>
      <c r="V1" s="1118"/>
      <c r="W1" s="1118"/>
      <c r="X1" s="1118"/>
      <c r="Y1" s="1118"/>
      <c r="Z1" s="1118"/>
      <c r="AA1" s="1118"/>
      <c r="AB1" s="11">
        <v>2</v>
      </c>
      <c r="AE1" s="1118" t="str">
        <f>U1</f>
        <v>INVENTARIO      DEL MES DE JUNIO   2021</v>
      </c>
      <c r="AF1" s="1118"/>
      <c r="AG1" s="1118"/>
      <c r="AH1" s="1118"/>
      <c r="AI1" s="1118"/>
      <c r="AJ1" s="1118"/>
      <c r="AK1" s="1118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E3" s="66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6" t="s">
        <v>11</v>
      </c>
    </row>
    <row r="4" spans="1:39" ht="15.75" customHeight="1" thickTop="1" x14ac:dyDescent="0.25">
      <c r="A4" s="828"/>
      <c r="B4" s="1125" t="s">
        <v>121</v>
      </c>
      <c r="C4" s="354"/>
      <c r="D4" s="273"/>
      <c r="E4" s="985"/>
      <c r="F4" s="268"/>
      <c r="G4" s="169"/>
      <c r="H4" s="169"/>
      <c r="K4" s="828"/>
      <c r="L4" s="1125" t="s">
        <v>121</v>
      </c>
      <c r="M4" s="354"/>
      <c r="N4" s="273"/>
      <c r="O4" s="985"/>
      <c r="P4" s="268"/>
      <c r="Q4" s="169"/>
      <c r="R4" s="169"/>
      <c r="U4" s="828"/>
      <c r="V4" s="1128" t="s">
        <v>525</v>
      </c>
      <c r="W4" s="354"/>
      <c r="X4" s="273"/>
      <c r="Y4" s="985"/>
      <c r="Z4" s="268"/>
      <c r="AA4" s="169"/>
      <c r="AB4" s="169"/>
      <c r="AE4" s="828"/>
      <c r="AF4" s="1125" t="s">
        <v>121</v>
      </c>
      <c r="AG4" s="354"/>
      <c r="AH4" s="273"/>
      <c r="AI4" s="985"/>
      <c r="AJ4" s="268"/>
      <c r="AK4" s="169"/>
      <c r="AL4" s="169"/>
    </row>
    <row r="5" spans="1:39" ht="15" customHeight="1" x14ac:dyDescent="0.25">
      <c r="A5" s="828" t="s">
        <v>170</v>
      </c>
      <c r="B5" s="1126"/>
      <c r="C5" s="671">
        <v>119.5</v>
      </c>
      <c r="D5" s="273">
        <v>44363</v>
      </c>
      <c r="E5" s="985">
        <v>3322.75</v>
      </c>
      <c r="F5" s="268">
        <v>100</v>
      </c>
      <c r="G5" s="286"/>
      <c r="K5" s="1127" t="s">
        <v>68</v>
      </c>
      <c r="L5" s="1126"/>
      <c r="M5" s="671">
        <v>123</v>
      </c>
      <c r="N5" s="273">
        <v>44376</v>
      </c>
      <c r="O5" s="985">
        <v>5455.99</v>
      </c>
      <c r="P5" s="268">
        <v>180</v>
      </c>
      <c r="Q5" s="286"/>
      <c r="U5" s="1127" t="s">
        <v>170</v>
      </c>
      <c r="V5" s="1129"/>
      <c r="W5" s="671">
        <v>117</v>
      </c>
      <c r="X5" s="273">
        <v>44390</v>
      </c>
      <c r="Y5" s="985">
        <v>541.79999999999995</v>
      </c>
      <c r="Z5" s="268">
        <v>20</v>
      </c>
      <c r="AA5" s="286"/>
      <c r="AE5" s="1127" t="s">
        <v>68</v>
      </c>
      <c r="AF5" s="1126"/>
      <c r="AG5" s="671"/>
      <c r="AH5" s="273">
        <v>44399</v>
      </c>
      <c r="AI5" s="985">
        <v>18902.599999999999</v>
      </c>
      <c r="AJ5" s="268">
        <v>624</v>
      </c>
      <c r="AK5" s="286"/>
    </row>
    <row r="6" spans="1:39" x14ac:dyDescent="0.25">
      <c r="A6" s="200"/>
      <c r="B6" s="1126"/>
      <c r="C6" s="693"/>
      <c r="D6" s="273">
        <v>44368</v>
      </c>
      <c r="E6" s="986">
        <v>3178.53</v>
      </c>
      <c r="F6" s="76">
        <v>100</v>
      </c>
      <c r="G6" s="288">
        <f>F79</f>
        <v>9588.7899999999991</v>
      </c>
      <c r="H6" s="7">
        <f>E6-G6+E7+E5-G5+E4</f>
        <v>1.8189894035458565E-12</v>
      </c>
      <c r="K6" s="1127"/>
      <c r="L6" s="1126"/>
      <c r="M6" s="693"/>
      <c r="N6" s="273"/>
      <c r="O6" s="986">
        <v>461.17</v>
      </c>
      <c r="P6" s="76">
        <v>15</v>
      </c>
      <c r="Q6" s="288">
        <f>P79</f>
        <v>5917.1600000000008</v>
      </c>
      <c r="R6" s="7">
        <f>O6-Q6+O7+O5-Q5+O4</f>
        <v>-9.0949470177292824E-13</v>
      </c>
      <c r="U6" s="1127"/>
      <c r="V6" s="1129"/>
      <c r="W6" s="693"/>
      <c r="X6" s="273"/>
      <c r="Y6" s="986"/>
      <c r="Z6" s="76"/>
      <c r="AA6" s="288">
        <f>Z79</f>
        <v>541.79999999999995</v>
      </c>
      <c r="AB6" s="7">
        <f>Y6-AA6+Y7+Y5-AA5+Y4</f>
        <v>0</v>
      </c>
      <c r="AE6" s="1127"/>
      <c r="AF6" s="1126"/>
      <c r="AG6" s="693"/>
      <c r="AH6" s="273"/>
      <c r="AI6" s="986">
        <v>2.33</v>
      </c>
      <c r="AJ6" s="76"/>
      <c r="AK6" s="288">
        <f>AJ79</f>
        <v>4913.25</v>
      </c>
      <c r="AL6" s="7">
        <f>AI6-AK6+AI7+AI5-AK5+AI4</f>
        <v>13991.679999999998</v>
      </c>
    </row>
    <row r="7" spans="1:39" x14ac:dyDescent="0.25">
      <c r="A7" s="828"/>
      <c r="B7" s="299"/>
      <c r="C7" s="310">
        <v>119.5</v>
      </c>
      <c r="D7" s="301">
        <v>44372</v>
      </c>
      <c r="E7" s="985">
        <v>3087.51</v>
      </c>
      <c r="F7" s="268">
        <v>100</v>
      </c>
      <c r="G7" s="265"/>
      <c r="K7" s="828"/>
      <c r="L7" s="299"/>
      <c r="M7" s="310"/>
      <c r="N7" s="301"/>
      <c r="O7" s="985"/>
      <c r="P7" s="268"/>
      <c r="Q7" s="265"/>
      <c r="U7" s="828"/>
      <c r="V7" s="299"/>
      <c r="W7" s="310"/>
      <c r="X7" s="301"/>
      <c r="Y7" s="985"/>
      <c r="Z7" s="268"/>
      <c r="AA7" s="265"/>
      <c r="AE7" s="828"/>
      <c r="AF7" s="299"/>
      <c r="AG7" s="310"/>
      <c r="AH7" s="301"/>
      <c r="AI7" s="985"/>
      <c r="AJ7" s="268"/>
      <c r="AK7" s="265"/>
    </row>
    <row r="8" spans="1:39" ht="15.75" thickBot="1" x14ac:dyDescent="0.3">
      <c r="A8" s="828"/>
      <c r="B8" s="299"/>
      <c r="C8" s="310"/>
      <c r="D8" s="301"/>
      <c r="E8" s="985"/>
      <c r="F8" s="268"/>
      <c r="G8" s="265"/>
      <c r="K8" s="828"/>
      <c r="L8" s="299"/>
      <c r="M8" s="310"/>
      <c r="N8" s="301"/>
      <c r="O8" s="985"/>
      <c r="P8" s="268"/>
      <c r="Q8" s="265"/>
      <c r="U8" s="828"/>
      <c r="V8" s="299"/>
      <c r="W8" s="310"/>
      <c r="X8" s="301"/>
      <c r="Y8" s="985"/>
      <c r="Z8" s="268"/>
      <c r="AA8" s="265"/>
      <c r="AE8" s="828"/>
      <c r="AF8" s="299"/>
      <c r="AG8" s="310"/>
      <c r="AH8" s="301"/>
      <c r="AI8" s="985"/>
      <c r="AJ8" s="268"/>
      <c r="AK8" s="265"/>
    </row>
    <row r="9" spans="1:3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7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7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194</v>
      </c>
      <c r="H10" s="292">
        <v>125</v>
      </c>
      <c r="I10" s="302">
        <f>E6-F10+E5+E4+E7+E8</f>
        <v>9357.73</v>
      </c>
      <c r="K10" s="84" t="s">
        <v>32</v>
      </c>
      <c r="L10" s="87">
        <f>P6-M10+P5+P4+P7+P8</f>
        <v>165</v>
      </c>
      <c r="M10" s="15">
        <v>30</v>
      </c>
      <c r="N10" s="290">
        <v>893.01</v>
      </c>
      <c r="O10" s="323">
        <v>44383</v>
      </c>
      <c r="P10" s="290">
        <f t="shared" ref="P10:P73" si="1">N10</f>
        <v>893.01</v>
      </c>
      <c r="Q10" s="291" t="s">
        <v>413</v>
      </c>
      <c r="R10" s="292">
        <v>125</v>
      </c>
      <c r="S10" s="302">
        <f>O6-P10+O5+O4+O7+O8</f>
        <v>5024.1499999999996</v>
      </c>
      <c r="U10" s="84" t="s">
        <v>32</v>
      </c>
      <c r="V10" s="87">
        <f>Z6-W10+Z5+Z4+Z7+Z8</f>
        <v>0</v>
      </c>
      <c r="W10" s="15">
        <v>20</v>
      </c>
      <c r="X10" s="290">
        <v>541.79999999999995</v>
      </c>
      <c r="Y10" s="323">
        <v>44399</v>
      </c>
      <c r="Z10" s="290">
        <f t="shared" ref="Z10:Z73" si="2">X10</f>
        <v>541.79999999999995</v>
      </c>
      <c r="AA10" s="291" t="s">
        <v>519</v>
      </c>
      <c r="AB10" s="292">
        <v>123</v>
      </c>
      <c r="AC10" s="302">
        <f>Y6-Z10+Y5+Y4+Y7+Y8</f>
        <v>0</v>
      </c>
      <c r="AE10" s="84" t="s">
        <v>32</v>
      </c>
      <c r="AF10" s="87">
        <f>AJ6-AG10+AJ5+AJ4+AJ7+AJ8</f>
        <v>614</v>
      </c>
      <c r="AG10" s="15">
        <v>10</v>
      </c>
      <c r="AH10" s="290">
        <v>319.25</v>
      </c>
      <c r="AI10" s="323">
        <v>44401</v>
      </c>
      <c r="AJ10" s="290">
        <f t="shared" ref="AJ10:AJ73" si="3">AH10</f>
        <v>319.25</v>
      </c>
      <c r="AK10" s="291" t="s">
        <v>535</v>
      </c>
      <c r="AL10" s="292">
        <v>123</v>
      </c>
      <c r="AM10" s="302">
        <f>AI6-AJ10+AI5+AI4+AI7+AI8</f>
        <v>18585.68</v>
      </c>
    </row>
    <row r="11" spans="1:39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197</v>
      </c>
      <c r="H11" s="292">
        <v>125</v>
      </c>
      <c r="I11" s="302">
        <f>I10-F11</f>
        <v>8346.2099999999991</v>
      </c>
      <c r="K11" s="224"/>
      <c r="L11" s="87">
        <f>L10-M11</f>
        <v>135</v>
      </c>
      <c r="M11" s="15">
        <v>30</v>
      </c>
      <c r="N11" s="290">
        <v>938.3</v>
      </c>
      <c r="O11" s="323">
        <v>44386</v>
      </c>
      <c r="P11" s="290">
        <f t="shared" si="1"/>
        <v>938.3</v>
      </c>
      <c r="Q11" s="291" t="s">
        <v>442</v>
      </c>
      <c r="R11" s="292">
        <v>125</v>
      </c>
      <c r="S11" s="302">
        <f>S10-P11</f>
        <v>4085.8499999999995</v>
      </c>
      <c r="U11" s="224"/>
      <c r="V11" s="87">
        <f>V10-W11</f>
        <v>0</v>
      </c>
      <c r="W11" s="15"/>
      <c r="X11" s="290"/>
      <c r="Y11" s="323"/>
      <c r="Z11" s="1048">
        <f t="shared" si="2"/>
        <v>0</v>
      </c>
      <c r="AA11" s="1049"/>
      <c r="AB11" s="1050"/>
      <c r="AC11" s="1047">
        <f>AC10-Z11</f>
        <v>0</v>
      </c>
      <c r="AE11" s="224"/>
      <c r="AF11" s="87">
        <f>AF10-AG11</f>
        <v>584</v>
      </c>
      <c r="AG11" s="15">
        <v>30</v>
      </c>
      <c r="AH11" s="290">
        <v>943</v>
      </c>
      <c r="AI11" s="323">
        <v>44401</v>
      </c>
      <c r="AJ11" s="290">
        <f t="shared" si="3"/>
        <v>943</v>
      </c>
      <c r="AK11" s="291" t="s">
        <v>539</v>
      </c>
      <c r="AL11" s="292">
        <v>123</v>
      </c>
      <c r="AM11" s="302">
        <f>AM10-AJ11</f>
        <v>17642.68</v>
      </c>
    </row>
    <row r="12" spans="1:39" x14ac:dyDescent="0.25">
      <c r="A12" s="211"/>
      <c r="B12" s="87">
        <f t="shared" ref="B12:B18" si="4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202</v>
      </c>
      <c r="H12" s="292">
        <v>125</v>
      </c>
      <c r="I12" s="302">
        <f t="shared" ref="I12:I75" si="5">I11-F12</f>
        <v>7830.829999999999</v>
      </c>
      <c r="K12" s="211"/>
      <c r="L12" s="87">
        <f t="shared" ref="L12:L18" si="6">L11-M12</f>
        <v>120</v>
      </c>
      <c r="M12" s="15">
        <v>15</v>
      </c>
      <c r="N12" s="290">
        <v>465.25</v>
      </c>
      <c r="O12" s="323">
        <v>44389</v>
      </c>
      <c r="P12" s="290">
        <f t="shared" si="1"/>
        <v>465.25</v>
      </c>
      <c r="Q12" s="291" t="s">
        <v>453</v>
      </c>
      <c r="R12" s="292">
        <v>125</v>
      </c>
      <c r="S12" s="302">
        <f t="shared" ref="S12:S75" si="7">S11-P12</f>
        <v>3620.5999999999995</v>
      </c>
      <c r="U12" s="211"/>
      <c r="V12" s="87">
        <f t="shared" ref="V12:V18" si="8">V11-W12</f>
        <v>0</v>
      </c>
      <c r="W12" s="15"/>
      <c r="X12" s="290"/>
      <c r="Y12" s="323"/>
      <c r="Z12" s="1048">
        <f t="shared" si="2"/>
        <v>0</v>
      </c>
      <c r="AA12" s="1049"/>
      <c r="AB12" s="1050"/>
      <c r="AC12" s="1047">
        <f t="shared" ref="AC12:AC75" si="9">AC11-Z12</f>
        <v>0</v>
      </c>
      <c r="AE12" s="211"/>
      <c r="AF12" s="87">
        <f t="shared" ref="AF12:AF18" si="10">AF11-AG12</f>
        <v>564</v>
      </c>
      <c r="AG12" s="15">
        <v>20</v>
      </c>
      <c r="AH12" s="290">
        <v>633.48</v>
      </c>
      <c r="AI12" s="323">
        <v>44401</v>
      </c>
      <c r="AJ12" s="290">
        <f t="shared" si="3"/>
        <v>633.48</v>
      </c>
      <c r="AK12" s="291" t="s">
        <v>540</v>
      </c>
      <c r="AL12" s="292">
        <v>123</v>
      </c>
      <c r="AM12" s="302">
        <f t="shared" ref="AM12:AM75" si="11">AM11-AJ12</f>
        <v>17009.2</v>
      </c>
    </row>
    <row r="13" spans="1:39" ht="15.75" x14ac:dyDescent="0.25">
      <c r="A13" s="211"/>
      <c r="B13" s="87">
        <f t="shared" si="4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203</v>
      </c>
      <c r="H13" s="292">
        <v>125</v>
      </c>
      <c r="I13" s="489">
        <f t="shared" si="5"/>
        <v>6845.829999999999</v>
      </c>
      <c r="K13" s="211"/>
      <c r="L13" s="87">
        <f t="shared" si="6"/>
        <v>110</v>
      </c>
      <c r="M13" s="15">
        <v>10</v>
      </c>
      <c r="N13" s="290">
        <v>305.27</v>
      </c>
      <c r="O13" s="323">
        <v>44389</v>
      </c>
      <c r="P13" s="290">
        <f t="shared" si="1"/>
        <v>305.27</v>
      </c>
      <c r="Q13" s="291" t="s">
        <v>455</v>
      </c>
      <c r="R13" s="292">
        <v>125</v>
      </c>
      <c r="S13" s="489">
        <f t="shared" si="7"/>
        <v>3315.3299999999995</v>
      </c>
      <c r="U13" s="211"/>
      <c r="V13" s="87">
        <f t="shared" si="8"/>
        <v>0</v>
      </c>
      <c r="W13" s="15"/>
      <c r="X13" s="290"/>
      <c r="Y13" s="323"/>
      <c r="Z13" s="1048">
        <f t="shared" si="2"/>
        <v>0</v>
      </c>
      <c r="AA13" s="1049"/>
      <c r="AB13" s="1050"/>
      <c r="AC13" s="1064">
        <f t="shared" si="9"/>
        <v>0</v>
      </c>
      <c r="AE13" s="211"/>
      <c r="AF13" s="87">
        <f t="shared" si="10"/>
        <v>534</v>
      </c>
      <c r="AG13" s="15">
        <v>30</v>
      </c>
      <c r="AH13" s="290">
        <v>870.35</v>
      </c>
      <c r="AI13" s="323">
        <v>44403</v>
      </c>
      <c r="AJ13" s="290">
        <f t="shared" si="3"/>
        <v>870.35</v>
      </c>
      <c r="AK13" s="291" t="s">
        <v>543</v>
      </c>
      <c r="AL13" s="292">
        <v>123</v>
      </c>
      <c r="AM13" s="489">
        <f t="shared" si="11"/>
        <v>16138.85</v>
      </c>
    </row>
    <row r="14" spans="1:39" ht="15.75" x14ac:dyDescent="0.25">
      <c r="A14" s="86" t="s">
        <v>33</v>
      </c>
      <c r="B14" s="87">
        <f t="shared" si="4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206</v>
      </c>
      <c r="H14" s="292">
        <v>125</v>
      </c>
      <c r="I14" s="489">
        <f t="shared" si="5"/>
        <v>6587.5099999999993</v>
      </c>
      <c r="K14" s="86" t="s">
        <v>33</v>
      </c>
      <c r="L14" s="87">
        <f t="shared" si="6"/>
        <v>107</v>
      </c>
      <c r="M14" s="15">
        <v>3</v>
      </c>
      <c r="N14" s="290">
        <v>97.25</v>
      </c>
      <c r="O14" s="323">
        <v>44390</v>
      </c>
      <c r="P14" s="290">
        <f t="shared" si="1"/>
        <v>97.25</v>
      </c>
      <c r="Q14" s="291" t="s">
        <v>462</v>
      </c>
      <c r="R14" s="292">
        <v>125</v>
      </c>
      <c r="S14" s="489">
        <f t="shared" si="7"/>
        <v>3218.0799999999995</v>
      </c>
      <c r="U14" s="86" t="s">
        <v>33</v>
      </c>
      <c r="V14" s="87">
        <f t="shared" si="8"/>
        <v>0</v>
      </c>
      <c r="W14" s="15"/>
      <c r="X14" s="290"/>
      <c r="Y14" s="323"/>
      <c r="Z14" s="1048">
        <f t="shared" si="2"/>
        <v>0</v>
      </c>
      <c r="AA14" s="1049"/>
      <c r="AB14" s="1050"/>
      <c r="AC14" s="1064">
        <f t="shared" si="9"/>
        <v>0</v>
      </c>
      <c r="AE14" s="86" t="s">
        <v>33</v>
      </c>
      <c r="AF14" s="87">
        <f t="shared" si="10"/>
        <v>524</v>
      </c>
      <c r="AG14" s="15">
        <v>10</v>
      </c>
      <c r="AH14" s="290">
        <v>311.75</v>
      </c>
      <c r="AI14" s="323">
        <v>44405</v>
      </c>
      <c r="AJ14" s="290">
        <f t="shared" si="3"/>
        <v>311.75</v>
      </c>
      <c r="AK14" s="291" t="s">
        <v>550</v>
      </c>
      <c r="AL14" s="292">
        <v>123</v>
      </c>
      <c r="AM14" s="489">
        <f t="shared" si="11"/>
        <v>15827.1</v>
      </c>
    </row>
    <row r="15" spans="1:39" ht="15.75" x14ac:dyDescent="0.25">
      <c r="A15" s="76"/>
      <c r="B15" s="87">
        <f t="shared" si="4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209</v>
      </c>
      <c r="H15" s="292">
        <v>125</v>
      </c>
      <c r="I15" s="489">
        <f t="shared" si="5"/>
        <v>5624.579999999999</v>
      </c>
      <c r="K15" s="76"/>
      <c r="L15" s="87">
        <f t="shared" si="6"/>
        <v>77</v>
      </c>
      <c r="M15" s="15">
        <v>30</v>
      </c>
      <c r="N15" s="290">
        <v>881.44</v>
      </c>
      <c r="O15" s="323">
        <v>44390</v>
      </c>
      <c r="P15" s="290">
        <f t="shared" si="1"/>
        <v>881.44</v>
      </c>
      <c r="Q15" s="291" t="s">
        <v>463</v>
      </c>
      <c r="R15" s="292">
        <v>125</v>
      </c>
      <c r="S15" s="489">
        <f t="shared" si="7"/>
        <v>2336.6399999999994</v>
      </c>
      <c r="U15" s="76"/>
      <c r="V15" s="87">
        <f t="shared" si="8"/>
        <v>0</v>
      </c>
      <c r="W15" s="15"/>
      <c r="X15" s="290"/>
      <c r="Y15" s="323"/>
      <c r="Z15" s="290">
        <f t="shared" si="2"/>
        <v>0</v>
      </c>
      <c r="AA15" s="291"/>
      <c r="AB15" s="292"/>
      <c r="AC15" s="489">
        <f t="shared" si="9"/>
        <v>0</v>
      </c>
      <c r="AE15" s="76"/>
      <c r="AF15" s="87">
        <f t="shared" si="10"/>
        <v>494</v>
      </c>
      <c r="AG15" s="15">
        <v>30</v>
      </c>
      <c r="AH15" s="290">
        <v>935.54</v>
      </c>
      <c r="AI15" s="323">
        <v>44406</v>
      </c>
      <c r="AJ15" s="290">
        <f t="shared" si="3"/>
        <v>935.54</v>
      </c>
      <c r="AK15" s="291" t="s">
        <v>553</v>
      </c>
      <c r="AL15" s="292">
        <v>123</v>
      </c>
      <c r="AM15" s="489">
        <f t="shared" si="11"/>
        <v>14891.560000000001</v>
      </c>
    </row>
    <row r="16" spans="1:39" x14ac:dyDescent="0.25">
      <c r="A16" s="76"/>
      <c r="B16" s="87">
        <f t="shared" si="4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215</v>
      </c>
      <c r="H16" s="292">
        <v>125</v>
      </c>
      <c r="I16" s="302">
        <f t="shared" si="5"/>
        <v>5159.1599999999989</v>
      </c>
      <c r="K16" s="76"/>
      <c r="L16" s="87">
        <f t="shared" si="6"/>
        <v>47</v>
      </c>
      <c r="M16" s="15">
        <v>30</v>
      </c>
      <c r="N16" s="290">
        <v>877.61</v>
      </c>
      <c r="O16" s="323">
        <v>44391</v>
      </c>
      <c r="P16" s="290">
        <f t="shared" si="1"/>
        <v>877.61</v>
      </c>
      <c r="Q16" s="291" t="s">
        <v>467</v>
      </c>
      <c r="R16" s="292">
        <v>125</v>
      </c>
      <c r="S16" s="302">
        <f t="shared" si="7"/>
        <v>1459.0299999999993</v>
      </c>
      <c r="U16" s="76"/>
      <c r="V16" s="87">
        <f t="shared" si="8"/>
        <v>0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  <c r="AE16" s="76"/>
      <c r="AF16" s="87">
        <f t="shared" si="10"/>
        <v>464</v>
      </c>
      <c r="AG16" s="15">
        <v>30</v>
      </c>
      <c r="AH16" s="290">
        <v>899.88</v>
      </c>
      <c r="AI16" s="323">
        <v>44407</v>
      </c>
      <c r="AJ16" s="290">
        <f t="shared" si="3"/>
        <v>899.88</v>
      </c>
      <c r="AK16" s="291" t="s">
        <v>561</v>
      </c>
      <c r="AL16" s="292">
        <v>123</v>
      </c>
      <c r="AM16" s="302">
        <f t="shared" si="11"/>
        <v>13991.680000000002</v>
      </c>
    </row>
    <row r="17" spans="1:39" x14ac:dyDescent="0.25">
      <c r="B17" s="87">
        <f t="shared" si="4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220</v>
      </c>
      <c r="H17" s="292">
        <v>125</v>
      </c>
      <c r="I17" s="302">
        <f t="shared" si="5"/>
        <v>4686.9499999999989</v>
      </c>
      <c r="L17" s="87">
        <f t="shared" si="6"/>
        <v>27</v>
      </c>
      <c r="M17" s="15">
        <v>20</v>
      </c>
      <c r="N17" s="290">
        <v>640.80999999999995</v>
      </c>
      <c r="O17" s="323">
        <v>44394</v>
      </c>
      <c r="P17" s="290">
        <f t="shared" si="1"/>
        <v>640.80999999999995</v>
      </c>
      <c r="Q17" s="291" t="s">
        <v>489</v>
      </c>
      <c r="R17" s="292">
        <v>125</v>
      </c>
      <c r="S17" s="302">
        <f t="shared" si="7"/>
        <v>818.21999999999935</v>
      </c>
      <c r="V17" s="87">
        <f t="shared" si="8"/>
        <v>0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  <c r="AF17" s="87">
        <f t="shared" si="10"/>
        <v>464</v>
      </c>
      <c r="AG17" s="15"/>
      <c r="AH17" s="290"/>
      <c r="AI17" s="323"/>
      <c r="AJ17" s="290">
        <f t="shared" si="3"/>
        <v>0</v>
      </c>
      <c r="AK17" s="291"/>
      <c r="AL17" s="292"/>
      <c r="AM17" s="302">
        <f t="shared" si="11"/>
        <v>13991.680000000002</v>
      </c>
    </row>
    <row r="18" spans="1:39" x14ac:dyDescent="0.25">
      <c r="B18" s="87">
        <f t="shared" si="4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227</v>
      </c>
      <c r="H18" s="292">
        <v>125</v>
      </c>
      <c r="I18" s="302">
        <f t="shared" si="5"/>
        <v>3709.0399999999991</v>
      </c>
      <c r="L18" s="87">
        <f t="shared" si="6"/>
        <v>0</v>
      </c>
      <c r="M18" s="15">
        <v>27</v>
      </c>
      <c r="N18" s="290">
        <v>815.89</v>
      </c>
      <c r="O18" s="323">
        <v>44396</v>
      </c>
      <c r="P18" s="290">
        <f t="shared" si="1"/>
        <v>815.89</v>
      </c>
      <c r="Q18" s="291" t="s">
        <v>499</v>
      </c>
      <c r="R18" s="292">
        <v>123</v>
      </c>
      <c r="S18" s="302">
        <f t="shared" si="7"/>
        <v>2.3299999999993588</v>
      </c>
      <c r="V18" s="87">
        <f t="shared" si="8"/>
        <v>0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  <c r="AF18" s="87">
        <f t="shared" si="10"/>
        <v>464</v>
      </c>
      <c r="AG18" s="15"/>
      <c r="AH18" s="290"/>
      <c r="AI18" s="323"/>
      <c r="AJ18" s="290">
        <f t="shared" si="3"/>
        <v>0</v>
      </c>
      <c r="AK18" s="291"/>
      <c r="AL18" s="292"/>
      <c r="AM18" s="302">
        <f t="shared" si="11"/>
        <v>13991.680000000002</v>
      </c>
    </row>
    <row r="19" spans="1:39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228</v>
      </c>
      <c r="H19" s="292">
        <v>125</v>
      </c>
      <c r="I19" s="302">
        <f t="shared" si="5"/>
        <v>3408.889999999999</v>
      </c>
      <c r="K19" s="129"/>
      <c r="L19" s="87">
        <f>L18-M19</f>
        <v>0</v>
      </c>
      <c r="M19" s="15"/>
      <c r="N19" s="290"/>
      <c r="O19" s="323"/>
      <c r="P19" s="290">
        <v>2.33</v>
      </c>
      <c r="Q19" s="1049"/>
      <c r="R19" s="1050"/>
      <c r="S19" s="1047">
        <f t="shared" si="7"/>
        <v>-6.4126481902349042E-13</v>
      </c>
      <c r="U19" s="129"/>
      <c r="V19" s="87">
        <f>V18-W19</f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  <c r="AE19" s="129"/>
      <c r="AF19" s="87">
        <f>AF18-AG19</f>
        <v>464</v>
      </c>
      <c r="AG19" s="15"/>
      <c r="AH19" s="290"/>
      <c r="AI19" s="323"/>
      <c r="AJ19" s="290">
        <f t="shared" si="3"/>
        <v>0</v>
      </c>
      <c r="AK19" s="291"/>
      <c r="AL19" s="292"/>
      <c r="AM19" s="302">
        <f t="shared" si="11"/>
        <v>13991.680000000002</v>
      </c>
    </row>
    <row r="20" spans="1:39" x14ac:dyDescent="0.25">
      <c r="A20" s="129"/>
      <c r="B20" s="87">
        <f t="shared" ref="B20:B55" si="12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233</v>
      </c>
      <c r="H20" s="292">
        <v>125</v>
      </c>
      <c r="I20" s="302">
        <f t="shared" si="5"/>
        <v>3102.4699999999989</v>
      </c>
      <c r="K20" s="129"/>
      <c r="L20" s="87">
        <f t="shared" ref="L20:L55" si="13">L19-M20</f>
        <v>0</v>
      </c>
      <c r="M20" s="15"/>
      <c r="N20" s="290"/>
      <c r="O20" s="323"/>
      <c r="P20" s="290">
        <f t="shared" si="1"/>
        <v>0</v>
      </c>
      <c r="Q20" s="1049"/>
      <c r="R20" s="1050"/>
      <c r="S20" s="1047">
        <f t="shared" si="7"/>
        <v>-6.4126481902349042E-13</v>
      </c>
      <c r="U20" s="129"/>
      <c r="V20" s="87">
        <f t="shared" ref="V20:V55" si="14">V19-W20</f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  <c r="AE20" s="129"/>
      <c r="AF20" s="87">
        <f t="shared" ref="AF20:AF55" si="15">AF19-AG20</f>
        <v>464</v>
      </c>
      <c r="AG20" s="15"/>
      <c r="AH20" s="290"/>
      <c r="AI20" s="323"/>
      <c r="AJ20" s="290">
        <f t="shared" si="3"/>
        <v>0</v>
      </c>
      <c r="AK20" s="291"/>
      <c r="AL20" s="292"/>
      <c r="AM20" s="302">
        <f t="shared" si="11"/>
        <v>13991.680000000002</v>
      </c>
    </row>
    <row r="21" spans="1:39" x14ac:dyDescent="0.25">
      <c r="A21" s="129"/>
      <c r="B21" s="87">
        <f t="shared" si="12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235</v>
      </c>
      <c r="H21" s="292">
        <v>125</v>
      </c>
      <c r="I21" s="302">
        <f t="shared" si="5"/>
        <v>2783.8999999999987</v>
      </c>
      <c r="K21" s="129"/>
      <c r="L21" s="87">
        <f t="shared" si="13"/>
        <v>0</v>
      </c>
      <c r="M21" s="15"/>
      <c r="N21" s="918"/>
      <c r="O21" s="919"/>
      <c r="P21" s="918">
        <f t="shared" si="1"/>
        <v>0</v>
      </c>
      <c r="Q21" s="1065"/>
      <c r="R21" s="1066"/>
      <c r="S21" s="1047">
        <f t="shared" si="7"/>
        <v>-6.4126481902349042E-13</v>
      </c>
      <c r="U21" s="129"/>
      <c r="V21" s="87">
        <f t="shared" si="14"/>
        <v>0</v>
      </c>
      <c r="W21" s="15"/>
      <c r="X21" s="918"/>
      <c r="Y21" s="919"/>
      <c r="Z21" s="918">
        <f t="shared" si="2"/>
        <v>0</v>
      </c>
      <c r="AA21" s="920"/>
      <c r="AB21" s="921"/>
      <c r="AC21" s="302">
        <f t="shared" si="9"/>
        <v>0</v>
      </c>
      <c r="AE21" s="129"/>
      <c r="AF21" s="87">
        <f t="shared" si="15"/>
        <v>464</v>
      </c>
      <c r="AG21" s="15"/>
      <c r="AH21" s="918"/>
      <c r="AI21" s="919"/>
      <c r="AJ21" s="918">
        <f t="shared" si="3"/>
        <v>0</v>
      </c>
      <c r="AK21" s="920"/>
      <c r="AL21" s="921"/>
      <c r="AM21" s="302">
        <f t="shared" si="11"/>
        <v>13991.680000000002</v>
      </c>
    </row>
    <row r="22" spans="1:39" x14ac:dyDescent="0.25">
      <c r="A22" s="129"/>
      <c r="B22" s="87">
        <f t="shared" si="12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237</v>
      </c>
      <c r="H22" s="292">
        <v>125</v>
      </c>
      <c r="I22" s="302">
        <f t="shared" si="5"/>
        <v>1857.3999999999987</v>
      </c>
      <c r="K22" s="129"/>
      <c r="L22" s="87">
        <f t="shared" si="13"/>
        <v>0</v>
      </c>
      <c r="M22" s="15"/>
      <c r="N22" s="918"/>
      <c r="O22" s="919"/>
      <c r="P22" s="918">
        <f t="shared" si="1"/>
        <v>0</v>
      </c>
      <c r="Q22" s="920"/>
      <c r="R22" s="921"/>
      <c r="S22" s="302">
        <f t="shared" si="7"/>
        <v>-6.4126481902349042E-13</v>
      </c>
      <c r="U22" s="129"/>
      <c r="V22" s="87">
        <f t="shared" si="14"/>
        <v>0</v>
      </c>
      <c r="W22" s="15"/>
      <c r="X22" s="918"/>
      <c r="Y22" s="919"/>
      <c r="Z22" s="918">
        <f t="shared" si="2"/>
        <v>0</v>
      </c>
      <c r="AA22" s="920"/>
      <c r="AB22" s="921"/>
      <c r="AC22" s="302">
        <f t="shared" si="9"/>
        <v>0</v>
      </c>
      <c r="AE22" s="129"/>
      <c r="AF22" s="87">
        <f t="shared" si="15"/>
        <v>464</v>
      </c>
      <c r="AG22" s="15"/>
      <c r="AH22" s="918"/>
      <c r="AI22" s="919"/>
      <c r="AJ22" s="918">
        <f t="shared" si="3"/>
        <v>0</v>
      </c>
      <c r="AK22" s="920"/>
      <c r="AL22" s="921"/>
      <c r="AM22" s="302">
        <f t="shared" si="11"/>
        <v>13991.680000000002</v>
      </c>
    </row>
    <row r="23" spans="1:39" x14ac:dyDescent="0.25">
      <c r="A23" s="129"/>
      <c r="B23" s="308">
        <f t="shared" si="12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257</v>
      </c>
      <c r="H23" s="292">
        <v>125</v>
      </c>
      <c r="I23" s="302">
        <f t="shared" si="5"/>
        <v>876.16999999999871</v>
      </c>
      <c r="K23" s="129"/>
      <c r="L23" s="308">
        <f t="shared" si="13"/>
        <v>0</v>
      </c>
      <c r="M23" s="15"/>
      <c r="N23" s="918"/>
      <c r="O23" s="919"/>
      <c r="P23" s="918">
        <f t="shared" si="1"/>
        <v>0</v>
      </c>
      <c r="Q23" s="920"/>
      <c r="R23" s="921"/>
      <c r="S23" s="302">
        <f t="shared" si="7"/>
        <v>-6.4126481902349042E-13</v>
      </c>
      <c r="U23" s="129"/>
      <c r="V23" s="308">
        <f t="shared" si="14"/>
        <v>0</v>
      </c>
      <c r="W23" s="15"/>
      <c r="X23" s="918"/>
      <c r="Y23" s="919"/>
      <c r="Z23" s="918">
        <f t="shared" si="2"/>
        <v>0</v>
      </c>
      <c r="AA23" s="920"/>
      <c r="AB23" s="921"/>
      <c r="AC23" s="302">
        <f t="shared" si="9"/>
        <v>0</v>
      </c>
      <c r="AE23" s="129"/>
      <c r="AF23" s="308">
        <f t="shared" si="15"/>
        <v>464</v>
      </c>
      <c r="AG23" s="15"/>
      <c r="AH23" s="918"/>
      <c r="AI23" s="919"/>
      <c r="AJ23" s="918">
        <f t="shared" si="3"/>
        <v>0</v>
      </c>
      <c r="AK23" s="920"/>
      <c r="AL23" s="921"/>
      <c r="AM23" s="302">
        <f t="shared" si="11"/>
        <v>13991.680000000002</v>
      </c>
    </row>
    <row r="24" spans="1:39" x14ac:dyDescent="0.25">
      <c r="A24" s="130"/>
      <c r="B24" s="308">
        <f t="shared" si="12"/>
        <v>15</v>
      </c>
      <c r="C24" s="15">
        <v>15</v>
      </c>
      <c r="D24" s="1040">
        <v>415</v>
      </c>
      <c r="E24" s="1041">
        <v>44383</v>
      </c>
      <c r="F24" s="1040">
        <f t="shared" si="0"/>
        <v>415</v>
      </c>
      <c r="G24" s="546" t="s">
        <v>410</v>
      </c>
      <c r="H24" s="634">
        <v>125</v>
      </c>
      <c r="I24" s="302">
        <f t="shared" si="5"/>
        <v>461.16999999999871</v>
      </c>
      <c r="K24" s="130"/>
      <c r="L24" s="308">
        <f t="shared" si="13"/>
        <v>0</v>
      </c>
      <c r="M24" s="15"/>
      <c r="N24" s="918"/>
      <c r="O24" s="919"/>
      <c r="P24" s="918">
        <f t="shared" si="1"/>
        <v>0</v>
      </c>
      <c r="Q24" s="920"/>
      <c r="R24" s="921"/>
      <c r="S24" s="302">
        <f t="shared" si="7"/>
        <v>-6.4126481902349042E-13</v>
      </c>
      <c r="U24" s="130"/>
      <c r="V24" s="308">
        <f t="shared" si="14"/>
        <v>0</v>
      </c>
      <c r="W24" s="15"/>
      <c r="X24" s="918"/>
      <c r="Y24" s="919"/>
      <c r="Z24" s="918">
        <f t="shared" si="2"/>
        <v>0</v>
      </c>
      <c r="AA24" s="920"/>
      <c r="AB24" s="921"/>
      <c r="AC24" s="302">
        <f t="shared" si="9"/>
        <v>0</v>
      </c>
      <c r="AE24" s="130"/>
      <c r="AF24" s="308">
        <f t="shared" si="15"/>
        <v>464</v>
      </c>
      <c r="AG24" s="15"/>
      <c r="AH24" s="918"/>
      <c r="AI24" s="919"/>
      <c r="AJ24" s="918">
        <f t="shared" si="3"/>
        <v>0</v>
      </c>
      <c r="AK24" s="920"/>
      <c r="AL24" s="921"/>
      <c r="AM24" s="302">
        <f t="shared" si="11"/>
        <v>13991.680000000002</v>
      </c>
    </row>
    <row r="25" spans="1:39" x14ac:dyDescent="0.25">
      <c r="A25" s="129"/>
      <c r="B25" s="308">
        <f t="shared" si="12"/>
        <v>15</v>
      </c>
      <c r="C25" s="15"/>
      <c r="D25" s="1040"/>
      <c r="E25" s="1041"/>
      <c r="F25" s="1044">
        <f t="shared" si="0"/>
        <v>0</v>
      </c>
      <c r="G25" s="1045"/>
      <c r="H25" s="1046"/>
      <c r="I25" s="1047">
        <f t="shared" si="5"/>
        <v>461.16999999999871</v>
      </c>
      <c r="K25" s="129"/>
      <c r="L25" s="308">
        <f t="shared" si="13"/>
        <v>0</v>
      </c>
      <c r="M25" s="15"/>
      <c r="N25" s="918"/>
      <c r="O25" s="919"/>
      <c r="P25" s="918">
        <f t="shared" si="1"/>
        <v>0</v>
      </c>
      <c r="Q25" s="920"/>
      <c r="R25" s="921"/>
      <c r="S25" s="302">
        <f t="shared" si="7"/>
        <v>-6.4126481902349042E-13</v>
      </c>
      <c r="U25" s="129"/>
      <c r="V25" s="308">
        <f t="shared" si="14"/>
        <v>0</v>
      </c>
      <c r="W25" s="15"/>
      <c r="X25" s="918"/>
      <c r="Y25" s="919"/>
      <c r="Z25" s="918">
        <f t="shared" si="2"/>
        <v>0</v>
      </c>
      <c r="AA25" s="920"/>
      <c r="AB25" s="921"/>
      <c r="AC25" s="302">
        <f t="shared" si="9"/>
        <v>0</v>
      </c>
      <c r="AE25" s="129"/>
      <c r="AF25" s="308">
        <f t="shared" si="15"/>
        <v>464</v>
      </c>
      <c r="AG25" s="15"/>
      <c r="AH25" s="918"/>
      <c r="AI25" s="919"/>
      <c r="AJ25" s="918">
        <f t="shared" si="3"/>
        <v>0</v>
      </c>
      <c r="AK25" s="920"/>
      <c r="AL25" s="921"/>
      <c r="AM25" s="302">
        <f t="shared" si="11"/>
        <v>13991.680000000002</v>
      </c>
    </row>
    <row r="26" spans="1:39" x14ac:dyDescent="0.25">
      <c r="A26" s="129"/>
      <c r="B26" s="308">
        <f t="shared" si="12"/>
        <v>15</v>
      </c>
      <c r="C26" s="15"/>
      <c r="D26" s="1040"/>
      <c r="E26" s="1041"/>
      <c r="F26" s="1044">
        <f t="shared" si="0"/>
        <v>0</v>
      </c>
      <c r="G26" s="1045"/>
      <c r="H26" s="1046"/>
      <c r="I26" s="1047">
        <f t="shared" si="5"/>
        <v>461.16999999999871</v>
      </c>
      <c r="K26" s="129"/>
      <c r="L26" s="308">
        <f t="shared" si="13"/>
        <v>0</v>
      </c>
      <c r="M26" s="15"/>
      <c r="N26" s="918"/>
      <c r="O26" s="919"/>
      <c r="P26" s="918">
        <f t="shared" si="1"/>
        <v>0</v>
      </c>
      <c r="Q26" s="920"/>
      <c r="R26" s="921"/>
      <c r="S26" s="302">
        <f t="shared" si="7"/>
        <v>-6.4126481902349042E-13</v>
      </c>
      <c r="U26" s="129"/>
      <c r="V26" s="308">
        <f t="shared" si="14"/>
        <v>0</v>
      </c>
      <c r="W26" s="15"/>
      <c r="X26" s="918"/>
      <c r="Y26" s="919"/>
      <c r="Z26" s="918">
        <f t="shared" si="2"/>
        <v>0</v>
      </c>
      <c r="AA26" s="920"/>
      <c r="AB26" s="921"/>
      <c r="AC26" s="302">
        <f t="shared" si="9"/>
        <v>0</v>
      </c>
      <c r="AE26" s="129"/>
      <c r="AF26" s="308">
        <f t="shared" si="15"/>
        <v>464</v>
      </c>
      <c r="AG26" s="15"/>
      <c r="AH26" s="918"/>
      <c r="AI26" s="919"/>
      <c r="AJ26" s="918">
        <f t="shared" si="3"/>
        <v>0</v>
      </c>
      <c r="AK26" s="920"/>
      <c r="AL26" s="921"/>
      <c r="AM26" s="302">
        <f t="shared" si="11"/>
        <v>13991.680000000002</v>
      </c>
    </row>
    <row r="27" spans="1:39" x14ac:dyDescent="0.25">
      <c r="A27" s="129"/>
      <c r="B27" s="211">
        <f t="shared" si="12"/>
        <v>15</v>
      </c>
      <c r="C27" s="15"/>
      <c r="D27" s="1040"/>
      <c r="E27" s="1041"/>
      <c r="F27" s="1044">
        <f t="shared" si="0"/>
        <v>0</v>
      </c>
      <c r="G27" s="1045"/>
      <c r="H27" s="1046"/>
      <c r="I27" s="1047">
        <f t="shared" si="5"/>
        <v>461.16999999999871</v>
      </c>
      <c r="K27" s="129"/>
      <c r="L27" s="211">
        <f t="shared" si="13"/>
        <v>0</v>
      </c>
      <c r="M27" s="15"/>
      <c r="N27" s="918"/>
      <c r="O27" s="919"/>
      <c r="P27" s="918">
        <f t="shared" si="1"/>
        <v>0</v>
      </c>
      <c r="Q27" s="920"/>
      <c r="R27" s="921"/>
      <c r="S27" s="302">
        <f t="shared" si="7"/>
        <v>-6.4126481902349042E-13</v>
      </c>
      <c r="U27" s="129"/>
      <c r="V27" s="211">
        <f t="shared" si="14"/>
        <v>0</v>
      </c>
      <c r="W27" s="15"/>
      <c r="X27" s="918"/>
      <c r="Y27" s="919"/>
      <c r="Z27" s="918">
        <f t="shared" si="2"/>
        <v>0</v>
      </c>
      <c r="AA27" s="920"/>
      <c r="AB27" s="921"/>
      <c r="AC27" s="302">
        <f t="shared" si="9"/>
        <v>0</v>
      </c>
      <c r="AE27" s="129"/>
      <c r="AF27" s="211">
        <f t="shared" si="15"/>
        <v>464</v>
      </c>
      <c r="AG27" s="15"/>
      <c r="AH27" s="918"/>
      <c r="AI27" s="919"/>
      <c r="AJ27" s="918">
        <f t="shared" si="3"/>
        <v>0</v>
      </c>
      <c r="AK27" s="920"/>
      <c r="AL27" s="921"/>
      <c r="AM27" s="302">
        <f t="shared" si="11"/>
        <v>13991.680000000002</v>
      </c>
    </row>
    <row r="28" spans="1:39" x14ac:dyDescent="0.25">
      <c r="A28" s="129"/>
      <c r="B28" s="308">
        <f t="shared" si="12"/>
        <v>0</v>
      </c>
      <c r="C28" s="15">
        <v>15</v>
      </c>
      <c r="D28" s="290"/>
      <c r="E28" s="323"/>
      <c r="F28" s="1048">
        <v>461.17</v>
      </c>
      <c r="G28" s="1049"/>
      <c r="H28" s="1050"/>
      <c r="I28" s="1047">
        <f t="shared" si="5"/>
        <v>-1.3073986337985843E-12</v>
      </c>
      <c r="K28" s="129"/>
      <c r="L28" s="308">
        <f t="shared" si="13"/>
        <v>0</v>
      </c>
      <c r="M28" s="15"/>
      <c r="N28" s="918"/>
      <c r="O28" s="919"/>
      <c r="P28" s="918">
        <f t="shared" si="1"/>
        <v>0</v>
      </c>
      <c r="Q28" s="920"/>
      <c r="R28" s="921"/>
      <c r="S28" s="302">
        <f t="shared" si="7"/>
        <v>-6.4126481902349042E-13</v>
      </c>
      <c r="U28" s="129"/>
      <c r="V28" s="308">
        <f t="shared" si="14"/>
        <v>0</v>
      </c>
      <c r="W28" s="15"/>
      <c r="X28" s="918"/>
      <c r="Y28" s="919"/>
      <c r="Z28" s="918">
        <f t="shared" si="2"/>
        <v>0</v>
      </c>
      <c r="AA28" s="920"/>
      <c r="AB28" s="921"/>
      <c r="AC28" s="302">
        <f t="shared" si="9"/>
        <v>0</v>
      </c>
      <c r="AE28" s="129"/>
      <c r="AF28" s="308">
        <f t="shared" si="15"/>
        <v>464</v>
      </c>
      <c r="AG28" s="15"/>
      <c r="AH28" s="918"/>
      <c r="AI28" s="919"/>
      <c r="AJ28" s="918">
        <f t="shared" si="3"/>
        <v>0</v>
      </c>
      <c r="AK28" s="920"/>
      <c r="AL28" s="921"/>
      <c r="AM28" s="302">
        <f t="shared" si="11"/>
        <v>13991.680000000002</v>
      </c>
    </row>
    <row r="29" spans="1:39" x14ac:dyDescent="0.25">
      <c r="A29" s="129"/>
      <c r="B29" s="211">
        <f t="shared" si="12"/>
        <v>0</v>
      </c>
      <c r="C29" s="15"/>
      <c r="D29" s="290"/>
      <c r="E29" s="323"/>
      <c r="F29" s="1048">
        <f t="shared" si="0"/>
        <v>0</v>
      </c>
      <c r="G29" s="1049"/>
      <c r="H29" s="1050"/>
      <c r="I29" s="1047">
        <f t="shared" si="5"/>
        <v>-1.3073986337985843E-12</v>
      </c>
      <c r="K29" s="129"/>
      <c r="L29" s="211">
        <f t="shared" si="13"/>
        <v>0</v>
      </c>
      <c r="M29" s="15"/>
      <c r="N29" s="918"/>
      <c r="O29" s="919"/>
      <c r="P29" s="918">
        <f t="shared" si="1"/>
        <v>0</v>
      </c>
      <c r="Q29" s="920"/>
      <c r="R29" s="921"/>
      <c r="S29" s="302">
        <f t="shared" si="7"/>
        <v>-6.4126481902349042E-13</v>
      </c>
      <c r="U29" s="129"/>
      <c r="V29" s="211">
        <f t="shared" si="14"/>
        <v>0</v>
      </c>
      <c r="W29" s="15"/>
      <c r="X29" s="918"/>
      <c r="Y29" s="919"/>
      <c r="Z29" s="918">
        <f t="shared" si="2"/>
        <v>0</v>
      </c>
      <c r="AA29" s="920"/>
      <c r="AB29" s="921"/>
      <c r="AC29" s="302">
        <f t="shared" si="9"/>
        <v>0</v>
      </c>
      <c r="AE29" s="129"/>
      <c r="AF29" s="211">
        <f t="shared" si="15"/>
        <v>464</v>
      </c>
      <c r="AG29" s="15"/>
      <c r="AH29" s="918"/>
      <c r="AI29" s="919"/>
      <c r="AJ29" s="918">
        <f t="shared" si="3"/>
        <v>0</v>
      </c>
      <c r="AK29" s="920"/>
      <c r="AL29" s="921"/>
      <c r="AM29" s="302">
        <f t="shared" si="11"/>
        <v>13991.680000000002</v>
      </c>
    </row>
    <row r="30" spans="1:39" x14ac:dyDescent="0.25">
      <c r="A30" s="129"/>
      <c r="B30" s="308">
        <f t="shared" si="12"/>
        <v>0</v>
      </c>
      <c r="C30" s="15"/>
      <c r="D30" s="290"/>
      <c r="E30" s="323"/>
      <c r="F30" s="1048">
        <f t="shared" si="0"/>
        <v>0</v>
      </c>
      <c r="G30" s="1049"/>
      <c r="H30" s="1050"/>
      <c r="I30" s="1047">
        <f t="shared" si="5"/>
        <v>-1.3073986337985843E-12</v>
      </c>
      <c r="K30" s="129"/>
      <c r="L30" s="308">
        <f t="shared" si="13"/>
        <v>0</v>
      </c>
      <c r="M30" s="15"/>
      <c r="N30" s="918"/>
      <c r="O30" s="919"/>
      <c r="P30" s="918">
        <f t="shared" si="1"/>
        <v>0</v>
      </c>
      <c r="Q30" s="920"/>
      <c r="R30" s="921"/>
      <c r="S30" s="302">
        <f t="shared" si="7"/>
        <v>-6.4126481902349042E-13</v>
      </c>
      <c r="U30" s="129"/>
      <c r="V30" s="308">
        <f t="shared" si="14"/>
        <v>0</v>
      </c>
      <c r="W30" s="15"/>
      <c r="X30" s="918"/>
      <c r="Y30" s="919"/>
      <c r="Z30" s="918">
        <f t="shared" si="2"/>
        <v>0</v>
      </c>
      <c r="AA30" s="920"/>
      <c r="AB30" s="921"/>
      <c r="AC30" s="302">
        <f t="shared" si="9"/>
        <v>0</v>
      </c>
      <c r="AE30" s="129"/>
      <c r="AF30" s="308">
        <f t="shared" si="15"/>
        <v>464</v>
      </c>
      <c r="AG30" s="15"/>
      <c r="AH30" s="918"/>
      <c r="AI30" s="919"/>
      <c r="AJ30" s="918">
        <f t="shared" si="3"/>
        <v>0</v>
      </c>
      <c r="AK30" s="920"/>
      <c r="AL30" s="921"/>
      <c r="AM30" s="302">
        <f t="shared" si="11"/>
        <v>13991.680000000002</v>
      </c>
    </row>
    <row r="31" spans="1:39" x14ac:dyDescent="0.25">
      <c r="A31" s="129"/>
      <c r="B31" s="308">
        <f t="shared" si="12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5"/>
        <v>-1.3073986337985843E-12</v>
      </c>
      <c r="K31" s="129"/>
      <c r="L31" s="308">
        <f t="shared" si="13"/>
        <v>0</v>
      </c>
      <c r="M31" s="15"/>
      <c r="N31" s="918"/>
      <c r="O31" s="919"/>
      <c r="P31" s="918">
        <f t="shared" si="1"/>
        <v>0</v>
      </c>
      <c r="Q31" s="920"/>
      <c r="R31" s="921"/>
      <c r="S31" s="302">
        <f t="shared" si="7"/>
        <v>-6.4126481902349042E-13</v>
      </c>
      <c r="U31" s="129"/>
      <c r="V31" s="308">
        <f t="shared" si="14"/>
        <v>0</v>
      </c>
      <c r="W31" s="15"/>
      <c r="X31" s="918"/>
      <c r="Y31" s="919"/>
      <c r="Z31" s="918">
        <f t="shared" si="2"/>
        <v>0</v>
      </c>
      <c r="AA31" s="920"/>
      <c r="AB31" s="921"/>
      <c r="AC31" s="302">
        <f t="shared" si="9"/>
        <v>0</v>
      </c>
      <c r="AE31" s="129"/>
      <c r="AF31" s="308">
        <f t="shared" si="15"/>
        <v>464</v>
      </c>
      <c r="AG31" s="15"/>
      <c r="AH31" s="918"/>
      <c r="AI31" s="919"/>
      <c r="AJ31" s="918">
        <f t="shared" si="3"/>
        <v>0</v>
      </c>
      <c r="AK31" s="920"/>
      <c r="AL31" s="921"/>
      <c r="AM31" s="302">
        <f t="shared" si="11"/>
        <v>13991.680000000002</v>
      </c>
    </row>
    <row r="32" spans="1:39" x14ac:dyDescent="0.25">
      <c r="A32" s="129"/>
      <c r="B32" s="308">
        <f t="shared" si="12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5"/>
        <v>-1.3073986337985843E-12</v>
      </c>
      <c r="K32" s="129"/>
      <c r="L32" s="308">
        <f t="shared" si="13"/>
        <v>0</v>
      </c>
      <c r="M32" s="15"/>
      <c r="N32" s="918"/>
      <c r="O32" s="919"/>
      <c r="P32" s="918">
        <f t="shared" si="1"/>
        <v>0</v>
      </c>
      <c r="Q32" s="920"/>
      <c r="R32" s="921"/>
      <c r="S32" s="302">
        <f t="shared" si="7"/>
        <v>-6.4126481902349042E-13</v>
      </c>
      <c r="U32" s="129"/>
      <c r="V32" s="308">
        <f t="shared" si="14"/>
        <v>0</v>
      </c>
      <c r="W32" s="15"/>
      <c r="X32" s="918"/>
      <c r="Y32" s="919"/>
      <c r="Z32" s="918">
        <f t="shared" si="2"/>
        <v>0</v>
      </c>
      <c r="AA32" s="920"/>
      <c r="AB32" s="921"/>
      <c r="AC32" s="302">
        <f t="shared" si="9"/>
        <v>0</v>
      </c>
      <c r="AE32" s="129"/>
      <c r="AF32" s="308">
        <f t="shared" si="15"/>
        <v>464</v>
      </c>
      <c r="AG32" s="15"/>
      <c r="AH32" s="918"/>
      <c r="AI32" s="919"/>
      <c r="AJ32" s="918">
        <f t="shared" si="3"/>
        <v>0</v>
      </c>
      <c r="AK32" s="920"/>
      <c r="AL32" s="921"/>
      <c r="AM32" s="302">
        <f t="shared" si="11"/>
        <v>13991.680000000002</v>
      </c>
    </row>
    <row r="33" spans="1:39" x14ac:dyDescent="0.25">
      <c r="A33" s="129"/>
      <c r="B33" s="308">
        <f t="shared" si="12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5"/>
        <v>-1.3073986337985843E-12</v>
      </c>
      <c r="K33" s="129"/>
      <c r="L33" s="308">
        <f t="shared" si="13"/>
        <v>0</v>
      </c>
      <c r="M33" s="15"/>
      <c r="N33" s="918"/>
      <c r="O33" s="919"/>
      <c r="P33" s="918">
        <f t="shared" si="1"/>
        <v>0</v>
      </c>
      <c r="Q33" s="920"/>
      <c r="R33" s="921"/>
      <c r="S33" s="302">
        <f t="shared" si="7"/>
        <v>-6.4126481902349042E-13</v>
      </c>
      <c r="U33" s="129"/>
      <c r="V33" s="308">
        <f t="shared" si="14"/>
        <v>0</v>
      </c>
      <c r="W33" s="15"/>
      <c r="X33" s="918"/>
      <c r="Y33" s="919"/>
      <c r="Z33" s="918">
        <f t="shared" si="2"/>
        <v>0</v>
      </c>
      <c r="AA33" s="920"/>
      <c r="AB33" s="921"/>
      <c r="AC33" s="302">
        <f t="shared" si="9"/>
        <v>0</v>
      </c>
      <c r="AE33" s="129"/>
      <c r="AF33" s="308">
        <f t="shared" si="15"/>
        <v>464</v>
      </c>
      <c r="AG33" s="15"/>
      <c r="AH33" s="918"/>
      <c r="AI33" s="919"/>
      <c r="AJ33" s="918">
        <f t="shared" si="3"/>
        <v>0</v>
      </c>
      <c r="AK33" s="920"/>
      <c r="AL33" s="921"/>
      <c r="AM33" s="302">
        <f t="shared" si="11"/>
        <v>13991.680000000002</v>
      </c>
    </row>
    <row r="34" spans="1:39" x14ac:dyDescent="0.25">
      <c r="A34" s="129"/>
      <c r="B34" s="308">
        <f t="shared" si="12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5"/>
        <v>-1.3073986337985843E-12</v>
      </c>
      <c r="K34" s="129"/>
      <c r="L34" s="308">
        <f t="shared" si="13"/>
        <v>0</v>
      </c>
      <c r="M34" s="15"/>
      <c r="N34" s="918"/>
      <c r="O34" s="919"/>
      <c r="P34" s="918">
        <f t="shared" si="1"/>
        <v>0</v>
      </c>
      <c r="Q34" s="920"/>
      <c r="R34" s="921"/>
      <c r="S34" s="302">
        <f t="shared" si="7"/>
        <v>-6.4126481902349042E-13</v>
      </c>
      <c r="U34" s="129"/>
      <c r="V34" s="308">
        <f t="shared" si="14"/>
        <v>0</v>
      </c>
      <c r="W34" s="15"/>
      <c r="X34" s="918"/>
      <c r="Y34" s="919"/>
      <c r="Z34" s="918">
        <f t="shared" si="2"/>
        <v>0</v>
      </c>
      <c r="AA34" s="920"/>
      <c r="AB34" s="921"/>
      <c r="AC34" s="302">
        <f t="shared" si="9"/>
        <v>0</v>
      </c>
      <c r="AE34" s="129"/>
      <c r="AF34" s="308">
        <f t="shared" si="15"/>
        <v>464</v>
      </c>
      <c r="AG34" s="15"/>
      <c r="AH34" s="918"/>
      <c r="AI34" s="919"/>
      <c r="AJ34" s="918">
        <f t="shared" si="3"/>
        <v>0</v>
      </c>
      <c r="AK34" s="920"/>
      <c r="AL34" s="921"/>
      <c r="AM34" s="302">
        <f t="shared" si="11"/>
        <v>13991.680000000002</v>
      </c>
    </row>
    <row r="35" spans="1:39" x14ac:dyDescent="0.25">
      <c r="A35" s="129"/>
      <c r="B35" s="308">
        <f t="shared" si="12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5"/>
        <v>-1.3073986337985843E-12</v>
      </c>
      <c r="K35" s="129"/>
      <c r="L35" s="308">
        <f t="shared" si="13"/>
        <v>0</v>
      </c>
      <c r="M35" s="15"/>
      <c r="N35" s="918"/>
      <c r="O35" s="919"/>
      <c r="P35" s="918">
        <f t="shared" si="1"/>
        <v>0</v>
      </c>
      <c r="Q35" s="920"/>
      <c r="R35" s="921"/>
      <c r="S35" s="302">
        <f t="shared" si="7"/>
        <v>-6.4126481902349042E-13</v>
      </c>
      <c r="U35" s="129"/>
      <c r="V35" s="308">
        <f t="shared" si="14"/>
        <v>0</v>
      </c>
      <c r="W35" s="15"/>
      <c r="X35" s="918"/>
      <c r="Y35" s="919"/>
      <c r="Z35" s="918">
        <f t="shared" si="2"/>
        <v>0</v>
      </c>
      <c r="AA35" s="920"/>
      <c r="AB35" s="921"/>
      <c r="AC35" s="302">
        <f t="shared" si="9"/>
        <v>0</v>
      </c>
      <c r="AE35" s="129"/>
      <c r="AF35" s="308">
        <f t="shared" si="15"/>
        <v>464</v>
      </c>
      <c r="AG35" s="15"/>
      <c r="AH35" s="918"/>
      <c r="AI35" s="919"/>
      <c r="AJ35" s="918">
        <f t="shared" si="3"/>
        <v>0</v>
      </c>
      <c r="AK35" s="920"/>
      <c r="AL35" s="921"/>
      <c r="AM35" s="302">
        <f t="shared" si="11"/>
        <v>13991.680000000002</v>
      </c>
    </row>
    <row r="36" spans="1:39" x14ac:dyDescent="0.25">
      <c r="A36" s="129"/>
      <c r="B36" s="308">
        <f t="shared" si="12"/>
        <v>0</v>
      </c>
      <c r="C36" s="15"/>
      <c r="D36" s="918"/>
      <c r="E36" s="919"/>
      <c r="F36" s="918">
        <f t="shared" si="0"/>
        <v>0</v>
      </c>
      <c r="G36" s="920"/>
      <c r="H36" s="921"/>
      <c r="I36" s="302">
        <f t="shared" si="5"/>
        <v>-1.3073986337985843E-12</v>
      </c>
      <c r="K36" s="129"/>
      <c r="L36" s="308">
        <f t="shared" si="13"/>
        <v>0</v>
      </c>
      <c r="M36" s="15"/>
      <c r="N36" s="918"/>
      <c r="O36" s="919"/>
      <c r="P36" s="918">
        <f t="shared" si="1"/>
        <v>0</v>
      </c>
      <c r="Q36" s="920"/>
      <c r="R36" s="921"/>
      <c r="S36" s="302">
        <f t="shared" si="7"/>
        <v>-6.4126481902349042E-13</v>
      </c>
      <c r="U36" s="129"/>
      <c r="V36" s="308">
        <f t="shared" si="14"/>
        <v>0</v>
      </c>
      <c r="W36" s="15"/>
      <c r="X36" s="918"/>
      <c r="Y36" s="919"/>
      <c r="Z36" s="918">
        <f t="shared" si="2"/>
        <v>0</v>
      </c>
      <c r="AA36" s="920"/>
      <c r="AB36" s="921"/>
      <c r="AC36" s="302">
        <f t="shared" si="9"/>
        <v>0</v>
      </c>
      <c r="AE36" s="129"/>
      <c r="AF36" s="308">
        <f t="shared" si="15"/>
        <v>464</v>
      </c>
      <c r="AG36" s="15"/>
      <c r="AH36" s="918"/>
      <c r="AI36" s="919"/>
      <c r="AJ36" s="918">
        <f t="shared" si="3"/>
        <v>0</v>
      </c>
      <c r="AK36" s="920"/>
      <c r="AL36" s="921"/>
      <c r="AM36" s="302">
        <f t="shared" si="11"/>
        <v>13991.680000000002</v>
      </c>
    </row>
    <row r="37" spans="1:39" x14ac:dyDescent="0.25">
      <c r="A37" s="129" t="s">
        <v>22</v>
      </c>
      <c r="B37" s="308">
        <f t="shared" si="12"/>
        <v>0</v>
      </c>
      <c r="C37" s="15"/>
      <c r="D37" s="918"/>
      <c r="E37" s="919"/>
      <c r="F37" s="918">
        <f t="shared" si="0"/>
        <v>0</v>
      </c>
      <c r="G37" s="920"/>
      <c r="H37" s="921"/>
      <c r="I37" s="302">
        <f t="shared" si="5"/>
        <v>-1.3073986337985843E-12</v>
      </c>
      <c r="K37" s="129" t="s">
        <v>22</v>
      </c>
      <c r="L37" s="308">
        <f t="shared" si="13"/>
        <v>0</v>
      </c>
      <c r="M37" s="15"/>
      <c r="N37" s="918"/>
      <c r="O37" s="919"/>
      <c r="P37" s="918">
        <f t="shared" si="1"/>
        <v>0</v>
      </c>
      <c r="Q37" s="920"/>
      <c r="R37" s="921"/>
      <c r="S37" s="302">
        <f t="shared" si="7"/>
        <v>-6.4126481902349042E-13</v>
      </c>
      <c r="U37" s="129" t="s">
        <v>22</v>
      </c>
      <c r="V37" s="308">
        <f t="shared" si="14"/>
        <v>0</v>
      </c>
      <c r="W37" s="15"/>
      <c r="X37" s="918"/>
      <c r="Y37" s="919"/>
      <c r="Z37" s="918">
        <f t="shared" si="2"/>
        <v>0</v>
      </c>
      <c r="AA37" s="920"/>
      <c r="AB37" s="921"/>
      <c r="AC37" s="302">
        <f t="shared" si="9"/>
        <v>0</v>
      </c>
      <c r="AE37" s="129" t="s">
        <v>22</v>
      </c>
      <c r="AF37" s="308">
        <f t="shared" si="15"/>
        <v>464</v>
      </c>
      <c r="AG37" s="15"/>
      <c r="AH37" s="918"/>
      <c r="AI37" s="919"/>
      <c r="AJ37" s="918">
        <f t="shared" si="3"/>
        <v>0</v>
      </c>
      <c r="AK37" s="920"/>
      <c r="AL37" s="921"/>
      <c r="AM37" s="302">
        <f t="shared" si="11"/>
        <v>13991.680000000002</v>
      </c>
    </row>
    <row r="38" spans="1:39" x14ac:dyDescent="0.25">
      <c r="A38" s="130"/>
      <c r="B38" s="308">
        <f t="shared" si="12"/>
        <v>0</v>
      </c>
      <c r="C38" s="15"/>
      <c r="D38" s="918"/>
      <c r="E38" s="919"/>
      <c r="F38" s="918">
        <f t="shared" si="0"/>
        <v>0</v>
      </c>
      <c r="G38" s="920"/>
      <c r="H38" s="921"/>
      <c r="I38" s="302">
        <f t="shared" si="5"/>
        <v>-1.3073986337985843E-12</v>
      </c>
      <c r="K38" s="130"/>
      <c r="L38" s="308">
        <f t="shared" si="13"/>
        <v>0</v>
      </c>
      <c r="M38" s="15"/>
      <c r="N38" s="918"/>
      <c r="O38" s="919"/>
      <c r="P38" s="918">
        <f t="shared" si="1"/>
        <v>0</v>
      </c>
      <c r="Q38" s="920"/>
      <c r="R38" s="921"/>
      <c r="S38" s="302">
        <f t="shared" si="7"/>
        <v>-6.4126481902349042E-13</v>
      </c>
      <c r="U38" s="130"/>
      <c r="V38" s="308">
        <f t="shared" si="14"/>
        <v>0</v>
      </c>
      <c r="W38" s="15"/>
      <c r="X38" s="918"/>
      <c r="Y38" s="919"/>
      <c r="Z38" s="918">
        <f t="shared" si="2"/>
        <v>0</v>
      </c>
      <c r="AA38" s="920"/>
      <c r="AB38" s="921"/>
      <c r="AC38" s="302">
        <f t="shared" si="9"/>
        <v>0</v>
      </c>
      <c r="AE38" s="130"/>
      <c r="AF38" s="308">
        <f t="shared" si="15"/>
        <v>464</v>
      </c>
      <c r="AG38" s="15"/>
      <c r="AH38" s="918"/>
      <c r="AI38" s="919"/>
      <c r="AJ38" s="918">
        <f t="shared" si="3"/>
        <v>0</v>
      </c>
      <c r="AK38" s="920"/>
      <c r="AL38" s="921"/>
      <c r="AM38" s="302">
        <f t="shared" si="11"/>
        <v>13991.680000000002</v>
      </c>
    </row>
    <row r="39" spans="1:39" x14ac:dyDescent="0.25">
      <c r="A39" s="129"/>
      <c r="B39" s="308">
        <f t="shared" si="12"/>
        <v>0</v>
      </c>
      <c r="C39" s="15"/>
      <c r="D39" s="918"/>
      <c r="E39" s="919"/>
      <c r="F39" s="918">
        <f t="shared" si="0"/>
        <v>0</v>
      </c>
      <c r="G39" s="920"/>
      <c r="H39" s="921"/>
      <c r="I39" s="302">
        <f t="shared" si="5"/>
        <v>-1.3073986337985843E-12</v>
      </c>
      <c r="K39" s="129"/>
      <c r="L39" s="308">
        <f t="shared" si="13"/>
        <v>0</v>
      </c>
      <c r="M39" s="15"/>
      <c r="N39" s="918"/>
      <c r="O39" s="919"/>
      <c r="P39" s="918">
        <f t="shared" si="1"/>
        <v>0</v>
      </c>
      <c r="Q39" s="920"/>
      <c r="R39" s="921"/>
      <c r="S39" s="302">
        <f t="shared" si="7"/>
        <v>-6.4126481902349042E-13</v>
      </c>
      <c r="U39" s="129"/>
      <c r="V39" s="308">
        <f t="shared" si="14"/>
        <v>0</v>
      </c>
      <c r="W39" s="15"/>
      <c r="X39" s="918"/>
      <c r="Y39" s="919"/>
      <c r="Z39" s="918">
        <f t="shared" si="2"/>
        <v>0</v>
      </c>
      <c r="AA39" s="920"/>
      <c r="AB39" s="921"/>
      <c r="AC39" s="302">
        <f t="shared" si="9"/>
        <v>0</v>
      </c>
      <c r="AE39" s="129"/>
      <c r="AF39" s="308">
        <f t="shared" si="15"/>
        <v>464</v>
      </c>
      <c r="AG39" s="15"/>
      <c r="AH39" s="918"/>
      <c r="AI39" s="919"/>
      <c r="AJ39" s="918">
        <f t="shared" si="3"/>
        <v>0</v>
      </c>
      <c r="AK39" s="920"/>
      <c r="AL39" s="921"/>
      <c r="AM39" s="302">
        <f t="shared" si="11"/>
        <v>13991.680000000002</v>
      </c>
    </row>
    <row r="40" spans="1:39" x14ac:dyDescent="0.25">
      <c r="A40" s="129"/>
      <c r="B40" s="87">
        <f t="shared" si="12"/>
        <v>0</v>
      </c>
      <c r="C40" s="15"/>
      <c r="D40" s="918"/>
      <c r="E40" s="919"/>
      <c r="F40" s="918">
        <f t="shared" si="0"/>
        <v>0</v>
      </c>
      <c r="G40" s="920"/>
      <c r="H40" s="921"/>
      <c r="I40" s="302">
        <f t="shared" si="5"/>
        <v>-1.3073986337985843E-12</v>
      </c>
      <c r="K40" s="129"/>
      <c r="L40" s="87">
        <f t="shared" si="13"/>
        <v>0</v>
      </c>
      <c r="M40" s="15"/>
      <c r="N40" s="918"/>
      <c r="O40" s="919"/>
      <c r="P40" s="918">
        <f t="shared" si="1"/>
        <v>0</v>
      </c>
      <c r="Q40" s="920"/>
      <c r="R40" s="921"/>
      <c r="S40" s="302">
        <f t="shared" si="7"/>
        <v>-6.4126481902349042E-13</v>
      </c>
      <c r="U40" s="129"/>
      <c r="V40" s="87">
        <f t="shared" si="14"/>
        <v>0</v>
      </c>
      <c r="W40" s="15"/>
      <c r="X40" s="918"/>
      <c r="Y40" s="919"/>
      <c r="Z40" s="918">
        <f t="shared" si="2"/>
        <v>0</v>
      </c>
      <c r="AA40" s="920"/>
      <c r="AB40" s="921"/>
      <c r="AC40" s="302">
        <f t="shared" si="9"/>
        <v>0</v>
      </c>
      <c r="AE40" s="129"/>
      <c r="AF40" s="87">
        <f t="shared" si="15"/>
        <v>464</v>
      </c>
      <c r="AG40" s="15"/>
      <c r="AH40" s="918"/>
      <c r="AI40" s="919"/>
      <c r="AJ40" s="918">
        <f t="shared" si="3"/>
        <v>0</v>
      </c>
      <c r="AK40" s="920"/>
      <c r="AL40" s="921"/>
      <c r="AM40" s="302">
        <f t="shared" si="11"/>
        <v>13991.680000000002</v>
      </c>
    </row>
    <row r="41" spans="1:39" x14ac:dyDescent="0.25">
      <c r="A41" s="129"/>
      <c r="B41" s="87">
        <f t="shared" si="12"/>
        <v>0</v>
      </c>
      <c r="C41" s="15"/>
      <c r="D41" s="918"/>
      <c r="E41" s="919"/>
      <c r="F41" s="918">
        <f t="shared" si="0"/>
        <v>0</v>
      </c>
      <c r="G41" s="920"/>
      <c r="H41" s="921"/>
      <c r="I41" s="302">
        <f t="shared" si="5"/>
        <v>-1.3073986337985843E-12</v>
      </c>
      <c r="K41" s="129"/>
      <c r="L41" s="87">
        <f t="shared" si="13"/>
        <v>0</v>
      </c>
      <c r="M41" s="15"/>
      <c r="N41" s="918"/>
      <c r="O41" s="919"/>
      <c r="P41" s="918">
        <f t="shared" si="1"/>
        <v>0</v>
      </c>
      <c r="Q41" s="920"/>
      <c r="R41" s="921"/>
      <c r="S41" s="302">
        <f t="shared" si="7"/>
        <v>-6.4126481902349042E-13</v>
      </c>
      <c r="U41" s="129"/>
      <c r="V41" s="87">
        <f t="shared" si="14"/>
        <v>0</v>
      </c>
      <c r="W41" s="15"/>
      <c r="X41" s="918"/>
      <c r="Y41" s="919"/>
      <c r="Z41" s="918">
        <f t="shared" si="2"/>
        <v>0</v>
      </c>
      <c r="AA41" s="920"/>
      <c r="AB41" s="921"/>
      <c r="AC41" s="302">
        <f t="shared" si="9"/>
        <v>0</v>
      </c>
      <c r="AE41" s="129"/>
      <c r="AF41" s="87">
        <f t="shared" si="15"/>
        <v>464</v>
      </c>
      <c r="AG41" s="15"/>
      <c r="AH41" s="918"/>
      <c r="AI41" s="919"/>
      <c r="AJ41" s="918">
        <f t="shared" si="3"/>
        <v>0</v>
      </c>
      <c r="AK41" s="920"/>
      <c r="AL41" s="921"/>
      <c r="AM41" s="302">
        <f t="shared" si="11"/>
        <v>13991.680000000002</v>
      </c>
    </row>
    <row r="42" spans="1:39" x14ac:dyDescent="0.25">
      <c r="A42" s="129"/>
      <c r="B42" s="87">
        <f t="shared" si="12"/>
        <v>0</v>
      </c>
      <c r="C42" s="15"/>
      <c r="D42" s="918"/>
      <c r="E42" s="919"/>
      <c r="F42" s="918">
        <f t="shared" si="0"/>
        <v>0</v>
      </c>
      <c r="G42" s="920"/>
      <c r="H42" s="921"/>
      <c r="I42" s="302">
        <f t="shared" si="5"/>
        <v>-1.3073986337985843E-12</v>
      </c>
      <c r="K42" s="129"/>
      <c r="L42" s="87">
        <f t="shared" si="13"/>
        <v>0</v>
      </c>
      <c r="M42" s="15"/>
      <c r="N42" s="918"/>
      <c r="O42" s="919"/>
      <c r="P42" s="918">
        <f t="shared" si="1"/>
        <v>0</v>
      </c>
      <c r="Q42" s="920"/>
      <c r="R42" s="921"/>
      <c r="S42" s="302">
        <f t="shared" si="7"/>
        <v>-6.4126481902349042E-13</v>
      </c>
      <c r="U42" s="129"/>
      <c r="V42" s="87">
        <f t="shared" si="14"/>
        <v>0</v>
      </c>
      <c r="W42" s="15"/>
      <c r="X42" s="918"/>
      <c r="Y42" s="919"/>
      <c r="Z42" s="918">
        <f t="shared" si="2"/>
        <v>0</v>
      </c>
      <c r="AA42" s="920"/>
      <c r="AB42" s="921"/>
      <c r="AC42" s="302">
        <f t="shared" si="9"/>
        <v>0</v>
      </c>
      <c r="AE42" s="129"/>
      <c r="AF42" s="87">
        <f t="shared" si="15"/>
        <v>464</v>
      </c>
      <c r="AG42" s="15"/>
      <c r="AH42" s="918"/>
      <c r="AI42" s="919"/>
      <c r="AJ42" s="918">
        <f t="shared" si="3"/>
        <v>0</v>
      </c>
      <c r="AK42" s="920"/>
      <c r="AL42" s="921"/>
      <c r="AM42" s="302">
        <f t="shared" si="11"/>
        <v>13991.680000000002</v>
      </c>
    </row>
    <row r="43" spans="1:39" x14ac:dyDescent="0.25">
      <c r="A43" s="129"/>
      <c r="B43" s="87">
        <f t="shared" si="12"/>
        <v>0</v>
      </c>
      <c r="C43" s="15"/>
      <c r="D43" s="918"/>
      <c r="E43" s="919"/>
      <c r="F43" s="918">
        <f t="shared" si="0"/>
        <v>0</v>
      </c>
      <c r="G43" s="920"/>
      <c r="H43" s="921"/>
      <c r="I43" s="302">
        <f t="shared" si="5"/>
        <v>-1.3073986337985843E-12</v>
      </c>
      <c r="K43" s="129"/>
      <c r="L43" s="87">
        <f t="shared" si="13"/>
        <v>0</v>
      </c>
      <c r="M43" s="15"/>
      <c r="N43" s="918"/>
      <c r="O43" s="919"/>
      <c r="P43" s="918">
        <f t="shared" si="1"/>
        <v>0</v>
      </c>
      <c r="Q43" s="920"/>
      <c r="R43" s="921"/>
      <c r="S43" s="302">
        <f t="shared" si="7"/>
        <v>-6.4126481902349042E-13</v>
      </c>
      <c r="U43" s="129"/>
      <c r="V43" s="87">
        <f t="shared" si="14"/>
        <v>0</v>
      </c>
      <c r="W43" s="15"/>
      <c r="X43" s="918"/>
      <c r="Y43" s="919"/>
      <c r="Z43" s="918">
        <f t="shared" si="2"/>
        <v>0</v>
      </c>
      <c r="AA43" s="920"/>
      <c r="AB43" s="921"/>
      <c r="AC43" s="302">
        <f t="shared" si="9"/>
        <v>0</v>
      </c>
      <c r="AE43" s="129"/>
      <c r="AF43" s="87">
        <f t="shared" si="15"/>
        <v>464</v>
      </c>
      <c r="AG43" s="15"/>
      <c r="AH43" s="918"/>
      <c r="AI43" s="919"/>
      <c r="AJ43" s="918">
        <f t="shared" si="3"/>
        <v>0</v>
      </c>
      <c r="AK43" s="920"/>
      <c r="AL43" s="921"/>
      <c r="AM43" s="302">
        <f t="shared" si="11"/>
        <v>13991.680000000002</v>
      </c>
    </row>
    <row r="44" spans="1:39" x14ac:dyDescent="0.25">
      <c r="A44" s="129"/>
      <c r="B44" s="87">
        <f t="shared" si="12"/>
        <v>0</v>
      </c>
      <c r="C44" s="15"/>
      <c r="D44" s="918"/>
      <c r="E44" s="919"/>
      <c r="F44" s="918">
        <f t="shared" si="0"/>
        <v>0</v>
      </c>
      <c r="G44" s="920"/>
      <c r="H44" s="921"/>
      <c r="I44" s="302">
        <f t="shared" si="5"/>
        <v>-1.3073986337985843E-12</v>
      </c>
      <c r="K44" s="129"/>
      <c r="L44" s="87">
        <f t="shared" si="13"/>
        <v>0</v>
      </c>
      <c r="M44" s="15"/>
      <c r="N44" s="918"/>
      <c r="O44" s="919"/>
      <c r="P44" s="918">
        <f t="shared" si="1"/>
        <v>0</v>
      </c>
      <c r="Q44" s="920"/>
      <c r="R44" s="921"/>
      <c r="S44" s="302">
        <f t="shared" si="7"/>
        <v>-6.4126481902349042E-13</v>
      </c>
      <c r="U44" s="129"/>
      <c r="V44" s="87">
        <f t="shared" si="14"/>
        <v>0</v>
      </c>
      <c r="W44" s="15"/>
      <c r="X44" s="918"/>
      <c r="Y44" s="919"/>
      <c r="Z44" s="918">
        <f t="shared" si="2"/>
        <v>0</v>
      </c>
      <c r="AA44" s="920"/>
      <c r="AB44" s="921"/>
      <c r="AC44" s="302">
        <f t="shared" si="9"/>
        <v>0</v>
      </c>
      <c r="AE44" s="129"/>
      <c r="AF44" s="87">
        <f t="shared" si="15"/>
        <v>464</v>
      </c>
      <c r="AG44" s="15"/>
      <c r="AH44" s="918"/>
      <c r="AI44" s="919"/>
      <c r="AJ44" s="918">
        <f t="shared" si="3"/>
        <v>0</v>
      </c>
      <c r="AK44" s="920"/>
      <c r="AL44" s="921"/>
      <c r="AM44" s="302">
        <f t="shared" si="11"/>
        <v>13991.680000000002</v>
      </c>
    </row>
    <row r="45" spans="1:39" x14ac:dyDescent="0.25">
      <c r="A45" s="129"/>
      <c r="B45" s="87">
        <f t="shared" si="12"/>
        <v>0</v>
      </c>
      <c r="C45" s="15"/>
      <c r="D45" s="918"/>
      <c r="E45" s="919"/>
      <c r="F45" s="918">
        <f t="shared" si="0"/>
        <v>0</v>
      </c>
      <c r="G45" s="920"/>
      <c r="H45" s="921"/>
      <c r="I45" s="302">
        <f t="shared" si="5"/>
        <v>-1.3073986337985843E-12</v>
      </c>
      <c r="K45" s="129"/>
      <c r="L45" s="87">
        <f t="shared" si="13"/>
        <v>0</v>
      </c>
      <c r="M45" s="15"/>
      <c r="N45" s="918"/>
      <c r="O45" s="919"/>
      <c r="P45" s="918">
        <f t="shared" si="1"/>
        <v>0</v>
      </c>
      <c r="Q45" s="920"/>
      <c r="R45" s="921"/>
      <c r="S45" s="302">
        <f t="shared" si="7"/>
        <v>-6.4126481902349042E-13</v>
      </c>
      <c r="U45" s="129"/>
      <c r="V45" s="87">
        <f t="shared" si="14"/>
        <v>0</v>
      </c>
      <c r="W45" s="15"/>
      <c r="X45" s="918"/>
      <c r="Y45" s="919"/>
      <c r="Z45" s="918">
        <f t="shared" si="2"/>
        <v>0</v>
      </c>
      <c r="AA45" s="920"/>
      <c r="AB45" s="921"/>
      <c r="AC45" s="302">
        <f t="shared" si="9"/>
        <v>0</v>
      </c>
      <c r="AE45" s="129"/>
      <c r="AF45" s="87">
        <f t="shared" si="15"/>
        <v>464</v>
      </c>
      <c r="AG45" s="15"/>
      <c r="AH45" s="918"/>
      <c r="AI45" s="919"/>
      <c r="AJ45" s="918">
        <f t="shared" si="3"/>
        <v>0</v>
      </c>
      <c r="AK45" s="920"/>
      <c r="AL45" s="921"/>
      <c r="AM45" s="302">
        <f t="shared" si="11"/>
        <v>13991.680000000002</v>
      </c>
    </row>
    <row r="46" spans="1:39" x14ac:dyDescent="0.25">
      <c r="A46" s="129"/>
      <c r="B46" s="87">
        <f t="shared" si="1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5"/>
        <v>-1.3073986337985843E-12</v>
      </c>
      <c r="K46" s="129"/>
      <c r="L46" s="87">
        <f t="shared" si="13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-6.4126481902349042E-13</v>
      </c>
      <c r="U46" s="129"/>
      <c r="V46" s="87">
        <f t="shared" si="14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  <c r="AE46" s="129"/>
      <c r="AF46" s="87">
        <f t="shared" si="15"/>
        <v>464</v>
      </c>
      <c r="AG46" s="15"/>
      <c r="AH46" s="290"/>
      <c r="AI46" s="323"/>
      <c r="AJ46" s="290">
        <f t="shared" si="3"/>
        <v>0</v>
      </c>
      <c r="AK46" s="291"/>
      <c r="AL46" s="292"/>
      <c r="AM46" s="302">
        <f t="shared" si="11"/>
        <v>13991.680000000002</v>
      </c>
    </row>
    <row r="47" spans="1:39" x14ac:dyDescent="0.25">
      <c r="A47" s="129"/>
      <c r="B47" s="87">
        <f t="shared" si="1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5"/>
        <v>-1.3073986337985843E-12</v>
      </c>
      <c r="K47" s="129"/>
      <c r="L47" s="87">
        <f t="shared" si="13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-6.4126481902349042E-13</v>
      </c>
      <c r="U47" s="129"/>
      <c r="V47" s="87">
        <f t="shared" si="14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  <c r="AE47" s="129"/>
      <c r="AF47" s="87">
        <f t="shared" si="15"/>
        <v>464</v>
      </c>
      <c r="AG47" s="15"/>
      <c r="AH47" s="290"/>
      <c r="AI47" s="323"/>
      <c r="AJ47" s="290">
        <f t="shared" si="3"/>
        <v>0</v>
      </c>
      <c r="AK47" s="291"/>
      <c r="AL47" s="292"/>
      <c r="AM47" s="302">
        <f t="shared" si="11"/>
        <v>13991.680000000002</v>
      </c>
    </row>
    <row r="48" spans="1:39" x14ac:dyDescent="0.25">
      <c r="A48" s="129"/>
      <c r="B48" s="87">
        <f t="shared" si="1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5"/>
        <v>-1.3073986337985843E-12</v>
      </c>
      <c r="K48" s="129"/>
      <c r="L48" s="87">
        <f t="shared" si="13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-6.4126481902349042E-13</v>
      </c>
      <c r="U48" s="129"/>
      <c r="V48" s="87">
        <f t="shared" si="14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  <c r="AE48" s="129"/>
      <c r="AF48" s="87">
        <f t="shared" si="15"/>
        <v>464</v>
      </c>
      <c r="AG48" s="15"/>
      <c r="AH48" s="290"/>
      <c r="AI48" s="323"/>
      <c r="AJ48" s="290">
        <f t="shared" si="3"/>
        <v>0</v>
      </c>
      <c r="AK48" s="291"/>
      <c r="AL48" s="292"/>
      <c r="AM48" s="302">
        <f t="shared" si="11"/>
        <v>13991.680000000002</v>
      </c>
    </row>
    <row r="49" spans="1:39" x14ac:dyDescent="0.25">
      <c r="A49" s="129"/>
      <c r="B49" s="87">
        <f t="shared" si="1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5"/>
        <v>-1.3073986337985843E-12</v>
      </c>
      <c r="K49" s="129"/>
      <c r="L49" s="87">
        <f t="shared" si="13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-6.4126481902349042E-13</v>
      </c>
      <c r="U49" s="129"/>
      <c r="V49" s="87">
        <f t="shared" si="14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  <c r="AE49" s="129"/>
      <c r="AF49" s="87">
        <f t="shared" si="15"/>
        <v>464</v>
      </c>
      <c r="AG49" s="15"/>
      <c r="AH49" s="290"/>
      <c r="AI49" s="323"/>
      <c r="AJ49" s="290">
        <f t="shared" si="3"/>
        <v>0</v>
      </c>
      <c r="AK49" s="291"/>
      <c r="AL49" s="292"/>
      <c r="AM49" s="302">
        <f t="shared" si="11"/>
        <v>13991.680000000002</v>
      </c>
    </row>
    <row r="50" spans="1:39" x14ac:dyDescent="0.25">
      <c r="A50" s="129"/>
      <c r="B50" s="87">
        <f t="shared" si="1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5"/>
        <v>-1.3073986337985843E-12</v>
      </c>
      <c r="K50" s="129"/>
      <c r="L50" s="87">
        <f t="shared" si="13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-6.4126481902349042E-13</v>
      </c>
      <c r="U50" s="129"/>
      <c r="V50" s="87">
        <f t="shared" si="14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  <c r="AE50" s="129"/>
      <c r="AF50" s="87">
        <f t="shared" si="15"/>
        <v>464</v>
      </c>
      <c r="AG50" s="15"/>
      <c r="AH50" s="290"/>
      <c r="AI50" s="323"/>
      <c r="AJ50" s="290">
        <f t="shared" si="3"/>
        <v>0</v>
      </c>
      <c r="AK50" s="291"/>
      <c r="AL50" s="292"/>
      <c r="AM50" s="302">
        <f t="shared" si="11"/>
        <v>13991.680000000002</v>
      </c>
    </row>
    <row r="51" spans="1:39" x14ac:dyDescent="0.25">
      <c r="A51" s="129"/>
      <c r="B51" s="87">
        <f t="shared" si="1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5"/>
        <v>-1.3073986337985843E-12</v>
      </c>
      <c r="K51" s="129"/>
      <c r="L51" s="87">
        <f t="shared" si="13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-6.4126481902349042E-13</v>
      </c>
      <c r="U51" s="129"/>
      <c r="V51" s="87">
        <f t="shared" si="14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  <c r="AE51" s="129"/>
      <c r="AF51" s="87">
        <f t="shared" si="15"/>
        <v>464</v>
      </c>
      <c r="AG51" s="15"/>
      <c r="AH51" s="290"/>
      <c r="AI51" s="323"/>
      <c r="AJ51" s="290">
        <f t="shared" si="3"/>
        <v>0</v>
      </c>
      <c r="AK51" s="291"/>
      <c r="AL51" s="292"/>
      <c r="AM51" s="302">
        <f t="shared" si="11"/>
        <v>13991.680000000002</v>
      </c>
    </row>
    <row r="52" spans="1:39" x14ac:dyDescent="0.25">
      <c r="A52" s="129"/>
      <c r="B52" s="87">
        <f t="shared" si="1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5"/>
        <v>-1.3073986337985843E-12</v>
      </c>
      <c r="K52" s="129"/>
      <c r="L52" s="87">
        <f t="shared" si="13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-6.4126481902349042E-13</v>
      </c>
      <c r="U52" s="129"/>
      <c r="V52" s="87">
        <f t="shared" si="14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  <c r="AE52" s="129"/>
      <c r="AF52" s="87">
        <f t="shared" si="15"/>
        <v>464</v>
      </c>
      <c r="AG52" s="15"/>
      <c r="AH52" s="290"/>
      <c r="AI52" s="323"/>
      <c r="AJ52" s="290">
        <f t="shared" si="3"/>
        <v>0</v>
      </c>
      <c r="AK52" s="291"/>
      <c r="AL52" s="292"/>
      <c r="AM52" s="302">
        <f t="shared" si="11"/>
        <v>13991.680000000002</v>
      </c>
    </row>
    <row r="53" spans="1:39" x14ac:dyDescent="0.25">
      <c r="A53" s="129"/>
      <c r="B53" s="87">
        <f t="shared" si="1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5"/>
        <v>-1.3073986337985843E-12</v>
      </c>
      <c r="K53" s="129"/>
      <c r="L53" s="87">
        <f t="shared" si="13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-6.4126481902349042E-13</v>
      </c>
      <c r="U53" s="129"/>
      <c r="V53" s="87">
        <f t="shared" si="14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  <c r="AE53" s="129"/>
      <c r="AF53" s="87">
        <f t="shared" si="15"/>
        <v>464</v>
      </c>
      <c r="AG53" s="15"/>
      <c r="AH53" s="290"/>
      <c r="AI53" s="323"/>
      <c r="AJ53" s="290">
        <f t="shared" si="3"/>
        <v>0</v>
      </c>
      <c r="AK53" s="291"/>
      <c r="AL53" s="292"/>
      <c r="AM53" s="302">
        <f t="shared" si="11"/>
        <v>13991.680000000002</v>
      </c>
    </row>
    <row r="54" spans="1:39" x14ac:dyDescent="0.25">
      <c r="A54" s="129"/>
      <c r="B54" s="87">
        <f t="shared" si="1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5"/>
        <v>-1.3073986337985843E-12</v>
      </c>
      <c r="K54" s="129"/>
      <c r="L54" s="87">
        <f t="shared" si="13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-6.4126481902349042E-13</v>
      </c>
      <c r="U54" s="129"/>
      <c r="V54" s="87">
        <f t="shared" si="14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  <c r="AE54" s="129"/>
      <c r="AF54" s="87">
        <f t="shared" si="15"/>
        <v>464</v>
      </c>
      <c r="AG54" s="15"/>
      <c r="AH54" s="290"/>
      <c r="AI54" s="323"/>
      <c r="AJ54" s="290">
        <f t="shared" si="3"/>
        <v>0</v>
      </c>
      <c r="AK54" s="291"/>
      <c r="AL54" s="292"/>
      <c r="AM54" s="302">
        <f t="shared" si="11"/>
        <v>13991.680000000002</v>
      </c>
    </row>
    <row r="55" spans="1:39" x14ac:dyDescent="0.25">
      <c r="A55" s="129"/>
      <c r="B55" s="87">
        <f t="shared" si="12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5"/>
        <v>-1.3073986337985843E-12</v>
      </c>
      <c r="K55" s="129"/>
      <c r="L55" s="87">
        <f t="shared" si="13"/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-6.4126481902349042E-13</v>
      </c>
      <c r="U55" s="129"/>
      <c r="V55" s="87">
        <f t="shared" si="14"/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  <c r="AE55" s="129"/>
      <c r="AF55" s="87">
        <f t="shared" si="15"/>
        <v>464</v>
      </c>
      <c r="AG55" s="15"/>
      <c r="AH55" s="290"/>
      <c r="AI55" s="323"/>
      <c r="AJ55" s="290">
        <f t="shared" si="3"/>
        <v>0</v>
      </c>
      <c r="AK55" s="291"/>
      <c r="AL55" s="292"/>
      <c r="AM55" s="302">
        <f t="shared" si="11"/>
        <v>13991.680000000002</v>
      </c>
    </row>
    <row r="56" spans="1:39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5"/>
        <v>-1.3073986337985843E-12</v>
      </c>
      <c r="K56" s="129"/>
      <c r="L56" s="12">
        <f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-6.4126481902349042E-13</v>
      </c>
      <c r="U56" s="129"/>
      <c r="V56" s="12">
        <f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  <c r="AE56" s="129"/>
      <c r="AF56" s="12">
        <f>AF55-AG56</f>
        <v>464</v>
      </c>
      <c r="AG56" s="15"/>
      <c r="AH56" s="290"/>
      <c r="AI56" s="323"/>
      <c r="AJ56" s="290">
        <f t="shared" si="3"/>
        <v>0</v>
      </c>
      <c r="AK56" s="291"/>
      <c r="AL56" s="292"/>
      <c r="AM56" s="302">
        <f t="shared" si="11"/>
        <v>13991.680000000002</v>
      </c>
    </row>
    <row r="57" spans="1:39" x14ac:dyDescent="0.25">
      <c r="A57" s="129"/>
      <c r="B57" s="12">
        <f t="shared" ref="B57:B76" si="16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5"/>
        <v>-1.3073986337985843E-12</v>
      </c>
      <c r="K57" s="129"/>
      <c r="L57" s="12">
        <f t="shared" ref="L57:L76" si="17">L56-M57</f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-6.4126481902349042E-13</v>
      </c>
      <c r="U57" s="129"/>
      <c r="V57" s="12">
        <f t="shared" ref="V57:V76" si="18">V56-W57</f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  <c r="AE57" s="129"/>
      <c r="AF57" s="12">
        <f t="shared" ref="AF57:AF76" si="19">AF56-AG57</f>
        <v>464</v>
      </c>
      <c r="AG57" s="15"/>
      <c r="AH57" s="290"/>
      <c r="AI57" s="323"/>
      <c r="AJ57" s="290">
        <f t="shared" si="3"/>
        <v>0</v>
      </c>
      <c r="AK57" s="291"/>
      <c r="AL57" s="292"/>
      <c r="AM57" s="302">
        <f t="shared" si="11"/>
        <v>13991.680000000002</v>
      </c>
    </row>
    <row r="58" spans="1:39" x14ac:dyDescent="0.25">
      <c r="A58" s="129"/>
      <c r="B58" s="12">
        <f t="shared" si="1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5"/>
        <v>-1.3073986337985843E-12</v>
      </c>
      <c r="K58" s="129"/>
      <c r="L58" s="12">
        <f t="shared" si="17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-6.4126481902349042E-13</v>
      </c>
      <c r="U58" s="129"/>
      <c r="V58" s="12">
        <f t="shared" si="18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  <c r="AE58" s="129"/>
      <c r="AF58" s="12">
        <f t="shared" si="19"/>
        <v>464</v>
      </c>
      <c r="AG58" s="15"/>
      <c r="AH58" s="290"/>
      <c r="AI58" s="323"/>
      <c r="AJ58" s="290">
        <f t="shared" si="3"/>
        <v>0</v>
      </c>
      <c r="AK58" s="291"/>
      <c r="AL58" s="292"/>
      <c r="AM58" s="302">
        <f t="shared" si="11"/>
        <v>13991.680000000002</v>
      </c>
    </row>
    <row r="59" spans="1:39" x14ac:dyDescent="0.25">
      <c r="A59" s="129"/>
      <c r="B59" s="12">
        <f t="shared" si="1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5"/>
        <v>-1.3073986337985843E-12</v>
      </c>
      <c r="K59" s="129"/>
      <c r="L59" s="12">
        <f t="shared" si="17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-6.4126481902349042E-13</v>
      </c>
      <c r="U59" s="129"/>
      <c r="V59" s="12">
        <f t="shared" si="18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  <c r="AE59" s="129"/>
      <c r="AF59" s="12">
        <f t="shared" si="19"/>
        <v>464</v>
      </c>
      <c r="AG59" s="15"/>
      <c r="AH59" s="290"/>
      <c r="AI59" s="323"/>
      <c r="AJ59" s="290">
        <f t="shared" si="3"/>
        <v>0</v>
      </c>
      <c r="AK59" s="291"/>
      <c r="AL59" s="292"/>
      <c r="AM59" s="302">
        <f t="shared" si="11"/>
        <v>13991.680000000002</v>
      </c>
    </row>
    <row r="60" spans="1:39" x14ac:dyDescent="0.25">
      <c r="A60" s="129"/>
      <c r="B60" s="12">
        <f t="shared" si="1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5"/>
        <v>-1.3073986337985843E-12</v>
      </c>
      <c r="K60" s="129"/>
      <c r="L60" s="12">
        <f t="shared" si="17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-6.4126481902349042E-13</v>
      </c>
      <c r="U60" s="129"/>
      <c r="V60" s="12">
        <f t="shared" si="18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  <c r="AE60" s="129"/>
      <c r="AF60" s="12">
        <f t="shared" si="19"/>
        <v>464</v>
      </c>
      <c r="AG60" s="15"/>
      <c r="AH60" s="290"/>
      <c r="AI60" s="323"/>
      <c r="AJ60" s="290">
        <f t="shared" si="3"/>
        <v>0</v>
      </c>
      <c r="AK60" s="291"/>
      <c r="AL60" s="292"/>
      <c r="AM60" s="302">
        <f t="shared" si="11"/>
        <v>13991.680000000002</v>
      </c>
    </row>
    <row r="61" spans="1:39" x14ac:dyDescent="0.25">
      <c r="A61" s="129"/>
      <c r="B61" s="12">
        <f t="shared" si="1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5"/>
        <v>-1.3073986337985843E-12</v>
      </c>
      <c r="K61" s="129"/>
      <c r="L61" s="12">
        <f t="shared" si="17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-6.4126481902349042E-13</v>
      </c>
      <c r="U61" s="129"/>
      <c r="V61" s="12">
        <f t="shared" si="18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  <c r="AE61" s="129"/>
      <c r="AF61" s="12">
        <f t="shared" si="19"/>
        <v>464</v>
      </c>
      <c r="AG61" s="15"/>
      <c r="AH61" s="290"/>
      <c r="AI61" s="323"/>
      <c r="AJ61" s="290">
        <f t="shared" si="3"/>
        <v>0</v>
      </c>
      <c r="AK61" s="291"/>
      <c r="AL61" s="292"/>
      <c r="AM61" s="302">
        <f t="shared" si="11"/>
        <v>13991.680000000002</v>
      </c>
    </row>
    <row r="62" spans="1:39" x14ac:dyDescent="0.25">
      <c r="A62" s="129"/>
      <c r="B62" s="12">
        <f t="shared" si="1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5"/>
        <v>-1.3073986337985843E-12</v>
      </c>
      <c r="K62" s="129"/>
      <c r="L62" s="12">
        <f t="shared" si="17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-6.4126481902349042E-13</v>
      </c>
      <c r="U62" s="129"/>
      <c r="V62" s="12">
        <f t="shared" si="18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  <c r="AE62" s="129"/>
      <c r="AF62" s="12">
        <f t="shared" si="19"/>
        <v>464</v>
      </c>
      <c r="AG62" s="15"/>
      <c r="AH62" s="290"/>
      <c r="AI62" s="323"/>
      <c r="AJ62" s="290">
        <f t="shared" si="3"/>
        <v>0</v>
      </c>
      <c r="AK62" s="291"/>
      <c r="AL62" s="292"/>
      <c r="AM62" s="302">
        <f t="shared" si="11"/>
        <v>13991.680000000002</v>
      </c>
    </row>
    <row r="63" spans="1:39" x14ac:dyDescent="0.25">
      <c r="A63" s="129"/>
      <c r="B63" s="12">
        <f t="shared" si="1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5"/>
        <v>-1.3073986337985843E-12</v>
      </c>
      <c r="K63" s="129"/>
      <c r="L63" s="12">
        <f t="shared" si="17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-6.4126481902349042E-13</v>
      </c>
      <c r="U63" s="129"/>
      <c r="V63" s="12">
        <f t="shared" si="18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  <c r="AE63" s="129"/>
      <c r="AF63" s="12">
        <f t="shared" si="19"/>
        <v>464</v>
      </c>
      <c r="AG63" s="15"/>
      <c r="AH63" s="290"/>
      <c r="AI63" s="323"/>
      <c r="AJ63" s="290">
        <f t="shared" si="3"/>
        <v>0</v>
      </c>
      <c r="AK63" s="291"/>
      <c r="AL63" s="292"/>
      <c r="AM63" s="302">
        <f t="shared" si="11"/>
        <v>13991.680000000002</v>
      </c>
    </row>
    <row r="64" spans="1:39" x14ac:dyDescent="0.25">
      <c r="A64" s="129"/>
      <c r="B64" s="12">
        <f t="shared" si="1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5"/>
        <v>-1.3073986337985843E-12</v>
      </c>
      <c r="K64" s="129"/>
      <c r="L64" s="12">
        <f t="shared" si="17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-6.4126481902349042E-13</v>
      </c>
      <c r="U64" s="129"/>
      <c r="V64" s="12">
        <f t="shared" si="18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  <c r="AE64" s="129"/>
      <c r="AF64" s="12">
        <f t="shared" si="19"/>
        <v>464</v>
      </c>
      <c r="AG64" s="15"/>
      <c r="AH64" s="290"/>
      <c r="AI64" s="323"/>
      <c r="AJ64" s="290">
        <f t="shared" si="3"/>
        <v>0</v>
      </c>
      <c r="AK64" s="291"/>
      <c r="AL64" s="292"/>
      <c r="AM64" s="302">
        <f t="shared" si="11"/>
        <v>13991.680000000002</v>
      </c>
    </row>
    <row r="65" spans="1:39" x14ac:dyDescent="0.25">
      <c r="A65" s="129"/>
      <c r="B65" s="12">
        <f t="shared" si="1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5"/>
        <v>-1.3073986337985843E-12</v>
      </c>
      <c r="K65" s="129"/>
      <c r="L65" s="12">
        <f t="shared" si="17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-6.4126481902349042E-13</v>
      </c>
      <c r="U65" s="129"/>
      <c r="V65" s="12">
        <f t="shared" si="18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  <c r="AE65" s="129"/>
      <c r="AF65" s="12">
        <f t="shared" si="19"/>
        <v>464</v>
      </c>
      <c r="AG65" s="15"/>
      <c r="AH65" s="290"/>
      <c r="AI65" s="323"/>
      <c r="AJ65" s="290">
        <f t="shared" si="3"/>
        <v>0</v>
      </c>
      <c r="AK65" s="291"/>
      <c r="AL65" s="292"/>
      <c r="AM65" s="302">
        <f t="shared" si="11"/>
        <v>13991.680000000002</v>
      </c>
    </row>
    <row r="66" spans="1:39" x14ac:dyDescent="0.25">
      <c r="A66" s="129"/>
      <c r="B66" s="12">
        <f t="shared" si="1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5"/>
        <v>-1.3073986337985843E-12</v>
      </c>
      <c r="K66" s="129"/>
      <c r="L66" s="12">
        <f t="shared" si="17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-6.4126481902349042E-13</v>
      </c>
      <c r="U66" s="129"/>
      <c r="V66" s="12">
        <f t="shared" si="18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  <c r="AE66" s="129"/>
      <c r="AF66" s="12">
        <f t="shared" si="19"/>
        <v>464</v>
      </c>
      <c r="AG66" s="15"/>
      <c r="AH66" s="290"/>
      <c r="AI66" s="323"/>
      <c r="AJ66" s="290">
        <f t="shared" si="3"/>
        <v>0</v>
      </c>
      <c r="AK66" s="291"/>
      <c r="AL66" s="292"/>
      <c r="AM66" s="302">
        <f t="shared" si="11"/>
        <v>13991.680000000002</v>
      </c>
    </row>
    <row r="67" spans="1:39" x14ac:dyDescent="0.25">
      <c r="A67" s="129"/>
      <c r="B67" s="12">
        <f t="shared" si="16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5"/>
        <v>-1.3073986337985843E-12</v>
      </c>
      <c r="K67" s="129"/>
      <c r="L67" s="12">
        <f t="shared" si="17"/>
        <v>0</v>
      </c>
      <c r="M67" s="15"/>
      <c r="N67" s="290"/>
      <c r="O67" s="323"/>
      <c r="P67" s="290">
        <f t="shared" si="1"/>
        <v>0</v>
      </c>
      <c r="Q67" s="291"/>
      <c r="R67" s="292"/>
      <c r="S67" s="302">
        <f t="shared" si="7"/>
        <v>-6.4126481902349042E-13</v>
      </c>
      <c r="U67" s="129"/>
      <c r="V67" s="12">
        <f t="shared" si="18"/>
        <v>0</v>
      </c>
      <c r="W67" s="15"/>
      <c r="X67" s="290"/>
      <c r="Y67" s="323"/>
      <c r="Z67" s="290">
        <f t="shared" si="2"/>
        <v>0</v>
      </c>
      <c r="AA67" s="291"/>
      <c r="AB67" s="292"/>
      <c r="AC67" s="302">
        <f t="shared" si="9"/>
        <v>0</v>
      </c>
      <c r="AE67" s="129"/>
      <c r="AF67" s="12">
        <f t="shared" si="19"/>
        <v>464</v>
      </c>
      <c r="AG67" s="15"/>
      <c r="AH67" s="290"/>
      <c r="AI67" s="323"/>
      <c r="AJ67" s="290">
        <f t="shared" si="3"/>
        <v>0</v>
      </c>
      <c r="AK67" s="291"/>
      <c r="AL67" s="292"/>
      <c r="AM67" s="302">
        <f t="shared" si="11"/>
        <v>13991.680000000002</v>
      </c>
    </row>
    <row r="68" spans="1:39" x14ac:dyDescent="0.25">
      <c r="A68" s="129"/>
      <c r="B68" s="12">
        <f t="shared" si="16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5"/>
        <v>-1.3073986337985843E-12</v>
      </c>
      <c r="K68" s="129"/>
      <c r="L68" s="12">
        <f t="shared" si="17"/>
        <v>0</v>
      </c>
      <c r="M68" s="15"/>
      <c r="N68" s="72"/>
      <c r="O68" s="236"/>
      <c r="P68" s="72">
        <f t="shared" si="1"/>
        <v>0</v>
      </c>
      <c r="Q68" s="73"/>
      <c r="R68" s="74"/>
      <c r="S68" s="110">
        <f t="shared" si="7"/>
        <v>-6.4126481902349042E-13</v>
      </c>
      <c r="U68" s="129"/>
      <c r="V68" s="12">
        <f t="shared" si="18"/>
        <v>0</v>
      </c>
      <c r="W68" s="15"/>
      <c r="X68" s="72"/>
      <c r="Y68" s="236"/>
      <c r="Z68" s="72">
        <f t="shared" si="2"/>
        <v>0</v>
      </c>
      <c r="AA68" s="73"/>
      <c r="AB68" s="74"/>
      <c r="AC68" s="110">
        <f t="shared" si="9"/>
        <v>0</v>
      </c>
      <c r="AE68" s="129"/>
      <c r="AF68" s="12">
        <f t="shared" si="19"/>
        <v>464</v>
      </c>
      <c r="AG68" s="15"/>
      <c r="AH68" s="72"/>
      <c r="AI68" s="236"/>
      <c r="AJ68" s="72">
        <f t="shared" si="3"/>
        <v>0</v>
      </c>
      <c r="AK68" s="73"/>
      <c r="AL68" s="74"/>
      <c r="AM68" s="110">
        <f t="shared" si="11"/>
        <v>13991.680000000002</v>
      </c>
    </row>
    <row r="69" spans="1:39" x14ac:dyDescent="0.25">
      <c r="A69" s="129"/>
      <c r="B69" s="12">
        <f t="shared" si="1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5"/>
        <v>-1.3073986337985843E-12</v>
      </c>
      <c r="K69" s="129"/>
      <c r="L69" s="12">
        <f t="shared" si="17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-6.4126481902349042E-13</v>
      </c>
      <c r="U69" s="129"/>
      <c r="V69" s="12">
        <f t="shared" si="18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  <c r="AE69" s="129"/>
      <c r="AF69" s="12">
        <f t="shared" si="19"/>
        <v>464</v>
      </c>
      <c r="AG69" s="15"/>
      <c r="AH69" s="62"/>
      <c r="AI69" s="245"/>
      <c r="AJ69" s="72">
        <f t="shared" si="3"/>
        <v>0</v>
      </c>
      <c r="AK69" s="73"/>
      <c r="AL69" s="74"/>
      <c r="AM69" s="110">
        <f t="shared" si="11"/>
        <v>13991.680000000002</v>
      </c>
    </row>
    <row r="70" spans="1:39" x14ac:dyDescent="0.25">
      <c r="A70" s="129"/>
      <c r="B70" s="12">
        <f t="shared" si="1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5"/>
        <v>-1.3073986337985843E-12</v>
      </c>
      <c r="K70" s="129"/>
      <c r="L70" s="12">
        <f t="shared" si="17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-6.4126481902349042E-13</v>
      </c>
      <c r="U70" s="129"/>
      <c r="V70" s="12">
        <f t="shared" si="18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  <c r="AE70" s="129"/>
      <c r="AF70" s="12">
        <f t="shared" si="19"/>
        <v>464</v>
      </c>
      <c r="AG70" s="15"/>
      <c r="AH70" s="62"/>
      <c r="AI70" s="245"/>
      <c r="AJ70" s="72">
        <f t="shared" si="3"/>
        <v>0</v>
      </c>
      <c r="AK70" s="73"/>
      <c r="AL70" s="74"/>
      <c r="AM70" s="110">
        <f t="shared" si="11"/>
        <v>13991.680000000002</v>
      </c>
    </row>
    <row r="71" spans="1:39" x14ac:dyDescent="0.25">
      <c r="A71" s="129"/>
      <c r="B71" s="12">
        <f t="shared" si="1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5"/>
        <v>-1.3073986337985843E-12</v>
      </c>
      <c r="K71" s="129"/>
      <c r="L71" s="12">
        <f t="shared" si="17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-6.4126481902349042E-13</v>
      </c>
      <c r="U71" s="129"/>
      <c r="V71" s="12">
        <f t="shared" si="18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  <c r="AE71" s="129"/>
      <c r="AF71" s="12">
        <f t="shared" si="19"/>
        <v>464</v>
      </c>
      <c r="AG71" s="15"/>
      <c r="AH71" s="62"/>
      <c r="AI71" s="245"/>
      <c r="AJ71" s="72">
        <f t="shared" si="3"/>
        <v>0</v>
      </c>
      <c r="AK71" s="73"/>
      <c r="AL71" s="74"/>
      <c r="AM71" s="110">
        <f t="shared" si="11"/>
        <v>13991.680000000002</v>
      </c>
    </row>
    <row r="72" spans="1:39" x14ac:dyDescent="0.25">
      <c r="A72" s="129"/>
      <c r="B72" s="12">
        <f t="shared" si="1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5"/>
        <v>-1.3073986337985843E-12</v>
      </c>
      <c r="K72" s="129"/>
      <c r="L72" s="12">
        <f t="shared" si="17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-6.4126481902349042E-13</v>
      </c>
      <c r="U72" s="129"/>
      <c r="V72" s="12">
        <f t="shared" si="18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  <c r="AE72" s="129"/>
      <c r="AF72" s="12">
        <f t="shared" si="19"/>
        <v>464</v>
      </c>
      <c r="AG72" s="15"/>
      <c r="AH72" s="62"/>
      <c r="AI72" s="245"/>
      <c r="AJ72" s="72">
        <f t="shared" si="3"/>
        <v>0</v>
      </c>
      <c r="AK72" s="73"/>
      <c r="AL72" s="74"/>
      <c r="AM72" s="110">
        <f t="shared" si="11"/>
        <v>13991.680000000002</v>
      </c>
    </row>
    <row r="73" spans="1:39" x14ac:dyDescent="0.25">
      <c r="A73" s="129"/>
      <c r="B73" s="12">
        <f t="shared" si="16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5"/>
        <v>-1.3073986337985843E-12</v>
      </c>
      <c r="K73" s="129"/>
      <c r="L73" s="12">
        <f t="shared" si="17"/>
        <v>0</v>
      </c>
      <c r="M73" s="15"/>
      <c r="N73" s="62"/>
      <c r="O73" s="245"/>
      <c r="P73" s="72">
        <f t="shared" si="1"/>
        <v>0</v>
      </c>
      <c r="Q73" s="73"/>
      <c r="R73" s="74"/>
      <c r="S73" s="110">
        <f t="shared" si="7"/>
        <v>-6.4126481902349042E-13</v>
      </c>
      <c r="U73" s="129"/>
      <c r="V73" s="12">
        <f t="shared" si="18"/>
        <v>0</v>
      </c>
      <c r="W73" s="15"/>
      <c r="X73" s="62"/>
      <c r="Y73" s="245"/>
      <c r="Z73" s="72">
        <f t="shared" si="2"/>
        <v>0</v>
      </c>
      <c r="AA73" s="73"/>
      <c r="AB73" s="74"/>
      <c r="AC73" s="110">
        <f t="shared" si="9"/>
        <v>0</v>
      </c>
      <c r="AE73" s="129"/>
      <c r="AF73" s="12">
        <f t="shared" si="19"/>
        <v>464</v>
      </c>
      <c r="AG73" s="15"/>
      <c r="AH73" s="62"/>
      <c r="AI73" s="245"/>
      <c r="AJ73" s="72">
        <f t="shared" si="3"/>
        <v>0</v>
      </c>
      <c r="AK73" s="73"/>
      <c r="AL73" s="74"/>
      <c r="AM73" s="110">
        <f t="shared" si="11"/>
        <v>13991.680000000002</v>
      </c>
    </row>
    <row r="74" spans="1:39" x14ac:dyDescent="0.25">
      <c r="A74" s="129"/>
      <c r="B74" s="12">
        <f t="shared" si="16"/>
        <v>0</v>
      </c>
      <c r="C74" s="15"/>
      <c r="D74" s="62"/>
      <c r="E74" s="245"/>
      <c r="F74" s="72">
        <f t="shared" ref="F74" si="20">D74</f>
        <v>0</v>
      </c>
      <c r="G74" s="73"/>
      <c r="H74" s="74"/>
      <c r="I74" s="110">
        <f t="shared" si="5"/>
        <v>-1.3073986337985843E-12</v>
      </c>
      <c r="K74" s="129"/>
      <c r="L74" s="12">
        <f t="shared" si="17"/>
        <v>0</v>
      </c>
      <c r="M74" s="15"/>
      <c r="N74" s="62"/>
      <c r="O74" s="245"/>
      <c r="P74" s="72">
        <f t="shared" ref="P74" si="21">N74</f>
        <v>0</v>
      </c>
      <c r="Q74" s="73"/>
      <c r="R74" s="74"/>
      <c r="S74" s="110">
        <f t="shared" si="7"/>
        <v>-6.4126481902349042E-13</v>
      </c>
      <c r="U74" s="129"/>
      <c r="V74" s="12">
        <f t="shared" si="18"/>
        <v>0</v>
      </c>
      <c r="W74" s="15"/>
      <c r="X74" s="62"/>
      <c r="Y74" s="245"/>
      <c r="Z74" s="72">
        <f t="shared" ref="Z74" si="22">X74</f>
        <v>0</v>
      </c>
      <c r="AA74" s="73"/>
      <c r="AB74" s="74"/>
      <c r="AC74" s="110">
        <f t="shared" si="9"/>
        <v>0</v>
      </c>
      <c r="AE74" s="129"/>
      <c r="AF74" s="12">
        <f t="shared" si="19"/>
        <v>464</v>
      </c>
      <c r="AG74" s="15"/>
      <c r="AH74" s="62"/>
      <c r="AI74" s="245"/>
      <c r="AJ74" s="72">
        <f t="shared" ref="AJ74" si="23">AH74</f>
        <v>0</v>
      </c>
      <c r="AK74" s="73"/>
      <c r="AL74" s="74"/>
      <c r="AM74" s="110">
        <f t="shared" si="11"/>
        <v>13991.680000000002</v>
      </c>
    </row>
    <row r="75" spans="1:39" x14ac:dyDescent="0.25">
      <c r="A75" s="129"/>
      <c r="B75" s="12">
        <f t="shared" si="1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5"/>
        <v>-1.3073986337985843E-12</v>
      </c>
      <c r="K75" s="129"/>
      <c r="L75" s="12">
        <f t="shared" si="17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si="7"/>
        <v>-6.4126481902349042E-13</v>
      </c>
      <c r="U75" s="129"/>
      <c r="V75" s="12">
        <f t="shared" si="18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si="9"/>
        <v>0</v>
      </c>
      <c r="AE75" s="129"/>
      <c r="AF75" s="12">
        <f t="shared" si="19"/>
        <v>464</v>
      </c>
      <c r="AG75" s="15"/>
      <c r="AH75" s="62"/>
      <c r="AI75" s="245"/>
      <c r="AJ75" s="72">
        <f>AH75</f>
        <v>0</v>
      </c>
      <c r="AK75" s="73"/>
      <c r="AL75" s="74"/>
      <c r="AM75" s="110">
        <f t="shared" si="11"/>
        <v>13991.680000000002</v>
      </c>
    </row>
    <row r="76" spans="1:39" x14ac:dyDescent="0.25">
      <c r="A76" s="129"/>
      <c r="B76" s="12">
        <f t="shared" si="16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24">I75-F76</f>
        <v>-1.3073986337985843E-12</v>
      </c>
      <c r="K76" s="129"/>
      <c r="L76" s="12">
        <f t="shared" si="17"/>
        <v>0</v>
      </c>
      <c r="M76" s="15"/>
      <c r="N76" s="62"/>
      <c r="O76" s="245"/>
      <c r="P76" s="72">
        <f>N76</f>
        <v>0</v>
      </c>
      <c r="Q76" s="73"/>
      <c r="R76" s="74"/>
      <c r="S76" s="110">
        <f t="shared" ref="S76:S77" si="25">S75-P76</f>
        <v>-6.4126481902349042E-13</v>
      </c>
      <c r="U76" s="129"/>
      <c r="V76" s="12">
        <f t="shared" si="18"/>
        <v>0</v>
      </c>
      <c r="W76" s="15"/>
      <c r="X76" s="62"/>
      <c r="Y76" s="245"/>
      <c r="Z76" s="72">
        <f>X76</f>
        <v>0</v>
      </c>
      <c r="AA76" s="73"/>
      <c r="AB76" s="74"/>
      <c r="AC76" s="110">
        <f t="shared" ref="AC76:AC77" si="26">AC75-Z76</f>
        <v>0</v>
      </c>
      <c r="AE76" s="129"/>
      <c r="AF76" s="12">
        <f t="shared" si="19"/>
        <v>464</v>
      </c>
      <c r="AG76" s="15"/>
      <c r="AH76" s="62"/>
      <c r="AI76" s="245"/>
      <c r="AJ76" s="72">
        <f>AH76</f>
        <v>0</v>
      </c>
      <c r="AK76" s="73"/>
      <c r="AL76" s="74"/>
      <c r="AM76" s="110">
        <f t="shared" ref="AM76:AM77" si="27">AM75-AJ76</f>
        <v>13991.680000000002</v>
      </c>
    </row>
    <row r="77" spans="1:3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24"/>
        <v>-1.3073986337985843E-12</v>
      </c>
      <c r="K77" s="129"/>
      <c r="M77" s="15"/>
      <c r="N77" s="62"/>
      <c r="O77" s="245"/>
      <c r="P77" s="72">
        <f>N77</f>
        <v>0</v>
      </c>
      <c r="Q77" s="73"/>
      <c r="R77" s="74"/>
      <c r="S77" s="110">
        <f t="shared" si="25"/>
        <v>-6.4126481902349042E-13</v>
      </c>
      <c r="U77" s="129"/>
      <c r="W77" s="15"/>
      <c r="X77" s="62"/>
      <c r="Y77" s="245"/>
      <c r="Z77" s="72">
        <f>X77</f>
        <v>0</v>
      </c>
      <c r="AA77" s="73"/>
      <c r="AB77" s="74"/>
      <c r="AC77" s="110">
        <f t="shared" si="26"/>
        <v>0</v>
      </c>
      <c r="AE77" s="129"/>
      <c r="AG77" s="15"/>
      <c r="AH77" s="62"/>
      <c r="AI77" s="245"/>
      <c r="AJ77" s="72">
        <f>AH77</f>
        <v>0</v>
      </c>
      <c r="AK77" s="73"/>
      <c r="AL77" s="74"/>
      <c r="AM77" s="110">
        <f t="shared" si="27"/>
        <v>13991.680000000002</v>
      </c>
    </row>
    <row r="78" spans="1:39" ht="15.75" thickBot="1" x14ac:dyDescent="0.3">
      <c r="A78" s="129"/>
      <c r="B78" s="16"/>
      <c r="C78" s="54"/>
      <c r="D78" s="112"/>
      <c r="E78" s="226"/>
      <c r="F78" s="108"/>
      <c r="G78" s="109"/>
      <c r="H78" s="63"/>
      <c r="K78" s="129"/>
      <c r="L78" s="16"/>
      <c r="M78" s="54"/>
      <c r="N78" s="112"/>
      <c r="O78" s="226"/>
      <c r="P78" s="108"/>
      <c r="Q78" s="109"/>
      <c r="R78" s="63"/>
      <c r="U78" s="129"/>
      <c r="V78" s="16"/>
      <c r="W78" s="54"/>
      <c r="X78" s="112"/>
      <c r="Y78" s="226"/>
      <c r="Z78" s="108"/>
      <c r="AA78" s="109"/>
      <c r="AB78" s="63"/>
      <c r="AE78" s="129"/>
      <c r="AF78" s="16"/>
      <c r="AG78" s="54"/>
      <c r="AH78" s="112"/>
      <c r="AI78" s="226"/>
      <c r="AJ78" s="108"/>
      <c r="AK78" s="109"/>
      <c r="AL78" s="63"/>
    </row>
    <row r="79" spans="1:39" x14ac:dyDescent="0.25">
      <c r="C79" s="55">
        <f>SUM(C10:C78)</f>
        <v>300</v>
      </c>
      <c r="D79" s="6">
        <f>SUM(D10:D78)</f>
        <v>9127.619999999999</v>
      </c>
      <c r="F79" s="6">
        <f>SUM(F10:F78)</f>
        <v>9588.7899999999991</v>
      </c>
      <c r="M79" s="55">
        <f>SUM(M10:M78)</f>
        <v>195</v>
      </c>
      <c r="N79" s="6">
        <f>SUM(N10:N78)</f>
        <v>5914.8300000000008</v>
      </c>
      <c r="P79" s="6">
        <f>SUM(P10:P78)</f>
        <v>5917.1600000000008</v>
      </c>
      <c r="W79" s="55">
        <f>SUM(W10:W78)</f>
        <v>20</v>
      </c>
      <c r="X79" s="6">
        <f>SUM(X10:X78)</f>
        <v>541.79999999999995</v>
      </c>
      <c r="Z79" s="6">
        <f>SUM(Z10:Z78)</f>
        <v>541.79999999999995</v>
      </c>
      <c r="AG79" s="55">
        <f>SUM(AG10:AG78)</f>
        <v>160</v>
      </c>
      <c r="AH79" s="6">
        <f>SUM(AH10:AH78)</f>
        <v>4913.25</v>
      </c>
      <c r="AJ79" s="6">
        <f>SUM(AJ10:AJ78)</f>
        <v>4913.25</v>
      </c>
    </row>
    <row r="81" spans="3:36" ht="15.75" thickBot="1" x14ac:dyDescent="0.3"/>
    <row r="82" spans="3:3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0</v>
      </c>
      <c r="X82" s="46" t="s">
        <v>4</v>
      </c>
      <c r="Y82" s="59">
        <f>Z5+Z6-W79+Z7</f>
        <v>0</v>
      </c>
      <c r="AH82" s="46" t="s">
        <v>4</v>
      </c>
      <c r="AI82" s="59">
        <f>AJ5+AJ6-AG79+AJ7</f>
        <v>464</v>
      </c>
    </row>
    <row r="83" spans="3:36" ht="15.75" thickBot="1" x14ac:dyDescent="0.3"/>
    <row r="84" spans="3:36" ht="15.75" thickBot="1" x14ac:dyDescent="0.3">
      <c r="C84" s="1120" t="s">
        <v>11</v>
      </c>
      <c r="D84" s="1121"/>
      <c r="E84" s="60">
        <f>E5+E6-F79+E7</f>
        <v>0</v>
      </c>
      <c r="F84" s="76"/>
      <c r="M84" s="1120" t="s">
        <v>11</v>
      </c>
      <c r="N84" s="1121"/>
      <c r="O84" s="60">
        <f>O5+O6-P79+O7</f>
        <v>-9.0949470177292824E-13</v>
      </c>
      <c r="P84" s="76"/>
      <c r="W84" s="1120" t="s">
        <v>11</v>
      </c>
      <c r="X84" s="1121"/>
      <c r="Y84" s="60">
        <f>Y5+Y6-Z79+Y7</f>
        <v>0</v>
      </c>
      <c r="Z84" s="76"/>
      <c r="AG84" s="1120" t="s">
        <v>11</v>
      </c>
      <c r="AH84" s="1121"/>
      <c r="AI84" s="60">
        <f>AI5+AI6-AJ79+AI7</f>
        <v>13991.68</v>
      </c>
      <c r="AJ84" s="76"/>
    </row>
  </sheetData>
  <mergeCells count="15">
    <mergeCell ref="A1:G1"/>
    <mergeCell ref="B4:B6"/>
    <mergeCell ref="C84:D84"/>
    <mergeCell ref="K1:Q1"/>
    <mergeCell ref="L4:L6"/>
    <mergeCell ref="M84:N84"/>
    <mergeCell ref="K5:K6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15"/>
      <c r="B5" s="1116"/>
      <c r="C5" s="297"/>
      <c r="D5" s="273"/>
      <c r="E5" s="285"/>
      <c r="F5" s="279"/>
      <c r="G5" s="286"/>
    </row>
    <row r="6" spans="1:9" x14ac:dyDescent="0.25">
      <c r="A6" s="1115"/>
      <c r="B6" s="1116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115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16"/>
      <c r="B5" s="1130" t="s">
        <v>122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16"/>
      <c r="B6" s="1130"/>
      <c r="C6" s="890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24" t="s">
        <v>265</v>
      </c>
      <c r="B1" s="1124"/>
      <c r="C1" s="1124"/>
      <c r="D1" s="1124"/>
      <c r="E1" s="1124"/>
      <c r="F1" s="1124"/>
      <c r="G1" s="112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4" t="s">
        <v>141</v>
      </c>
      <c r="B5" s="934" t="s">
        <v>138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5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77"/>
      <c r="B8" s="1078" t="s">
        <v>569</v>
      </c>
      <c r="C8" s="55"/>
      <c r="D8" s="72">
        <v>0</v>
      </c>
      <c r="E8" s="948">
        <v>44340</v>
      </c>
      <c r="F8" s="949">
        <f t="shared" ref="F8:F35" si="0">D8</f>
        <v>0</v>
      </c>
      <c r="G8" s="950" t="s">
        <v>156</v>
      </c>
      <c r="H8" s="951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162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163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165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7">
        <v>19.03</v>
      </c>
      <c r="E13" s="922">
        <v>44358</v>
      </c>
      <c r="F13" s="923">
        <f t="shared" si="0"/>
        <v>19.03</v>
      </c>
      <c r="G13" s="758" t="s">
        <v>174</v>
      </c>
      <c r="H13" s="759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7">
        <v>188.13</v>
      </c>
      <c r="E14" s="922">
        <v>44362</v>
      </c>
      <c r="F14" s="923">
        <f t="shared" si="0"/>
        <v>188.13</v>
      </c>
      <c r="G14" s="758" t="s">
        <v>189</v>
      </c>
      <c r="H14" s="759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7">
        <v>37.03</v>
      </c>
      <c r="E15" s="922">
        <v>44363</v>
      </c>
      <c r="F15" s="923">
        <f t="shared" si="0"/>
        <v>37.03</v>
      </c>
      <c r="G15" s="758" t="s">
        <v>192</v>
      </c>
      <c r="H15" s="759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7">
        <v>186.63</v>
      </c>
      <c r="E16" s="922">
        <v>44369</v>
      </c>
      <c r="F16" s="923">
        <f t="shared" si="0"/>
        <v>186.63</v>
      </c>
      <c r="G16" s="758" t="s">
        <v>207</v>
      </c>
      <c r="H16" s="759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7">
        <v>37.25</v>
      </c>
      <c r="E17" s="922">
        <v>44373</v>
      </c>
      <c r="F17" s="923">
        <f t="shared" si="0"/>
        <v>37.25</v>
      </c>
      <c r="G17" s="758" t="s">
        <v>228</v>
      </c>
      <c r="H17" s="759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59">
        <v>44382</v>
      </c>
      <c r="F18" s="1038">
        <f t="shared" si="0"/>
        <v>144.41999999999999</v>
      </c>
      <c r="G18" s="546" t="s">
        <v>405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59">
        <v>44385</v>
      </c>
      <c r="F19" s="1038">
        <f t="shared" si="0"/>
        <v>34.340000000000003</v>
      </c>
      <c r="G19" s="546" t="s">
        <v>441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59">
        <v>44393</v>
      </c>
      <c r="F20" s="1038">
        <f t="shared" si="0"/>
        <v>177.64</v>
      </c>
      <c r="G20" s="546" t="s">
        <v>487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59">
        <v>44394</v>
      </c>
      <c r="F21" s="1038">
        <f t="shared" si="0"/>
        <v>18.86</v>
      </c>
      <c r="G21" s="546" t="s">
        <v>490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59">
        <v>44397</v>
      </c>
      <c r="F22" s="1038">
        <f t="shared" si="0"/>
        <v>180.47</v>
      </c>
      <c r="G22" s="636" t="s">
        <v>506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59">
        <v>44398</v>
      </c>
      <c r="F23" s="1038">
        <f t="shared" si="0"/>
        <v>92.88</v>
      </c>
      <c r="G23" s="636" t="s">
        <v>518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59">
        <v>44407</v>
      </c>
      <c r="F24" s="1038">
        <f t="shared" si="0"/>
        <v>181.5</v>
      </c>
      <c r="G24" s="636" t="s">
        <v>561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545">
        <f t="shared" ref="D25:D35" si="2">C25*B25</f>
        <v>0</v>
      </c>
      <c r="E25" s="959"/>
      <c r="F25" s="1038">
        <f t="shared" si="0"/>
        <v>0</v>
      </c>
      <c r="G25" s="636"/>
      <c r="H25" s="637"/>
      <c r="I25" s="295">
        <f t="shared" si="1"/>
        <v>222.76000000000033</v>
      </c>
    </row>
    <row r="26" spans="1:9" ht="15" customHeight="1" x14ac:dyDescent="0.25">
      <c r="B26" s="312"/>
      <c r="C26" s="15"/>
      <c r="D26" s="545">
        <f t="shared" si="2"/>
        <v>0</v>
      </c>
      <c r="E26" s="959"/>
      <c r="F26" s="1038">
        <f t="shared" si="0"/>
        <v>0</v>
      </c>
      <c r="G26" s="636"/>
      <c r="H26" s="637"/>
      <c r="I26" s="295">
        <f t="shared" si="1"/>
        <v>222.76000000000033</v>
      </c>
    </row>
    <row r="27" spans="1:9" ht="15" customHeight="1" x14ac:dyDescent="0.25">
      <c r="B27" s="312"/>
      <c r="C27" s="15"/>
      <c r="D27" s="545">
        <f t="shared" si="2"/>
        <v>0</v>
      </c>
      <c r="E27" s="959"/>
      <c r="F27" s="1038">
        <f t="shared" si="0"/>
        <v>0</v>
      </c>
      <c r="G27" s="636"/>
      <c r="H27" s="637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545">
        <f t="shared" si="2"/>
        <v>0</v>
      </c>
      <c r="E28" s="959"/>
      <c r="F28" s="1038">
        <f t="shared" si="0"/>
        <v>0</v>
      </c>
      <c r="G28" s="636"/>
      <c r="H28" s="637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545">
        <f t="shared" si="2"/>
        <v>0</v>
      </c>
      <c r="E29" s="959"/>
      <c r="F29" s="1038">
        <f t="shared" si="0"/>
        <v>0</v>
      </c>
      <c r="G29" s="546"/>
      <c r="H29" s="63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545">
        <f t="shared" si="2"/>
        <v>0</v>
      </c>
      <c r="E30" s="959"/>
      <c r="F30" s="1038">
        <f t="shared" si="0"/>
        <v>0</v>
      </c>
      <c r="G30" s="546"/>
      <c r="H30" s="63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777">
        <f t="shared" si="2"/>
        <v>0</v>
      </c>
      <c r="E31" s="922"/>
      <c r="F31" s="923">
        <f t="shared" si="0"/>
        <v>0</v>
      </c>
      <c r="G31" s="758"/>
      <c r="H31" s="759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777">
        <f t="shared" si="2"/>
        <v>0</v>
      </c>
      <c r="E32" s="922"/>
      <c r="F32" s="923">
        <f t="shared" si="0"/>
        <v>0</v>
      </c>
      <c r="G32" s="758"/>
      <c r="H32" s="759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777">
        <f t="shared" si="2"/>
        <v>0</v>
      </c>
      <c r="E33" s="922"/>
      <c r="F33" s="923">
        <f t="shared" si="0"/>
        <v>0</v>
      </c>
      <c r="G33" s="758"/>
      <c r="H33" s="759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777">
        <f t="shared" si="2"/>
        <v>0</v>
      </c>
      <c r="E34" s="922"/>
      <c r="F34" s="923">
        <f t="shared" si="0"/>
        <v>0</v>
      </c>
      <c r="G34" s="758"/>
      <c r="H34" s="759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109" t="s">
        <v>21</v>
      </c>
      <c r="E38" s="1110"/>
      <c r="F38" s="150">
        <f>E4+E5-F36+E6</f>
        <v>222.76</v>
      </c>
    </row>
    <row r="39" spans="1:9" ht="15.75" thickBot="1" x14ac:dyDescent="0.3">
      <c r="A39" s="132"/>
      <c r="D39" s="932" t="s">
        <v>4</v>
      </c>
      <c r="E39" s="933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18"/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16"/>
      <c r="B5" s="1131" t="s">
        <v>104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16"/>
      <c r="B6" s="1132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3"/>
      <c r="I8" s="953">
        <f>E4+E5+E6-F8</f>
        <v>0</v>
      </c>
      <c r="J8" s="854">
        <f>H8*F8</f>
        <v>0</v>
      </c>
    </row>
    <row r="9" spans="1:10" ht="15.75" x14ac:dyDescent="0.25">
      <c r="B9" s="211">
        <f>B8-C9</f>
        <v>0</v>
      </c>
      <c r="C9" s="855"/>
      <c r="D9" s="423">
        <v>0</v>
      </c>
      <c r="E9" s="359"/>
      <c r="F9" s="954">
        <f t="shared" si="0"/>
        <v>0</v>
      </c>
      <c r="G9" s="291"/>
      <c r="H9" s="314"/>
      <c r="I9" s="955">
        <f>I8-F9</f>
        <v>0</v>
      </c>
      <c r="J9" s="859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5"/>
      <c r="D10" s="423">
        <f t="shared" ref="D10:D18" si="3">C10*B10</f>
        <v>0</v>
      </c>
      <c r="E10" s="359"/>
      <c r="F10" s="954">
        <f t="shared" si="0"/>
        <v>0</v>
      </c>
      <c r="G10" s="291"/>
      <c r="H10" s="314"/>
      <c r="I10" s="955">
        <f t="shared" ref="I10:I38" si="4">I9-F10</f>
        <v>0</v>
      </c>
      <c r="J10" s="952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5"/>
      <c r="D11" s="423">
        <f t="shared" si="3"/>
        <v>0</v>
      </c>
      <c r="E11" s="359"/>
      <c r="F11" s="954">
        <f t="shared" si="0"/>
        <v>0</v>
      </c>
      <c r="G11" s="291"/>
      <c r="H11" s="314"/>
      <c r="I11" s="955">
        <f t="shared" si="4"/>
        <v>0</v>
      </c>
      <c r="J11" s="952">
        <f t="shared" si="1"/>
        <v>0</v>
      </c>
    </row>
    <row r="12" spans="1:10" ht="15.75" x14ac:dyDescent="0.25">
      <c r="B12" s="211">
        <f t="shared" si="2"/>
        <v>0</v>
      </c>
      <c r="C12" s="855"/>
      <c r="D12" s="423">
        <f t="shared" si="3"/>
        <v>0</v>
      </c>
      <c r="E12" s="359"/>
      <c r="F12" s="954">
        <f t="shared" si="0"/>
        <v>0</v>
      </c>
      <c r="G12" s="291"/>
      <c r="H12" s="314"/>
      <c r="I12" s="955">
        <f t="shared" si="4"/>
        <v>0</v>
      </c>
      <c r="J12" s="952">
        <f t="shared" si="1"/>
        <v>0</v>
      </c>
    </row>
    <row r="13" spans="1:10" ht="15.75" x14ac:dyDescent="0.25">
      <c r="A13" s="19"/>
      <c r="B13" s="211">
        <f t="shared" si="2"/>
        <v>0</v>
      </c>
      <c r="C13" s="856"/>
      <c r="D13" s="423">
        <f t="shared" si="3"/>
        <v>0</v>
      </c>
      <c r="E13" s="359"/>
      <c r="F13" s="954">
        <f t="shared" si="0"/>
        <v>0</v>
      </c>
      <c r="G13" s="291"/>
      <c r="H13" s="314"/>
      <c r="I13" s="955">
        <f t="shared" si="4"/>
        <v>0</v>
      </c>
      <c r="J13" s="952">
        <f t="shared" si="1"/>
        <v>0</v>
      </c>
    </row>
    <row r="14" spans="1:10" ht="15.75" x14ac:dyDescent="0.25">
      <c r="B14" s="211">
        <f t="shared" si="2"/>
        <v>0</v>
      </c>
      <c r="C14" s="855"/>
      <c r="D14" s="423">
        <f t="shared" si="3"/>
        <v>0</v>
      </c>
      <c r="E14" s="359"/>
      <c r="F14" s="857">
        <f t="shared" si="0"/>
        <v>0</v>
      </c>
      <c r="G14" s="291"/>
      <c r="H14" s="314"/>
      <c r="I14" s="955">
        <f t="shared" si="4"/>
        <v>0</v>
      </c>
      <c r="J14" s="859">
        <f t="shared" si="1"/>
        <v>0</v>
      </c>
    </row>
    <row r="15" spans="1:10" ht="15.75" x14ac:dyDescent="0.25">
      <c r="B15" s="211">
        <f t="shared" si="2"/>
        <v>0</v>
      </c>
      <c r="C15" s="855"/>
      <c r="D15" s="423">
        <f t="shared" si="3"/>
        <v>0</v>
      </c>
      <c r="E15" s="359"/>
      <c r="F15" s="857">
        <f t="shared" si="0"/>
        <v>0</v>
      </c>
      <c r="G15" s="73"/>
      <c r="H15" s="729"/>
      <c r="I15" s="956">
        <f t="shared" si="4"/>
        <v>0</v>
      </c>
      <c r="J15" s="859">
        <f t="shared" si="1"/>
        <v>0</v>
      </c>
    </row>
    <row r="16" spans="1:10" ht="15.75" x14ac:dyDescent="0.25">
      <c r="B16" s="211">
        <f t="shared" si="2"/>
        <v>0</v>
      </c>
      <c r="C16" s="855"/>
      <c r="D16" s="423">
        <f t="shared" si="3"/>
        <v>0</v>
      </c>
      <c r="E16" s="359"/>
      <c r="F16" s="857">
        <f>D16</f>
        <v>0</v>
      </c>
      <c r="G16" s="73"/>
      <c r="H16" s="729"/>
      <c r="I16" s="956">
        <f t="shared" si="4"/>
        <v>0</v>
      </c>
      <c r="J16" s="859">
        <f t="shared" si="1"/>
        <v>0</v>
      </c>
    </row>
    <row r="17" spans="1:10" ht="15.75" x14ac:dyDescent="0.25">
      <c r="B17" s="211">
        <f t="shared" si="2"/>
        <v>0</v>
      </c>
      <c r="C17" s="855"/>
      <c r="D17" s="423">
        <f t="shared" si="3"/>
        <v>0</v>
      </c>
      <c r="E17" s="359"/>
      <c r="F17" s="857">
        <f>D17</f>
        <v>0</v>
      </c>
      <c r="G17" s="73"/>
      <c r="H17" s="729"/>
      <c r="I17" s="956">
        <f t="shared" si="4"/>
        <v>0</v>
      </c>
      <c r="J17" s="859">
        <f t="shared" si="1"/>
        <v>0</v>
      </c>
    </row>
    <row r="18" spans="1:10" ht="15.75" x14ac:dyDescent="0.25">
      <c r="B18" s="211">
        <f t="shared" si="2"/>
        <v>0</v>
      </c>
      <c r="C18" s="855"/>
      <c r="D18" s="423">
        <f t="shared" si="3"/>
        <v>0</v>
      </c>
      <c r="E18" s="359"/>
      <c r="F18" s="857">
        <f t="shared" ref="F18:F39" si="5">D18</f>
        <v>0</v>
      </c>
      <c r="G18" s="73"/>
      <c r="H18" s="729"/>
      <c r="I18" s="956">
        <f t="shared" si="4"/>
        <v>0</v>
      </c>
      <c r="J18" s="859">
        <f t="shared" si="1"/>
        <v>0</v>
      </c>
    </row>
    <row r="19" spans="1:10" ht="15.75" x14ac:dyDescent="0.25">
      <c r="B19" s="211">
        <f t="shared" si="2"/>
        <v>0</v>
      </c>
      <c r="C19" s="855"/>
      <c r="D19" s="423">
        <f t="shared" ref="D19:D39" si="6">C19*B19</f>
        <v>0</v>
      </c>
      <c r="E19" s="359"/>
      <c r="F19" s="857">
        <f t="shared" si="5"/>
        <v>0</v>
      </c>
      <c r="G19" s="291"/>
      <c r="H19" s="314"/>
      <c r="I19" s="955">
        <f t="shared" si="4"/>
        <v>0</v>
      </c>
      <c r="J19" s="859">
        <f t="shared" si="1"/>
        <v>0</v>
      </c>
    </row>
    <row r="20" spans="1:10" ht="15.75" x14ac:dyDescent="0.25">
      <c r="B20" s="211">
        <f t="shared" si="2"/>
        <v>0</v>
      </c>
      <c r="C20" s="855"/>
      <c r="D20" s="423">
        <f t="shared" si="6"/>
        <v>0</v>
      </c>
      <c r="E20" s="359"/>
      <c r="F20" s="857">
        <f t="shared" si="5"/>
        <v>0</v>
      </c>
      <c r="G20" s="291"/>
      <c r="H20" s="314"/>
      <c r="I20" s="955">
        <f t="shared" si="4"/>
        <v>0</v>
      </c>
      <c r="J20" s="859">
        <f t="shared" si="1"/>
        <v>0</v>
      </c>
    </row>
    <row r="21" spans="1:10" ht="15.75" x14ac:dyDescent="0.25">
      <c r="B21" s="211">
        <f t="shared" si="2"/>
        <v>0</v>
      </c>
      <c r="C21" s="855"/>
      <c r="D21" s="423">
        <f t="shared" si="6"/>
        <v>0</v>
      </c>
      <c r="E21" s="359"/>
      <c r="F21" s="857">
        <f t="shared" si="5"/>
        <v>0</v>
      </c>
      <c r="G21" s="291"/>
      <c r="H21" s="314"/>
      <c r="I21" s="955">
        <f t="shared" si="4"/>
        <v>0</v>
      </c>
      <c r="J21" s="859">
        <f t="shared" si="1"/>
        <v>0</v>
      </c>
    </row>
    <row r="22" spans="1:10" ht="15.75" x14ac:dyDescent="0.25">
      <c r="B22" s="211">
        <f t="shared" si="2"/>
        <v>0</v>
      </c>
      <c r="C22" s="855"/>
      <c r="D22" s="423">
        <f t="shared" si="6"/>
        <v>0</v>
      </c>
      <c r="E22" s="359"/>
      <c r="F22" s="857">
        <f t="shared" si="5"/>
        <v>0</v>
      </c>
      <c r="G22" s="291"/>
      <c r="H22" s="314"/>
      <c r="I22" s="955">
        <f t="shared" si="4"/>
        <v>0</v>
      </c>
      <c r="J22" s="859">
        <f t="shared" si="1"/>
        <v>0</v>
      </c>
    </row>
    <row r="23" spans="1:10" ht="15.75" x14ac:dyDescent="0.25">
      <c r="B23" s="211">
        <f t="shared" si="2"/>
        <v>0</v>
      </c>
      <c r="C23" s="855"/>
      <c r="D23" s="423">
        <f t="shared" si="6"/>
        <v>0</v>
      </c>
      <c r="E23" s="359"/>
      <c r="F23" s="857">
        <f t="shared" si="5"/>
        <v>0</v>
      </c>
      <c r="G23" s="291"/>
      <c r="H23" s="314"/>
      <c r="I23" s="955">
        <f t="shared" si="4"/>
        <v>0</v>
      </c>
      <c r="J23" s="859">
        <f t="shared" si="1"/>
        <v>0</v>
      </c>
    </row>
    <row r="24" spans="1:10" ht="15.75" x14ac:dyDescent="0.25">
      <c r="B24" s="211">
        <f t="shared" si="2"/>
        <v>0</v>
      </c>
      <c r="C24" s="855"/>
      <c r="D24" s="423">
        <f t="shared" si="6"/>
        <v>0</v>
      </c>
      <c r="E24" s="359"/>
      <c r="F24" s="857">
        <f t="shared" si="5"/>
        <v>0</v>
      </c>
      <c r="G24" s="291"/>
      <c r="H24" s="314"/>
      <c r="I24" s="955">
        <f t="shared" si="4"/>
        <v>0</v>
      </c>
      <c r="J24" s="859">
        <f t="shared" si="1"/>
        <v>0</v>
      </c>
    </row>
    <row r="25" spans="1:10" ht="15.75" x14ac:dyDescent="0.25">
      <c r="B25" s="211">
        <f t="shared" si="2"/>
        <v>0</v>
      </c>
      <c r="C25" s="855"/>
      <c r="D25" s="423">
        <f t="shared" si="6"/>
        <v>0</v>
      </c>
      <c r="E25" s="359"/>
      <c r="F25" s="857">
        <f t="shared" si="5"/>
        <v>0</v>
      </c>
      <c r="G25" s="291"/>
      <c r="H25" s="314"/>
      <c r="I25" s="955">
        <f t="shared" si="4"/>
        <v>0</v>
      </c>
      <c r="J25" s="859">
        <f t="shared" si="1"/>
        <v>0</v>
      </c>
    </row>
    <row r="26" spans="1:10" ht="15.75" x14ac:dyDescent="0.25">
      <c r="B26" s="211">
        <f t="shared" si="2"/>
        <v>0</v>
      </c>
      <c r="C26" s="855"/>
      <c r="D26" s="423">
        <f t="shared" si="6"/>
        <v>0</v>
      </c>
      <c r="E26" s="359"/>
      <c r="F26" s="857">
        <f t="shared" si="5"/>
        <v>0</v>
      </c>
      <c r="G26" s="73"/>
      <c r="H26" s="729"/>
      <c r="I26" s="956">
        <f t="shared" si="4"/>
        <v>0</v>
      </c>
      <c r="J26" s="859">
        <f t="shared" si="1"/>
        <v>0</v>
      </c>
    </row>
    <row r="27" spans="1:10" ht="15.75" x14ac:dyDescent="0.25">
      <c r="B27" s="211">
        <f t="shared" si="2"/>
        <v>0</v>
      </c>
      <c r="C27" s="855"/>
      <c r="D27" s="423">
        <f t="shared" si="6"/>
        <v>0</v>
      </c>
      <c r="E27" s="359"/>
      <c r="F27" s="857">
        <f t="shared" si="5"/>
        <v>0</v>
      </c>
      <c r="G27" s="73"/>
      <c r="H27" s="729"/>
      <c r="I27" s="956">
        <f t="shared" si="4"/>
        <v>0</v>
      </c>
      <c r="J27" s="859">
        <f t="shared" si="1"/>
        <v>0</v>
      </c>
    </row>
    <row r="28" spans="1:10" ht="15.75" x14ac:dyDescent="0.25">
      <c r="B28" s="211">
        <f t="shared" si="2"/>
        <v>0</v>
      </c>
      <c r="C28" s="855"/>
      <c r="D28" s="423">
        <f t="shared" si="6"/>
        <v>0</v>
      </c>
      <c r="E28" s="359"/>
      <c r="F28" s="857">
        <f t="shared" si="5"/>
        <v>0</v>
      </c>
      <c r="G28" s="73"/>
      <c r="H28" s="729"/>
      <c r="I28" s="956">
        <f t="shared" si="4"/>
        <v>0</v>
      </c>
      <c r="J28" s="859">
        <f t="shared" si="1"/>
        <v>0</v>
      </c>
    </row>
    <row r="29" spans="1:10" ht="15.75" x14ac:dyDescent="0.25">
      <c r="A29" s="48"/>
      <c r="B29" s="211">
        <f t="shared" si="2"/>
        <v>0</v>
      </c>
      <c r="C29" s="855"/>
      <c r="D29" s="423">
        <f t="shared" si="6"/>
        <v>0</v>
      </c>
      <c r="E29" s="359"/>
      <c r="F29" s="857">
        <f t="shared" si="5"/>
        <v>0</v>
      </c>
      <c r="G29" s="73"/>
      <c r="H29" s="729"/>
      <c r="I29" s="956">
        <f t="shared" si="4"/>
        <v>0</v>
      </c>
      <c r="J29" s="859">
        <f t="shared" si="1"/>
        <v>0</v>
      </c>
    </row>
    <row r="30" spans="1:10" ht="15.75" x14ac:dyDescent="0.25">
      <c r="A30" s="48"/>
      <c r="B30" s="211">
        <f t="shared" si="2"/>
        <v>0</v>
      </c>
      <c r="C30" s="855"/>
      <c r="D30" s="423">
        <f t="shared" si="6"/>
        <v>0</v>
      </c>
      <c r="E30" s="359"/>
      <c r="F30" s="857">
        <f t="shared" si="5"/>
        <v>0</v>
      </c>
      <c r="G30" s="73"/>
      <c r="H30" s="729"/>
      <c r="I30" s="956">
        <f t="shared" si="4"/>
        <v>0</v>
      </c>
      <c r="J30" s="859">
        <f t="shared" si="1"/>
        <v>0</v>
      </c>
    </row>
    <row r="31" spans="1:10" ht="15.75" x14ac:dyDescent="0.25">
      <c r="A31" s="48"/>
      <c r="B31" s="211">
        <f t="shared" si="2"/>
        <v>0</v>
      </c>
      <c r="C31" s="855"/>
      <c r="D31" s="423">
        <f t="shared" si="6"/>
        <v>0</v>
      </c>
      <c r="E31" s="359"/>
      <c r="F31" s="857">
        <f t="shared" si="5"/>
        <v>0</v>
      </c>
      <c r="G31" s="73"/>
      <c r="H31" s="729"/>
      <c r="I31" s="956">
        <f t="shared" si="4"/>
        <v>0</v>
      </c>
      <c r="J31" s="859">
        <f t="shared" si="1"/>
        <v>0</v>
      </c>
    </row>
    <row r="32" spans="1:10" ht="15.75" x14ac:dyDescent="0.25">
      <c r="A32" s="48"/>
      <c r="B32" s="211">
        <f t="shared" si="2"/>
        <v>0</v>
      </c>
      <c r="C32" s="855"/>
      <c r="D32" s="423">
        <f t="shared" si="6"/>
        <v>0</v>
      </c>
      <c r="E32" s="359"/>
      <c r="F32" s="857">
        <f t="shared" si="5"/>
        <v>0</v>
      </c>
      <c r="G32" s="73"/>
      <c r="H32" s="729"/>
      <c r="I32" s="956">
        <f t="shared" si="4"/>
        <v>0</v>
      </c>
      <c r="J32" s="859">
        <f t="shared" si="1"/>
        <v>0</v>
      </c>
    </row>
    <row r="33" spans="1:10" ht="15.75" x14ac:dyDescent="0.25">
      <c r="A33" s="48"/>
      <c r="B33" s="211">
        <f t="shared" si="2"/>
        <v>0</v>
      </c>
      <c r="C33" s="855"/>
      <c r="D33" s="423">
        <f t="shared" si="6"/>
        <v>0</v>
      </c>
      <c r="E33" s="359"/>
      <c r="F33" s="857">
        <f t="shared" si="5"/>
        <v>0</v>
      </c>
      <c r="G33" s="73"/>
      <c r="H33" s="729"/>
      <c r="I33" s="956">
        <f t="shared" si="4"/>
        <v>0</v>
      </c>
      <c r="J33" s="859">
        <f t="shared" si="1"/>
        <v>0</v>
      </c>
    </row>
    <row r="34" spans="1:10" ht="15.75" x14ac:dyDescent="0.25">
      <c r="A34" s="48"/>
      <c r="B34" s="211">
        <f t="shared" si="2"/>
        <v>0</v>
      </c>
      <c r="C34" s="855"/>
      <c r="D34" s="423">
        <f t="shared" si="6"/>
        <v>0</v>
      </c>
      <c r="E34" s="359"/>
      <c r="F34" s="857">
        <f t="shared" si="5"/>
        <v>0</v>
      </c>
      <c r="G34" s="73"/>
      <c r="H34" s="729"/>
      <c r="I34" s="956">
        <f t="shared" si="4"/>
        <v>0</v>
      </c>
      <c r="J34" s="859">
        <f t="shared" si="1"/>
        <v>0</v>
      </c>
    </row>
    <row r="35" spans="1:10" ht="15.75" x14ac:dyDescent="0.25">
      <c r="A35" s="48"/>
      <c r="B35" s="211">
        <f t="shared" si="2"/>
        <v>0</v>
      </c>
      <c r="C35" s="855"/>
      <c r="D35" s="423">
        <f t="shared" si="6"/>
        <v>0</v>
      </c>
      <c r="E35" s="359"/>
      <c r="F35" s="857">
        <f t="shared" si="5"/>
        <v>0</v>
      </c>
      <c r="G35" s="73"/>
      <c r="H35" s="729"/>
      <c r="I35" s="858">
        <f t="shared" si="4"/>
        <v>0</v>
      </c>
      <c r="J35" s="859">
        <f t="shared" si="1"/>
        <v>0</v>
      </c>
    </row>
    <row r="36" spans="1:10" ht="15.75" x14ac:dyDescent="0.25">
      <c r="A36" s="48"/>
      <c r="B36" s="211">
        <f t="shared" si="2"/>
        <v>0</v>
      </c>
      <c r="C36" s="855"/>
      <c r="D36" s="423">
        <f t="shared" si="6"/>
        <v>0</v>
      </c>
      <c r="E36" s="359"/>
      <c r="F36" s="857">
        <f t="shared" si="5"/>
        <v>0</v>
      </c>
      <c r="G36" s="73"/>
      <c r="H36" s="729"/>
      <c r="I36" s="858">
        <f t="shared" si="4"/>
        <v>0</v>
      </c>
      <c r="J36" s="859">
        <f t="shared" si="1"/>
        <v>0</v>
      </c>
    </row>
    <row r="37" spans="1:10" ht="15.75" x14ac:dyDescent="0.25">
      <c r="A37" s="48"/>
      <c r="B37" s="211">
        <f t="shared" si="2"/>
        <v>0</v>
      </c>
      <c r="C37" s="855"/>
      <c r="D37" s="423">
        <f t="shared" si="6"/>
        <v>0</v>
      </c>
      <c r="E37" s="359"/>
      <c r="F37" s="857">
        <f t="shared" si="5"/>
        <v>0</v>
      </c>
      <c r="G37" s="73"/>
      <c r="H37" s="729"/>
      <c r="I37" s="858">
        <f t="shared" si="4"/>
        <v>0</v>
      </c>
      <c r="J37" s="859">
        <f t="shared" si="1"/>
        <v>0</v>
      </c>
    </row>
    <row r="38" spans="1:10" ht="15.75" x14ac:dyDescent="0.25">
      <c r="A38" s="48"/>
      <c r="B38" s="211">
        <f t="shared" si="2"/>
        <v>0</v>
      </c>
      <c r="C38" s="855"/>
      <c r="D38" s="423">
        <f t="shared" si="6"/>
        <v>0</v>
      </c>
      <c r="E38" s="359"/>
      <c r="F38" s="857">
        <f t="shared" si="5"/>
        <v>0</v>
      </c>
      <c r="G38" s="73"/>
      <c r="H38" s="729"/>
      <c r="I38" s="858">
        <f t="shared" si="4"/>
        <v>0</v>
      </c>
      <c r="J38" s="859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1"/>
      <c r="J39" s="852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109" t="s">
        <v>21</v>
      </c>
      <c r="E42" s="1110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C A N A L E S       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2021-09-06T16:11:30Z</dcterms:modified>
</cp:coreProperties>
</file>