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6" i="38" l="1"/>
  <c r="T126" i="38" s="1"/>
  <c r="S125" i="38"/>
  <c r="T125" i="38" s="1"/>
  <c r="I126" i="38"/>
  <c r="I125" i="38"/>
  <c r="V9" i="65" l="1"/>
  <c r="U9" i="65"/>
  <c r="AM11" i="57"/>
  <c r="AM12" i="57"/>
  <c r="AM13" i="57" s="1"/>
  <c r="AM14" i="57" s="1"/>
  <c r="AM10" i="57"/>
  <c r="AM9" i="57"/>
  <c r="H5" i="130" l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AM9" i="188" l="1"/>
  <c r="AF9" i="188"/>
  <c r="P16" i="57"/>
  <c r="P17" i="57"/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7" i="38"/>
  <c r="T127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7" i="38" l="1"/>
  <c r="I108" i="38" l="1"/>
  <c r="EZ32" i="1" l="1"/>
  <c r="I136" i="38" l="1"/>
  <c r="I135" i="38"/>
  <c r="I13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I145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4" i="38"/>
  <c r="I123" i="38"/>
  <c r="I119" i="38"/>
  <c r="S117" i="38"/>
  <c r="T117" i="38" s="1"/>
  <c r="S118" i="38"/>
  <c r="T118" i="38" s="1"/>
  <c r="S119" i="38"/>
  <c r="T119" i="38" s="1"/>
  <c r="S128" i="38"/>
  <c r="T128" i="38" s="1"/>
  <c r="S129" i="38"/>
  <c r="T129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3" i="38" l="1"/>
  <c r="I144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30" i="38"/>
  <c r="S131" i="38"/>
  <c r="S132" i="38"/>
  <c r="S133" i="38"/>
  <c r="S141" i="38"/>
  <c r="S142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8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1" i="38" l="1"/>
  <c r="I141" i="38"/>
  <c r="S25" i="38" l="1"/>
  <c r="S26" i="38"/>
  <c r="S96" i="38" l="1"/>
  <c r="T96" i="38" s="1"/>
  <c r="S97" i="38"/>
  <c r="T97" i="38" s="1"/>
  <c r="T133" i="38"/>
  <c r="I132" i="38" l="1"/>
  <c r="HT5" i="1" l="1"/>
  <c r="GF5" i="1"/>
  <c r="FV5" i="1"/>
  <c r="EH5" i="1"/>
  <c r="DX5" i="1"/>
  <c r="I6" i="1"/>
  <c r="I113" i="38" l="1"/>
  <c r="I116" i="38"/>
  <c r="I130" i="38"/>
  <c r="I131" i="38"/>
  <c r="I133" i="38"/>
  <c r="I139" i="38"/>
  <c r="I140" i="38"/>
  <c r="I14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T142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9" i="38"/>
  <c r="T68" i="38" l="1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<sst xmlns="http://schemas.openxmlformats.org/spreadsheetml/2006/main" count="4019" uniqueCount="625">
  <si>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</si>
  <si>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</si>
  <si>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</si>
  <si>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</si>
  <si>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</si>
  <si>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</si>
  <si>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</si>
  <si>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</si>
  <si>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</si>
  <si>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</si>
  <si>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</si>
  <si>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</si>
  <si>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</si>
  <si>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</si>
  <si>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</si>
  <si>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</si>
  <si>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</si>
  <si>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</si>
  <si>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</si>
  <si>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</si>
  <si>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</si>
  <si>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</si>
  <si>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</si>
  <si>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</si>
  <si>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</si>
  <si>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</si>
  <si>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</si>
  <si>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</si>
  <si>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</si>
  <si>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</si>
  <si>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</si>
  <si>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</si>
  <si>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</si>
  <si>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</si>
  <si>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</si>
  <si>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</si>
  <si>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</si>
  <si>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</si>
  <si>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</si>
  <si>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</si>
  <si>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</si>
  <si>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</si>
  <si>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</si>
  <si>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</si>
  <si>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</si>
  <si>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</si>
  <si>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</si>
  <si>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</si>
  <si>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</si>
  <si>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</si>
  <si>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</si>
  <si>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</si>
  <si>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</si>
  <si>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</si>
  <si>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</si>
  <si>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</si>
  <si>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</si>
  <si>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</si>
  <si>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</si>
  <si>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</si>
  <si>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</si>
  <si>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</si>
  <si>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</si>
  <si>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</si>
  <si>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</si>
  <si>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</si>
  <si>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</si>
  <si>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</si>
  <si>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</si>
  <si>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</si>
  <si>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</si>
  <si>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</si>
  <si>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</si>
  <si>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</si>
  <si>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</si>
  <si>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</si>
  <si>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</si>
  <si>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</si>
  <si>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</si>
  <si>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</si>
  <si>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</si>
  <si>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</si>
  <si>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</si>
  <si>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</si>
  <si>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</si>
  <si>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</si>
  <si>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</si>
  <si>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</si>
  <si>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</si>
  <si>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</si>
  <si>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</si>
  <si>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</si>
  <si>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</si>
  <si>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</si>
  <si>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</si>
  <si>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</si>
  <si>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</si>
  <si>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</si>
  <si>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</si>
  <si>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</si>
  <si>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</si>
  <si>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</si>
  <si>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</si>
  <si>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</si>
  <si>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</si>
  <si>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</si>
  <si>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</si>
  <si>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</si>
  <si>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</si>
  <si>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</si>
  <si>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</si>
  <si>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</si>
  <si>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</si>
  <si>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</si>
  <si>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</si>
  <si>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</si>
  <si>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</si>
  <si>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</si>
  <si>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</si>
  <si>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</si>
  <si>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</si>
  <si>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</si>
  <si>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</si>
  <si>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</si>
  <si>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</si>
  <si>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</si>
  <si>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</si>
  <si>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</si>
  <si>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</si>
  <si>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</si>
  <si>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</si>
  <si>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</si>
  <si>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</si>
  <si>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</si>
  <si>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</si>
  <si>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</si>
  <si>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</si>
  <si>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</si>
  <si>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</si>
  <si>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</si>
  <si>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</si>
  <si>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</si>
  <si>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</si>
  <si>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</si>
  <si>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</si>
  <si>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</si>
  <si>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</si>
  <si>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</si>
  <si>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</si>
  <si>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</si>
  <si>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</si>
  <si>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</si>
  <si>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</si>
  <si>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</si>
  <si>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</si>
  <si>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</si>
  <si>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</si>
  <si>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</si>
  <si>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</si>
  <si>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</si>
  <si>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</si>
  <si>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</si>
  <si>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</si>
  <si>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</si>
  <si>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</si>
  <si>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</si>
  <si>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</si>
  <si>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</si>
  <si>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</si>
  <si>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</si>
  <si>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</si>
  <si>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</si>
  <si>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</si>
  <si>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</si>
  <si>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</si>
  <si>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</si>
  <si>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</si>
  <si>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</si>
  <si>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</si>
  <si>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</si>
  <si>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</si>
  <si>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</si>
  <si>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</si>
  <si>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</si>
  <si>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</si>
  <si>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</si>
  <si>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</si>
  <si>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</si>
  <si>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</si>
  <si>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</si>
  <si>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</si>
  <si>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</si>
  <si>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</si>
  <si>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</si>
  <si>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</si>
  <si>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</si>
  <si>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</si>
  <si>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</si>
  <si>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</si>
  <si>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</si>
  <si>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</si>
  <si>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</si>
  <si>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</si>
  <si>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</si>
  <si>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</si>
  <si>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</si>
  <si>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</si>
  <si>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</si>
  <si>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</si>
  <si>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</si>
  <si>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</si>
  <si>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</si>
  <si>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</si>
  <si>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</si>
  <si>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</si>
  <si>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</si>
  <si>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</si>
  <si>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</si>
  <si>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</si>
  <si>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</si>
  <si>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</si>
  <si>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</si>
  <si>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</si>
  <si>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</si>
  <si>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</si>
  <si>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</si>
  <si>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</si>
  <si>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</si>
  <si>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</si>
  <si>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</si>
  <si>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</si>
  <si>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</si>
  <si>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</si>
  <si>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</si>
  <si>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</si>
  <si>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</si>
  <si>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</si>
  <si>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</si>
  <si>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</si>
  <si>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</si>
  <si>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</si>
  <si>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</si>
  <si>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</si>
  <si>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</si>
  <si>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</si>
  <si>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</si>
  <si>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</si>
  <si>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</si>
  <si>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</si>
  <si>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</si>
  <si>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</si>
  <si>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</si>
  <si>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</si>
  <si>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</si>
  <si>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</si>
  <si>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</si>
  <si>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</si>
  <si>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</si>
  <si>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</si>
  <si>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</si>
  <si>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</si>
  <si>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</si>
  <si>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</si>
  <si>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</si>
  <si>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</si>
  <si>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</si>
  <si>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</si>
  <si>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</si>
  <si>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</si>
  <si>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</si>
  <si>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</si>
  <si>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</si>
  <si>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</si>
  <si>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</si>
  <si>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</si>
  <si>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</si>
  <si>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</si>
  <si>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</si>
  <si>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</si>
  <si>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</si>
  <si>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</si>
  <si>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</si>
  <si>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</si>
  <si>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</si>
  <si>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</si>
  <si>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</si>
  <si>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</si>
  <si>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</si>
  <si>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</si>
  <si>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</si>
  <si>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</si>
  <si>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</si>
  <si>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</si>
  <si>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</si>
  <si>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</si>
  <si>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</si>
  <si>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</si>
  <si>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</si>
  <si>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</si>
  <si>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</si>
  <si>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</si>
  <si>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</si>
  <si>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</si>
  <si>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</si>
  <si>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</si>
  <si>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</si>
  <si>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</si>
  <si>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</si>
  <si>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</si>
  <si>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</si>
  <si>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</si>
  <si>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</si>
  <si>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</si>
  <si>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</si>
  <si>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</si>
  <si>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</si>
  <si>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</si>
  <si>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</si>
  <si>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</si>
  <si>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</si>
  <si>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</si>
  <si>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</si>
  <si>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</si>
  <si>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</si>
  <si>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</si>
  <si>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</si>
  <si>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</si>
  <si>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</si>
  <si>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</si>
  <si>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</si>
  <si>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</si>
  <si>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</si>
  <si>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</si>
  <si>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</si>
  <si>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</si>
  <si>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</si>
  <si>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</si>
  <si>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</si>
  <si>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</si>
  <si>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</si>
  <si>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</si>
  <si>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</si>
  <si>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</si>
  <si>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</si>
  <si>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</si>
  <si>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</si>
  <si>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</si>
  <si>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</si>
  <si>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</si>
  <si>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</si>
  <si>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</si>
  <si>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</si>
  <si>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</si>
  <si>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</si>
  <si>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</si>
  <si>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</si>
  <si>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</si>
  <si>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</si>
  <si>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</si>
  <si>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</si>
  <si>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</si>
  <si>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</si>
  <si>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</si>
  <si>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</si>
  <si>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</si>
  <si>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</si>
  <si>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</si>
  <si>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</si>
  <si>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</si>
  <si>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</si>
  <si>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</si>
  <si>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</si>
  <si>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</si>
  <si>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</si>
  <si>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</si>
  <si>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</si>
  <si>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</si>
  <si>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</si>
  <si>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</si>
  <si>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</si>
  <si>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</si>
  <si>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</si>
  <si>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</si>
  <si>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</si>
  <si>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</si>
  <si>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</si>
  <si>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</si>
  <si>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</si>
  <si>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</si>
  <si>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</si>
  <si>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</si>
  <si>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</si>
  <si>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</si>
  <si>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</si>
  <si>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</si>
  <si>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</si>
  <si>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</si>
  <si>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</si>
  <si>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</si>
  <si>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</si>
  <si>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</si>
  <si>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</si>
  <si>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</si>
  <si>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</si>
  <si>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</si>
  <si>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</si>
  <si>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</si>
  <si>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</si>
  <si>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</si>
  <si>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</si>
  <si>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</si>
  <si>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</si>
  <si>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</si>
  <si>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</si>
  <si>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</si>
  <si>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</si>
  <si>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</si>
  <si>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</si>
  <si>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</si>
  <si>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</si>
  <si>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</si>
  <si>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</si>
  <si>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</si>
  <si>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</si>
  <si>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</si>
  <si>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</si>
  <si>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</si>
  <si>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</si>
  <si>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</si>
  <si>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</si>
  <si>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</si>
  <si>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</si>
  <si>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</si>
  <si>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</si>
  <si>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</si>
  <si>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</si>
  <si>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</si>
  <si>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</si>
  <si>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</si>
  <si>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</si>
  <si>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</si>
  <si>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</si>
  <si>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</si>
  <si>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</si>
  <si>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</si>
  <si>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</si>
  <si>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</si>
  <si>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</si>
  <si>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</si>
  <si>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</si>
  <si>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</si>
  <si>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</si>
  <si>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</si>
  <si>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</si>
  <si>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</si>
  <si>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</si>
  <si>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</si>
  <si>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</si>
  <si>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</si>
  <si>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</si>
  <si>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</si>
  <si>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</si>
  <si>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</si>
  <si>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</si>
  <si>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</si>
  <si>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</si>
  <si>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</si>
  <si>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</si>
  <si>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</si>
  <si>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</si>
  <si>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</si>
  <si>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</si>
  <si>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</si>
  <si>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</si>
  <si>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</si>
  <si>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</si>
  <si>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</si>
  <si>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</si>
  <si>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</si>
  <si>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</si>
  <si>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</si>
  <si>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</si>
  <si>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</si>
  <si>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</si>
  <si>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</si>
  <si>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</si>
  <si>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</si>
  <si>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</si>
  <si>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</si>
  <si>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</si>
  <si>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</si>
  <si>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</si>
  <si>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</si>
  <si>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</si>
  <si>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</si>
  <si>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</si>
  <si>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</si>
  <si>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</si>
  <si>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</si>
  <si>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</si>
  <si>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</si>
  <si>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</si>
  <si>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</si>
  <si>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</si>
  <si>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</si>
  <si>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</si>
  <si>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</si>
  <si>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</si>
  <si>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</si>
  <si>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</si>
  <si>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</si>
  <si>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</si>
  <si>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</si>
  <si>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</si>
  <si>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</si>
  <si>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</si>
  <si>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</si>
  <si>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</si>
  <si>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</si>
  <si>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</si>
  <si>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</si>
  <si>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</si>
  <si>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</si>
  <si>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</si>
  <si>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</si>
  <si>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</si>
  <si>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</si>
  <si>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</si>
  <si>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</si>
  <si>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</si>
  <si>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</si>
  <si>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</si>
  <si>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</si>
  <si>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</si>
  <si>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</si>
  <si>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</si>
  <si>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</si>
  <si>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</si>
  <si>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</si>
  <si>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</si>
  <si>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</si>
  <si>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</si>
  <si>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</si>
  <si>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</si>
  <si>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</si>
  <si>
    <t>0700 Z</t>
  </si>
  <si>
    <t>0701 Z</t>
  </si>
  <si>
    <t>0702 Z</t>
  </si>
  <si>
    <t>0703 Z</t>
  </si>
  <si>
    <t>0705 Z</t>
  </si>
  <si>
    <t>0706 Z</t>
  </si>
  <si>
    <t>0707 Z</t>
  </si>
  <si>
    <t>0708 Z</t>
  </si>
  <si>
    <t>0709 Z</t>
  </si>
  <si>
    <t>0710 Z</t>
  </si>
  <si>
    <t>0711 Z</t>
  </si>
  <si>
    <t>0722 Z</t>
  </si>
  <si>
    <t>0733 Z</t>
  </si>
  <si>
    <t>0755 Z</t>
  </si>
  <si>
    <t>0713 Z</t>
  </si>
  <si>
    <t>0717 Z</t>
  </si>
  <si>
    <t>0714 Z</t>
  </si>
  <si>
    <t>0716 Z</t>
  </si>
  <si>
    <t>0719 Z</t>
  </si>
  <si>
    <t>0715 z</t>
  </si>
  <si>
    <t>0716 z</t>
  </si>
  <si>
    <t>0756 Z</t>
  </si>
  <si>
    <t>0766 Z</t>
  </si>
  <si>
    <t>0718 Z</t>
  </si>
  <si>
    <t>0720 Z</t>
  </si>
  <si>
    <t>0721 Z</t>
  </si>
  <si>
    <t>0723 Z</t>
  </si>
  <si>
    <t>0724 Z</t>
  </si>
  <si>
    <t>0725 Z</t>
  </si>
  <si>
    <t>0726 Z</t>
  </si>
  <si>
    <t>0727 Z</t>
  </si>
  <si>
    <t>0728 Z</t>
  </si>
  <si>
    <t>0738 Z</t>
  </si>
  <si>
    <t>0748 Z</t>
  </si>
  <si>
    <t>0758 Z</t>
  </si>
  <si>
    <t>0768 Z</t>
  </si>
  <si>
    <t>0729 Z</t>
  </si>
  <si>
    <t>0730 Z</t>
  </si>
  <si>
    <t>0731 Z</t>
  </si>
  <si>
    <t>0734 Z</t>
  </si>
  <si>
    <t>0735 Z</t>
  </si>
  <si>
    <t>0736 Z</t>
  </si>
  <si>
    <t>0737 Z</t>
  </si>
  <si>
    <t>0739 Z</t>
  </si>
  <si>
    <t>0741 Z</t>
  </si>
  <si>
    <t>0742 Z</t>
  </si>
  <si>
    <t>0743 Z</t>
  </si>
  <si>
    <t>0744 Z</t>
  </si>
  <si>
    <t>0745 Z</t>
  </si>
  <si>
    <t>0746 Z</t>
  </si>
  <si>
    <t>0747 Z</t>
  </si>
  <si>
    <t>0749 Z</t>
  </si>
  <si>
    <t>0751 Z</t>
  </si>
  <si>
    <t>0752 Z</t>
  </si>
  <si>
    <t>0753 Z</t>
  </si>
  <si>
    <t>0754 Z</t>
  </si>
  <si>
    <t>0757 Z</t>
  </si>
  <si>
    <t>0760 Z</t>
  </si>
  <si>
    <t>0761 Z</t>
  </si>
  <si>
    <t>0762 Z</t>
  </si>
  <si>
    <t>0763 Z</t>
  </si>
  <si>
    <t>0764 Z</t>
  </si>
  <si>
    <t>0765 Z</t>
  </si>
  <si>
    <t>0767 Z</t>
  </si>
  <si>
    <t>0770 Z</t>
  </si>
  <si>
    <t>ABASTECEDORA ROEL</t>
  </si>
  <si>
    <t>TFL-1017</t>
  </si>
  <si>
    <t>Ttansfer S 9-May-22</t>
  </si>
  <si>
    <t>Transfer B 2-May-22</t>
  </si>
  <si>
    <t>Transfer B 4-May-22</t>
  </si>
  <si>
    <t>Transfer S 6-May-22</t>
  </si>
  <si>
    <t>MIGUEL HERRERA</t>
  </si>
  <si>
    <t>RES</t>
  </si>
  <si>
    <t>PATAS</t>
  </si>
  <si>
    <t>A-910</t>
  </si>
  <si>
    <t>Transfer S 9-May-22</t>
  </si>
  <si>
    <t>FOLIO CENTRAL 6989</t>
  </si>
  <si>
    <t>Transfer B 5-May-22</t>
  </si>
  <si>
    <t>Transfer B 9-May-22</t>
  </si>
  <si>
    <t>Transfer B 16-May-22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</si>
</sst>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1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41" fillId="0" borderId="93" xfId="0" applyNumberFormat="1" applyFont="1" applyFill="1" applyBorder="1" applyAlignment="1">
      <alignment vertical="center" wrapText="1"/>
    </xf>
    <xf numFmtId="2" fontId="58" fillId="7" borderId="0" xfId="0" applyNumberFormat="1" applyFont="1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5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7" fillId="7" borderId="0" xfId="1" applyFont="1" applyFill="1"/>
    <xf numFmtId="4" fontId="0" fillId="7" borderId="0" xfId="0" applyNumberFormat="1" applyFill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44" fontId="10" fillId="2" borderId="33" xfId="1" applyFont="1" applyFill="1" applyBorder="1" applyAlignment="1">
      <alignment horizontal="right"/>
    </xf>
    <xf numFmtId="0" fontId="79" fillId="2" borderId="33" xfId="0" applyFont="1" applyFill="1" applyBorder="1" applyAlignment="1">
      <alignment horizontal="left"/>
    </xf>
    <xf numFmtId="44" fontId="10" fillId="2" borderId="77" xfId="1" applyFont="1" applyFill="1" applyBorder="1" applyAlignment="1"/>
    <xf numFmtId="166" fontId="7" fillId="4" borderId="33" xfId="0" applyNumberFormat="1" applyFont="1" applyFill="1" applyBorder="1" applyAlignment="1">
      <alignment horizontal="right"/>
    </xf>
    <xf numFmtId="44" fontId="10" fillId="2" borderId="33" xfId="1" applyFont="1" applyFill="1" applyBorder="1" applyAlignment="1"/>
    <xf numFmtId="164" fontId="10" fillId="2" borderId="78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17" fillId="0" borderId="69" xfId="0" applyNumberFormat="1" applyFont="1" applyFill="1" applyBorder="1" applyAlignment="1">
      <alignment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38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41" fillId="0" borderId="107" xfId="0" applyNumberFormat="1" applyFont="1" applyFill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8" borderId="106" xfId="0" applyFont="1" applyFill="1" applyBorder="1" applyAlignment="1">
      <alignment horizontal="center" vertical="center" wrapText="1"/>
    </xf>
    <xf numFmtId="0" fontId="7" fillId="8" borderId="98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0" fontId="58" fillId="0" borderId="90" xfId="0" applyFont="1" applyFill="1" applyBorder="1" applyAlignment="1">
      <alignment horizontal="center" vertical="center" wrapText="1"/>
    </xf>
    <xf numFmtId="0" fontId="58" fillId="0" borderId="111" xfId="0" applyFont="1" applyFill="1" applyBorder="1" applyAlignment="1">
      <alignment horizontal="center" vertical="center" wrapText="1"/>
    </xf>
    <xf numFmtId="164" fontId="23" fillId="2" borderId="110" xfId="0" applyNumberFormat="1" applyFont="1" applyFill="1" applyBorder="1" applyAlignment="1">
      <alignment horizontal="center" vertical="center" wrapText="1"/>
    </xf>
    <xf numFmtId="164" fontId="23" fillId="2" borderId="93" xfId="0" applyNumberFormat="1" applyFont="1" applyFill="1" applyBorder="1" applyAlignment="1">
      <alignment horizontal="center" vertical="center" wrapText="1"/>
    </xf>
    <xf numFmtId="164" fontId="23" fillId="2" borderId="69" xfId="0" applyNumberFormat="1" applyFont="1" applyFill="1" applyBorder="1" applyAlignment="1">
      <alignment horizontal="center" vertical="center" wrapText="1"/>
    </xf>
    <xf numFmtId="164" fontId="23" fillId="2" borderId="48" xfId="0" applyNumberFormat="1" applyFont="1" applyFill="1" applyBorder="1" applyAlignment="1">
      <alignment horizontal="center" vertical="center" wrapText="1"/>
    </xf>
    <xf numFmtId="164" fontId="23" fillId="2" borderId="49" xfId="0" applyNumberFormat="1" applyFont="1" applyFill="1" applyBorder="1" applyAlignment="1">
      <alignment horizontal="center" vertical="center" wrapText="1"/>
    </xf>
    <xf numFmtId="164" fontId="10" fillId="4" borderId="108" xfId="0" applyNumberFormat="1" applyFont="1" applyFill="1" applyBorder="1" applyAlignment="1">
      <alignment horizontal="center" vertical="center"/>
    </xf>
    <xf numFmtId="164" fontId="10" fillId="4" borderId="10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 wrapText="1"/>
    </xf>
    <xf numFmtId="1" fontId="7" fillId="0" borderId="96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10" fillId="2" borderId="73" xfId="0" applyNumberFormat="1" applyFont="1" applyFill="1" applyBorder="1" applyAlignment="1">
      <alignment horizontal="center" vertical="center" wrapText="1"/>
    </xf>
    <xf numFmtId="1" fontId="10" fillId="2" borderId="96" xfId="0" applyNumberFormat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center"/>
    </xf>
    <xf numFmtId="0" fontId="10" fillId="14" borderId="33" xfId="0" applyFont="1" applyFill="1" applyBorder="1" applyAlignment="1">
      <alignment horizontal="right"/>
    </xf>
    <xf numFmtId="164" fontId="10" fillId="14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3">
                  <c:v>0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7">
                  <c:v>4031</c:v>
                </c:pt>
                <c:pt idx="8">
                  <c:v>4031</c:v>
                </c:pt>
                <c:pt idx="9">
                  <c:v>4060</c:v>
                </c:pt>
                <c:pt idx="10">
                  <c:v>4002</c:v>
                </c:pt>
                <c:pt idx="11">
                  <c:v>3944</c:v>
                </c:pt>
                <c:pt idx="12">
                  <c:v>3915</c:v>
                </c:pt>
                <c:pt idx="13">
                  <c:v>3915</c:v>
                </c:pt>
                <c:pt idx="14">
                  <c:v>0</c:v>
                </c:pt>
                <c:pt idx="15" formatCode="&quot;$&quot;#,##0.00">
                  <c:v>3920.8</c:v>
                </c:pt>
                <c:pt idx="16">
                  <c:v>3973</c:v>
                </c:pt>
                <c:pt idx="17">
                  <c:v>4002</c:v>
                </c:pt>
                <c:pt idx="18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3">
                  <c:v>795203.71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688356.67599999998</c:v>
                </c:pt>
                <c:pt idx="8">
                  <c:v>688039.80599999998</c:v>
                </c:pt>
                <c:pt idx="9">
                  <c:v>688357.64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670363.41150000005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681090.37139999995</c:v>
                </c:pt>
                <c:pt idx="17">
                  <c:v>685575.26140000008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795203.71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36.479603942604975</c:v>
                </c:pt>
                <c:pt idx="8">
                  <c:v>36.032270373027636</c:v>
                </c:pt>
                <c:pt idx="9">
                  <c:v>36.505678244480059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35.176939140153962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36.39230190549268</c:v>
                </c:pt>
                <c:pt idx="17">
                  <c:v>36.268833991091178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44.607686943166769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J8" activePane="bottomRight" state="frozen"/>
      <selection pane="topRight" activeCell="B1" sqref="B1"/>
      <selection pane="bottomLeft" activeCell="A3" sqref="A3"/>
      <selection pane="bottomRight" activeCell="P23" sqref="P2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1" t="s">
        <v>235</v>
      </c>
      <c r="C1" s="842"/>
      <c r="D1" s="843"/>
      <c r="E1" s="844"/>
      <c r="F1" s="845"/>
      <c r="G1" s="846"/>
      <c r="H1" s="845"/>
      <c r="I1" s="847"/>
      <c r="J1" s="848"/>
      <c r="K1" s="1169" t="s">
        <v>26</v>
      </c>
      <c r="L1" s="610"/>
      <c r="M1" s="1171" t="s">
        <v>27</v>
      </c>
      <c r="N1" s="442"/>
      <c r="P1" s="97" t="s">
        <v>38</v>
      </c>
      <c r="Q1" s="1149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0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70"/>
      <c r="L2" s="611" t="s">
        <v>29</v>
      </c>
      <c r="M2" s="1172"/>
      <c r="N2" s="443" t="s">
        <v>29</v>
      </c>
      <c r="O2" s="559" t="s">
        <v>30</v>
      </c>
      <c r="P2" s="98" t="s">
        <v>39</v>
      </c>
      <c r="Q2" s="1150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1">
        <f>PIERNA!E3</f>
        <v>0</v>
      </c>
      <c r="F3" s="664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2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4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06" t="s">
        <v>143</v>
      </c>
      <c r="K4" s="545">
        <v>12161</v>
      </c>
      <c r="L4" s="546" t="s">
        <v>154</v>
      </c>
      <c r="M4" s="545">
        <v>33640</v>
      </c>
      <c r="N4" s="555" t="s">
        <v>154</v>
      </c>
      <c r="O4" s="963">
        <v>2021308</v>
      </c>
      <c r="P4" s="1098">
        <v>4060</v>
      </c>
      <c r="Q4" s="868">
        <f>31685.33*20.295</f>
        <v>643053.7723500001</v>
      </c>
      <c r="R4" s="531" t="s">
        <v>135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4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06" t="s">
        <v>144</v>
      </c>
      <c r="K5" s="551">
        <v>12001</v>
      </c>
      <c r="L5" s="546" t="s">
        <v>154</v>
      </c>
      <c r="M5" s="545">
        <v>30160</v>
      </c>
      <c r="N5" s="555" t="s">
        <v>154</v>
      </c>
      <c r="O5" s="963">
        <v>2021309</v>
      </c>
      <c r="P5" s="1098">
        <v>4060</v>
      </c>
      <c r="Q5" s="868">
        <f>31722.14*20.295</f>
        <v>643800.83130000008</v>
      </c>
      <c r="R5" s="531" t="s">
        <v>135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1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4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06" t="s">
        <v>145</v>
      </c>
      <c r="K6" s="545">
        <v>11151</v>
      </c>
      <c r="L6" s="546" t="s">
        <v>154</v>
      </c>
      <c r="M6" s="545">
        <v>30160</v>
      </c>
      <c r="N6" s="555" t="s">
        <v>154</v>
      </c>
      <c r="O6" s="964">
        <v>852660</v>
      </c>
      <c r="P6" s="1098">
        <v>3886</v>
      </c>
      <c r="Q6" s="869">
        <f>30377.45*19.98</f>
        <v>606941.451</v>
      </c>
      <c r="R6" s="597" t="s">
        <v>152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4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06" t="s">
        <v>148</v>
      </c>
      <c r="K7" s="545">
        <v>12151</v>
      </c>
      <c r="L7" s="546" t="s">
        <v>155</v>
      </c>
      <c r="M7" s="545">
        <v>33640</v>
      </c>
      <c r="N7" s="555" t="s">
        <v>156</v>
      </c>
      <c r="O7" s="964">
        <v>853742</v>
      </c>
      <c r="P7" s="1098">
        <v>3915</v>
      </c>
      <c r="Q7" s="551">
        <f>30971.87*19.977</f>
        <v>618725.04698999994</v>
      </c>
      <c r="R7" s="531" t="s">
        <v>153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4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06" t="s">
        <v>151</v>
      </c>
      <c r="K8" s="545">
        <v>12001</v>
      </c>
      <c r="L8" s="546" t="s">
        <v>156</v>
      </c>
      <c r="M8" s="545">
        <v>30160</v>
      </c>
      <c r="N8" s="547" t="s">
        <v>157</v>
      </c>
      <c r="O8" s="964">
        <v>2022023</v>
      </c>
      <c r="P8" s="1098">
        <v>4060</v>
      </c>
      <c r="Q8" s="551">
        <f>31533.61*20.546</f>
        <v>647889.55105999997</v>
      </c>
      <c r="R8" s="555" t="s">
        <v>134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4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271</v>
      </c>
      <c r="K9" s="1035">
        <v>11151</v>
      </c>
      <c r="L9" s="1036" t="s">
        <v>297</v>
      </c>
      <c r="M9" s="1035">
        <v>30160</v>
      </c>
      <c r="N9" s="1037" t="s">
        <v>157</v>
      </c>
      <c r="O9" s="550">
        <v>2022024</v>
      </c>
      <c r="P9" s="1098">
        <v>4002</v>
      </c>
      <c r="Q9" s="937">
        <f>31652.04*20.115</f>
        <v>636680.78460000001</v>
      </c>
      <c r="R9" s="938" t="s">
        <v>298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4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5" t="s">
        <v>273</v>
      </c>
      <c r="K10" s="1035">
        <v>12151</v>
      </c>
      <c r="L10" s="1036" t="s">
        <v>157</v>
      </c>
      <c r="M10" s="1035">
        <v>30160</v>
      </c>
      <c r="N10" s="1037" t="s">
        <v>157</v>
      </c>
      <c r="O10" s="550">
        <v>2022025</v>
      </c>
      <c r="P10" s="1098">
        <v>4089</v>
      </c>
      <c r="Q10" s="937">
        <f>32196.49*20.115</f>
        <v>647632.39634999994</v>
      </c>
      <c r="R10" s="938" t="s">
        <v>298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4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274</v>
      </c>
      <c r="K11" s="545">
        <v>12001</v>
      </c>
      <c r="L11" s="546" t="s">
        <v>306</v>
      </c>
      <c r="M11" s="545">
        <v>33640</v>
      </c>
      <c r="N11" s="547" t="s">
        <v>307</v>
      </c>
      <c r="O11" s="561">
        <v>2023973</v>
      </c>
      <c r="P11" s="1314">
        <v>4031</v>
      </c>
      <c r="Q11" s="937">
        <f>31966.2*19.98</f>
        <v>638684.67599999998</v>
      </c>
      <c r="R11" s="938" t="s">
        <v>152</v>
      </c>
      <c r="S11" s="65">
        <f t="shared" si="0"/>
        <v>688356.67599999998</v>
      </c>
      <c r="T11" s="65">
        <f>S11/H11+0.1</f>
        <v>36.479603942604975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4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275</v>
      </c>
      <c r="K12" s="545">
        <v>9851</v>
      </c>
      <c r="L12" s="546" t="s">
        <v>306</v>
      </c>
      <c r="M12" s="545">
        <v>33640</v>
      </c>
      <c r="N12" s="547" t="s">
        <v>307</v>
      </c>
      <c r="O12" s="561">
        <v>2023974</v>
      </c>
      <c r="P12" s="1314">
        <v>4031</v>
      </c>
      <c r="Q12" s="937">
        <f>32259.7*19.98</f>
        <v>644548.80599999998</v>
      </c>
      <c r="R12" s="938" t="s">
        <v>152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4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276</v>
      </c>
      <c r="K13" s="545">
        <v>12001</v>
      </c>
      <c r="L13" s="546" t="s">
        <v>307</v>
      </c>
      <c r="M13" s="545">
        <v>33640</v>
      </c>
      <c r="N13" s="547" t="s">
        <v>308</v>
      </c>
      <c r="O13" s="561">
        <v>862839</v>
      </c>
      <c r="P13" s="1314">
        <v>4060</v>
      </c>
      <c r="Q13" s="551">
        <f>31648*20.18</f>
        <v>638656.64</v>
      </c>
      <c r="R13" s="549" t="s">
        <v>300</v>
      </c>
      <c r="S13" s="65">
        <f t="shared" si="0"/>
        <v>688357.64</v>
      </c>
      <c r="T13" s="65">
        <f t="shared" si="5"/>
        <v>36.505678244480059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4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277</v>
      </c>
      <c r="K14" s="545">
        <v>12001</v>
      </c>
      <c r="L14" s="546" t="s">
        <v>308</v>
      </c>
      <c r="M14" s="545">
        <v>33640</v>
      </c>
      <c r="N14" s="547" t="s">
        <v>308</v>
      </c>
      <c r="O14" s="550">
        <v>2023975</v>
      </c>
      <c r="P14" s="1314">
        <v>4002</v>
      </c>
      <c r="Q14" s="939">
        <f>31885.28*19.925</f>
        <v>635314.20400000003</v>
      </c>
      <c r="R14" s="1034" t="s">
        <v>296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4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278</v>
      </c>
      <c r="K15" s="545">
        <v>11151</v>
      </c>
      <c r="L15" s="546" t="s">
        <v>308</v>
      </c>
      <c r="M15" s="545">
        <v>33640</v>
      </c>
      <c r="N15" s="553" t="s">
        <v>310</v>
      </c>
      <c r="O15" s="560">
        <v>65435</v>
      </c>
      <c r="P15" s="1314">
        <v>3944</v>
      </c>
      <c r="Q15" s="551">
        <f>30522.47*20.135</f>
        <v>614569.93345000013</v>
      </c>
      <c r="R15" s="554" t="s">
        <v>299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4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5" t="s">
        <v>285</v>
      </c>
      <c r="K16" s="545">
        <v>12161</v>
      </c>
      <c r="L16" s="546" t="s">
        <v>309</v>
      </c>
      <c r="M16" s="545">
        <v>33640</v>
      </c>
      <c r="N16" s="553" t="s">
        <v>309</v>
      </c>
      <c r="O16" s="561">
        <v>2024602</v>
      </c>
      <c r="P16" s="1314">
        <v>3915</v>
      </c>
      <c r="Q16" s="937">
        <f>31149.18*19.925</f>
        <v>620647.41150000005</v>
      </c>
      <c r="R16" s="938" t="s">
        <v>296</v>
      </c>
      <c r="S16" s="65">
        <f t="shared" si="0"/>
        <v>670363.41150000005</v>
      </c>
      <c r="T16" s="65">
        <f t="shared" si="5"/>
        <v>35.176939140153962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4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286</v>
      </c>
      <c r="K17" s="545">
        <v>11151</v>
      </c>
      <c r="L17" s="546" t="s">
        <v>309</v>
      </c>
      <c r="M17" s="545">
        <v>33640</v>
      </c>
      <c r="N17" s="553" t="s">
        <v>309</v>
      </c>
      <c r="O17" s="550">
        <v>2024603</v>
      </c>
      <c r="P17" s="1314">
        <v>3915</v>
      </c>
      <c r="Q17" s="937">
        <f>31103.21*19.925</f>
        <v>619731.45924999996</v>
      </c>
      <c r="R17" s="1034" t="s">
        <v>296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07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4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288</v>
      </c>
      <c r="K18" s="551"/>
      <c r="L18" s="881"/>
      <c r="M18" s="545"/>
      <c r="N18" s="547"/>
      <c r="O18" s="1045">
        <v>1372</v>
      </c>
      <c r="P18" s="1091" t="s">
        <v>295</v>
      </c>
      <c r="Q18" s="868">
        <v>677274.27</v>
      </c>
      <c r="R18" s="549" t="s">
        <v>305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4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87">
        <v>35030</v>
      </c>
      <c r="K19" s="545">
        <v>12151</v>
      </c>
      <c r="L19" s="546" t="s">
        <v>311</v>
      </c>
      <c r="M19" s="545">
        <v>33640</v>
      </c>
      <c r="N19" s="547" t="s">
        <v>311</v>
      </c>
      <c r="O19" s="550">
        <v>873775</v>
      </c>
      <c r="P19" s="1317">
        <v>3920.8</v>
      </c>
      <c r="Q19" s="868">
        <f>31339.62*19.86</f>
        <v>622404.85320000001</v>
      </c>
      <c r="R19" s="555" t="s">
        <v>303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4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290</v>
      </c>
      <c r="K20" s="545">
        <v>9851</v>
      </c>
      <c r="L20" s="546" t="s">
        <v>311</v>
      </c>
      <c r="M20" s="545">
        <v>33640</v>
      </c>
      <c r="N20" s="547" t="s">
        <v>311</v>
      </c>
      <c r="O20" s="550">
        <v>2026432</v>
      </c>
      <c r="P20" s="1314">
        <v>3973</v>
      </c>
      <c r="Q20" s="868">
        <f>31398.73*20.18</f>
        <v>633626.37139999995</v>
      </c>
      <c r="R20" s="555" t="s">
        <v>300</v>
      </c>
      <c r="S20" s="65">
        <f t="shared" si="0"/>
        <v>681090.37139999995</v>
      </c>
      <c r="T20" s="65">
        <f>S20/H20+0.1</f>
        <v>36.39230190549268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4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272</v>
      </c>
      <c r="K21" s="545">
        <v>11151</v>
      </c>
      <c r="L21" s="546" t="s">
        <v>312</v>
      </c>
      <c r="M21" s="545">
        <v>33640</v>
      </c>
      <c r="N21" s="547" t="s">
        <v>312</v>
      </c>
      <c r="O21" s="561">
        <v>2026433</v>
      </c>
      <c r="P21" s="1314">
        <v>4002</v>
      </c>
      <c r="Q21" s="868">
        <f>31625.64*20.135</f>
        <v>636782.26140000008</v>
      </c>
      <c r="R21" s="555" t="s">
        <v>301</v>
      </c>
      <c r="S21" s="65">
        <f t="shared" si="0"/>
        <v>685575.26140000008</v>
      </c>
      <c r="T21" s="65">
        <f>S21/H21</f>
        <v>36.268833991091178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89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7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090" t="s">
        <v>322</v>
      </c>
      <c r="K22" s="545"/>
      <c r="L22" s="546"/>
      <c r="M22" s="545"/>
      <c r="N22" s="547"/>
      <c r="O22" s="561" t="s">
        <v>322</v>
      </c>
      <c r="P22" s="1091" t="s">
        <v>295</v>
      </c>
      <c r="Q22" s="868">
        <v>704608.09</v>
      </c>
      <c r="R22" s="555" t="s">
        <v>507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7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323</v>
      </c>
      <c r="K23" s="545">
        <v>12161</v>
      </c>
      <c r="L23" s="546" t="s">
        <v>329</v>
      </c>
      <c r="M23" s="545">
        <v>33640</v>
      </c>
      <c r="N23" s="547" t="s">
        <v>330</v>
      </c>
      <c r="O23" s="562">
        <v>2028701</v>
      </c>
      <c r="P23" s="1314"/>
      <c r="Q23" s="868">
        <f>34338.97*19.784</f>
        <v>679362.18247999996</v>
      </c>
      <c r="R23" s="555" t="s">
        <v>328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7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324</v>
      </c>
      <c r="K24" s="545">
        <v>11151</v>
      </c>
      <c r="L24" s="546" t="s">
        <v>329</v>
      </c>
      <c r="M24" s="545">
        <v>33640</v>
      </c>
      <c r="N24" s="547" t="s">
        <v>330</v>
      </c>
      <c r="O24" s="550">
        <v>2028702</v>
      </c>
      <c r="P24" s="1314"/>
      <c r="Q24" s="868">
        <f>34089.87*19.784</f>
        <v>674433.98808000004</v>
      </c>
      <c r="R24" s="555" t="s">
        <v>328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4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7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329</v>
      </c>
      <c r="M25" s="545">
        <v>33640</v>
      </c>
      <c r="N25" s="555" t="s">
        <v>330</v>
      </c>
      <c r="O25" s="550">
        <v>883477</v>
      </c>
      <c r="P25" s="1315"/>
      <c r="Q25" s="868">
        <f>34557.08*19.86</f>
        <v>686303.60880000005</v>
      </c>
      <c r="R25" s="531" t="s">
        <v>305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5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7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330</v>
      </c>
      <c r="M26" s="545">
        <v>33640</v>
      </c>
      <c r="N26" s="555" t="s">
        <v>511</v>
      </c>
      <c r="O26" s="550">
        <v>884106</v>
      </c>
      <c r="P26" s="1314"/>
      <c r="Q26" s="868">
        <f>33437.17*20.035</f>
        <v>669913.70094999997</v>
      </c>
      <c r="R26" s="555" t="s">
        <v>327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7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503</v>
      </c>
      <c r="K27" s="545">
        <v>10101</v>
      </c>
      <c r="L27" s="546" t="s">
        <v>511</v>
      </c>
      <c r="M27" s="545">
        <v>33640</v>
      </c>
      <c r="N27" s="555" t="s">
        <v>511</v>
      </c>
      <c r="O27" s="550">
        <v>2028703</v>
      </c>
      <c r="P27" s="1315"/>
      <c r="Q27" s="868">
        <f>35381.3*19.805</f>
        <v>700726.64650000003</v>
      </c>
      <c r="R27" s="555" t="s">
        <v>294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7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511</v>
      </c>
      <c r="M28" s="545">
        <v>33640</v>
      </c>
      <c r="N28" s="555" t="s">
        <v>511</v>
      </c>
      <c r="O28" s="550">
        <v>885698</v>
      </c>
      <c r="P28" s="1314"/>
      <c r="Q28" s="868">
        <f>34453.91*20.035</f>
        <v>690284.08685000008</v>
      </c>
      <c r="R28" s="531" t="s">
        <v>327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7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509</v>
      </c>
      <c r="M29" s="545">
        <v>33640</v>
      </c>
      <c r="N29" s="555" t="s">
        <v>509</v>
      </c>
      <c r="O29" s="562">
        <v>889592</v>
      </c>
      <c r="P29" s="1314"/>
      <c r="Q29" s="868">
        <f>36057.84*20.33</f>
        <v>733055.88719999988</v>
      </c>
      <c r="R29" s="531" t="s">
        <v>508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52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799">
        <f>PIERNA!JO5</f>
        <v>18794.849999999999</v>
      </c>
      <c r="G30" s="800">
        <f>PIERNA!JP5</f>
        <v>21</v>
      </c>
      <c r="H30" s="801">
        <f>PIERNA!JQ5</f>
        <v>18814.2</v>
      </c>
      <c r="I30" s="278">
        <f>PIERNA!I30</f>
        <v>-19.350000000002183</v>
      </c>
      <c r="J30" s="506" t="s">
        <v>506</v>
      </c>
      <c r="K30" s="545">
        <v>11151</v>
      </c>
      <c r="L30" s="546" t="s">
        <v>509</v>
      </c>
      <c r="M30" s="545">
        <v>33640</v>
      </c>
      <c r="N30" s="555" t="s">
        <v>509</v>
      </c>
      <c r="O30" s="562">
        <v>2029949</v>
      </c>
      <c r="P30" s="1314"/>
      <c r="Q30" s="868">
        <f>35164.67*19.805</f>
        <v>696436.28934999998</v>
      </c>
      <c r="R30" s="531" t="s">
        <v>510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1" t="str">
        <f>PIERNA!JV5</f>
        <v>Seaboard</v>
      </c>
      <c r="D31" s="524" t="str">
        <f>PIERNA!JW5</f>
        <v>PED. 81219262</v>
      </c>
      <c r="E31" s="440">
        <f>PIERNA!JX5</f>
        <v>44677</v>
      </c>
      <c r="F31" s="799">
        <f>PIERNA!JY5</f>
        <v>19065.91</v>
      </c>
      <c r="G31" s="800">
        <f>PIERNA!JZ5</f>
        <v>21</v>
      </c>
      <c r="H31" s="801">
        <f>PIERNA!KA5</f>
        <v>19133.400000000001</v>
      </c>
      <c r="I31" s="278">
        <f>PIERNA!I31</f>
        <v>-67.490000000001601</v>
      </c>
      <c r="J31" s="506" t="s">
        <v>524</v>
      </c>
      <c r="K31" s="545">
        <v>12161</v>
      </c>
      <c r="L31" s="546" t="s">
        <v>540</v>
      </c>
      <c r="M31" s="545">
        <v>33640</v>
      </c>
      <c r="N31" s="555" t="s">
        <v>541</v>
      </c>
      <c r="O31" s="562">
        <v>2030689</v>
      </c>
      <c r="P31" s="1314"/>
      <c r="Q31" s="868">
        <f>38537.48*19.863</f>
        <v>765469.96524000005</v>
      </c>
      <c r="R31" s="531" t="s">
        <v>539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799">
        <f>PIERNA!KI5</f>
        <v>18911.88</v>
      </c>
      <c r="G32" s="800">
        <f>PIERNA!KJ5</f>
        <v>21</v>
      </c>
      <c r="H32" s="801">
        <f>PIERNA!KK5</f>
        <v>19063.91</v>
      </c>
      <c r="I32" s="278">
        <f>PIERNA!I32</f>
        <v>-152.02999999999884</v>
      </c>
      <c r="J32" s="506" t="s">
        <v>525</v>
      </c>
      <c r="K32" s="545">
        <v>11151</v>
      </c>
      <c r="L32" s="546" t="s">
        <v>541</v>
      </c>
      <c r="M32" s="545">
        <v>33640</v>
      </c>
      <c r="N32" s="555" t="s">
        <v>537</v>
      </c>
      <c r="O32" s="562">
        <v>2031305</v>
      </c>
      <c r="P32" s="1314"/>
      <c r="Q32" s="868">
        <f>38397.69*19.863</f>
        <v>762693.31647000008</v>
      </c>
      <c r="R32" s="531" t="s">
        <v>539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2">
        <f>PIERNA!KS5</f>
        <v>18554.240000000002</v>
      </c>
      <c r="G33" s="803">
        <f>PIERNA!KT5</f>
        <v>20</v>
      </c>
      <c r="H33" s="801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541</v>
      </c>
      <c r="M33" s="545">
        <v>33640</v>
      </c>
      <c r="N33" s="555" t="s">
        <v>537</v>
      </c>
      <c r="O33" s="562">
        <v>893672</v>
      </c>
      <c r="P33" s="1316"/>
      <c r="Q33" s="868">
        <f>37175.37*20.45</f>
        <v>760236.31650000007</v>
      </c>
      <c r="R33" s="531" t="s">
        <v>536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2">
        <f>PIERNA!F34</f>
        <v>18745.28</v>
      </c>
      <c r="G34" s="803">
        <f>PIERNA!G34</f>
        <v>20</v>
      </c>
      <c r="H34" s="801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537</v>
      </c>
      <c r="M34" s="545">
        <v>33640</v>
      </c>
      <c r="N34" s="555" t="s">
        <v>538</v>
      </c>
      <c r="O34" s="985">
        <v>895110</v>
      </c>
      <c r="P34" s="1314"/>
      <c r="Q34" s="869">
        <f>38343.71*20.505</f>
        <v>786237.77354999993</v>
      </c>
      <c r="R34" s="597" t="s">
        <v>533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2">
        <f>PIERNA!F35</f>
        <v>18929.88</v>
      </c>
      <c r="G35" s="804">
        <f>PIERNA!G35</f>
        <v>21</v>
      </c>
      <c r="H35" s="801">
        <f>PIERNA!H35</f>
        <v>19057.900000000001</v>
      </c>
      <c r="I35" s="278">
        <f>PIERNA!I35</f>
        <v>-128.02000000000044</v>
      </c>
      <c r="J35" s="506" t="s">
        <v>526</v>
      </c>
      <c r="K35" s="545">
        <v>11151</v>
      </c>
      <c r="L35" s="546" t="s">
        <v>537</v>
      </c>
      <c r="M35" s="545">
        <v>33640</v>
      </c>
      <c r="N35" s="555" t="s">
        <v>538</v>
      </c>
      <c r="O35" s="985">
        <v>2031785</v>
      </c>
      <c r="P35" s="1316"/>
      <c r="Q35" s="551">
        <f>38385.82*20.09</f>
        <v>771171.12379999994</v>
      </c>
      <c r="R35" s="531" t="s">
        <v>534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2">
        <f>PIERNA!F36</f>
        <v>18624.72</v>
      </c>
      <c r="G36" s="804">
        <f>PIERNA!G36</f>
        <v>21</v>
      </c>
      <c r="H36" s="801">
        <f>PIERNA!H36</f>
        <v>18710.5</v>
      </c>
      <c r="I36" s="278">
        <f>PIERNA!I36</f>
        <v>-85.779999999998836</v>
      </c>
      <c r="J36" s="506" t="s">
        <v>527</v>
      </c>
      <c r="K36" s="545">
        <v>12001</v>
      </c>
      <c r="L36" s="546" t="s">
        <v>538</v>
      </c>
      <c r="M36" s="545">
        <v>33640</v>
      </c>
      <c r="N36" s="547" t="s">
        <v>542</v>
      </c>
      <c r="O36" s="985">
        <v>2032677</v>
      </c>
      <c r="P36" s="1316"/>
      <c r="Q36" s="551">
        <f>39022.5*20.33</f>
        <v>793327.42499999993</v>
      </c>
      <c r="R36" s="555" t="s">
        <v>535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7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528</v>
      </c>
      <c r="K37" s="545"/>
      <c r="L37" s="546"/>
      <c r="M37" s="545"/>
      <c r="N37" s="555"/>
      <c r="O37" s="550" t="s">
        <v>611</v>
      </c>
      <c r="P37" s="1122" t="s">
        <v>295</v>
      </c>
      <c r="Q37" s="1119">
        <v>795203.71</v>
      </c>
      <c r="R37" s="1120" t="s">
        <v>612</v>
      </c>
      <c r="S37" s="65">
        <f>Q37+M37+K37</f>
        <v>795203.71</v>
      </c>
      <c r="T37" s="65">
        <f t="shared" si="4"/>
        <v>44.607686943166769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5" t="str">
        <f>PIERNA!D38</f>
        <v>PED. 81398698</v>
      </c>
      <c r="E38" s="251">
        <f>PIERNA!E38</f>
        <v>44680</v>
      </c>
      <c r="F38" s="806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538</v>
      </c>
      <c r="M38" s="545">
        <v>33640</v>
      </c>
      <c r="N38" s="555" t="s">
        <v>542</v>
      </c>
      <c r="O38" s="550">
        <v>899661</v>
      </c>
      <c r="P38" s="1314"/>
      <c r="Q38" s="868">
        <f>38628.99*20.47</f>
        <v>790735.42529999989</v>
      </c>
      <c r="R38" s="531" t="s">
        <v>531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5">
        <f>PIERNA!D39</f>
        <v>0</v>
      </c>
      <c r="E39" s="251">
        <f>PIERNA!E39</f>
        <v>0</v>
      </c>
      <c r="F39" s="806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68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5">
        <f>PIERNA!D40</f>
        <v>0</v>
      </c>
      <c r="E40" s="251">
        <f>PIERNA!E40</f>
        <v>0</v>
      </c>
      <c r="F40" s="806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68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5">
        <f>PIERNA!D41</f>
        <v>0</v>
      </c>
      <c r="E41" s="251">
        <f>PIERNA!E41</f>
        <v>0</v>
      </c>
      <c r="F41" s="806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68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2">
        <f>PIERNA!C42</f>
        <v>0</v>
      </c>
      <c r="D42" s="849">
        <f>PIERNA!D42</f>
        <v>0</v>
      </c>
      <c r="E42" s="251">
        <f>PIERNA!E42</f>
        <v>0</v>
      </c>
      <c r="F42" s="667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68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7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68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49">
        <f>PIERNA!D44</f>
        <v>0</v>
      </c>
      <c r="E44" s="251">
        <f>PIERNA!E44</f>
        <v>0</v>
      </c>
      <c r="F44" s="667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49">
        <f>PIERNA!D45</f>
        <v>0</v>
      </c>
      <c r="E45" s="251">
        <f>PIERNA!E45</f>
        <v>0</v>
      </c>
      <c r="F45" s="667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4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4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4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4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4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4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4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4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4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8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4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4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4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4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4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3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4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4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4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4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4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4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4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4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4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4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4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4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2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4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4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4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4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4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4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4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4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4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4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4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4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4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4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4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4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4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4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4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4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4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4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4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4"/>
      <c r="G96" s="168"/>
      <c r="H96" s="511"/>
      <c r="I96" s="105"/>
      <c r="J96" s="469"/>
      <c r="K96" s="289"/>
      <c r="L96" s="295"/>
      <c r="M96" s="269"/>
      <c r="N96" s="493"/>
      <c r="O96" s="563"/>
      <c r="P96" s="674"/>
      <c r="Q96" s="870"/>
      <c r="R96" s="651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4"/>
      <c r="G97" s="168"/>
      <c r="H97" s="511"/>
      <c r="I97" s="105"/>
      <c r="J97" s="652"/>
      <c r="K97" s="545"/>
      <c r="L97" s="546"/>
      <c r="M97" s="545"/>
      <c r="N97" s="547"/>
      <c r="O97" s="692"/>
      <c r="P97" s="692"/>
      <c r="Q97" s="867"/>
      <c r="R97" s="692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3" t="s">
        <v>111</v>
      </c>
      <c r="C98" s="723" t="s">
        <v>146</v>
      </c>
      <c r="D98" s="723"/>
      <c r="E98" s="959">
        <v>44649</v>
      </c>
      <c r="F98" s="1024">
        <v>20</v>
      </c>
      <c r="G98" s="723">
        <v>1</v>
      </c>
      <c r="H98" s="1025">
        <v>20</v>
      </c>
      <c r="I98" s="700">
        <f t="shared" ref="I98:I108" si="18">H98-F98</f>
        <v>0</v>
      </c>
      <c r="J98" s="652"/>
      <c r="K98" s="543"/>
      <c r="L98" s="569"/>
      <c r="M98" s="543"/>
      <c r="N98" s="543"/>
      <c r="O98" s="962" t="s">
        <v>147</v>
      </c>
      <c r="P98" s="544"/>
      <c r="Q98" s="871">
        <v>5300</v>
      </c>
      <c r="R98" s="542" t="s">
        <v>153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15" t="s">
        <v>149</v>
      </c>
      <c r="C99" s="723" t="s">
        <v>132</v>
      </c>
      <c r="D99" s="723"/>
      <c r="E99" s="959">
        <v>44650</v>
      </c>
      <c r="F99" s="1024">
        <v>17458.669999999998</v>
      </c>
      <c r="G99" s="723">
        <v>590</v>
      </c>
      <c r="H99" s="1025">
        <v>17458.669999999998</v>
      </c>
      <c r="I99" s="700">
        <f t="shared" si="18"/>
        <v>0</v>
      </c>
      <c r="J99" s="813"/>
      <c r="K99" s="543"/>
      <c r="L99" s="569"/>
      <c r="M99" s="543"/>
      <c r="N99" s="782"/>
      <c r="O99" s="1053" t="s">
        <v>325</v>
      </c>
      <c r="P99" s="544"/>
      <c r="Q99" s="871">
        <v>2330731.7799999998</v>
      </c>
      <c r="R99" s="762" t="s">
        <v>326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61" t="s">
        <v>128</v>
      </c>
      <c r="C100" s="1040" t="s">
        <v>91</v>
      </c>
      <c r="D100" s="723"/>
      <c r="E100" s="1164">
        <v>44650</v>
      </c>
      <c r="F100" s="1024">
        <v>504.88</v>
      </c>
      <c r="G100" s="723">
        <v>17</v>
      </c>
      <c r="H100" s="1025">
        <v>504.88</v>
      </c>
      <c r="I100" s="700">
        <f t="shared" si="18"/>
        <v>0</v>
      </c>
      <c r="J100" s="652"/>
      <c r="K100" s="543"/>
      <c r="L100" s="569"/>
      <c r="M100" s="543"/>
      <c r="N100" s="820"/>
      <c r="O100" s="1167">
        <v>17789</v>
      </c>
      <c r="P100" s="1008"/>
      <c r="Q100" s="1044">
        <v>34331.839999999997</v>
      </c>
      <c r="R100" s="1206" t="s">
        <v>302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62"/>
      <c r="C101" s="1041" t="s">
        <v>110</v>
      </c>
      <c r="D101" s="723"/>
      <c r="E101" s="1165"/>
      <c r="F101" s="1024">
        <v>1964.49</v>
      </c>
      <c r="G101" s="723">
        <v>69</v>
      </c>
      <c r="H101" s="1025">
        <v>1964.49</v>
      </c>
      <c r="I101" s="700">
        <f>H101-F101</f>
        <v>0</v>
      </c>
      <c r="J101" s="825"/>
      <c r="K101" s="543"/>
      <c r="L101" s="569"/>
      <c r="M101" s="543"/>
      <c r="N101" s="820"/>
      <c r="O101" s="1168"/>
      <c r="P101" s="1043"/>
      <c r="Q101" s="1044">
        <v>104117.97</v>
      </c>
      <c r="R101" s="1207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62"/>
      <c r="C102" s="1042" t="s">
        <v>150</v>
      </c>
      <c r="D102" s="723"/>
      <c r="E102" s="1165"/>
      <c r="F102" s="1024">
        <v>506.1</v>
      </c>
      <c r="G102" s="723">
        <v>28</v>
      </c>
      <c r="H102" s="1025">
        <v>506.1</v>
      </c>
      <c r="I102" s="700">
        <f t="shared" si="18"/>
        <v>0</v>
      </c>
      <c r="J102" s="652"/>
      <c r="K102" s="543"/>
      <c r="L102" s="569"/>
      <c r="M102" s="543"/>
      <c r="N102" s="820"/>
      <c r="O102" s="1168"/>
      <c r="P102" s="1043"/>
      <c r="Q102" s="1044">
        <v>50610</v>
      </c>
      <c r="R102" s="1207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63"/>
      <c r="C103" s="1012" t="s">
        <v>79</v>
      </c>
      <c r="D103" s="723"/>
      <c r="E103" s="1166"/>
      <c r="F103" s="1024">
        <v>188.81</v>
      </c>
      <c r="G103" s="723">
        <v>7</v>
      </c>
      <c r="H103" s="1025">
        <v>188.81</v>
      </c>
      <c r="I103" s="700">
        <f t="shared" si="18"/>
        <v>0</v>
      </c>
      <c r="J103" s="652"/>
      <c r="K103" s="543"/>
      <c r="L103" s="709"/>
      <c r="M103" s="543"/>
      <c r="N103" s="708"/>
      <c r="O103" s="1168"/>
      <c r="P103" s="1043"/>
      <c r="Q103" s="1044">
        <v>4909.0600000000004</v>
      </c>
      <c r="R103" s="1208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56" t="s">
        <v>149</v>
      </c>
      <c r="C104" s="1012" t="s">
        <v>367</v>
      </c>
      <c r="D104" s="723"/>
      <c r="E104" s="1052">
        <v>44650</v>
      </c>
      <c r="F104" s="1024">
        <v>17458.669999999998</v>
      </c>
      <c r="G104" s="723">
        <v>590</v>
      </c>
      <c r="H104" s="1025">
        <v>17458.669999999998</v>
      </c>
      <c r="I104" s="700">
        <f t="shared" si="18"/>
        <v>0</v>
      </c>
      <c r="J104" s="652"/>
      <c r="K104" s="543"/>
      <c r="L104" s="709"/>
      <c r="M104" s="543"/>
      <c r="N104" s="708"/>
      <c r="O104" s="1058"/>
      <c r="P104" s="1043"/>
      <c r="Q104" s="1044"/>
      <c r="R104" s="1057"/>
      <c r="S104" s="65"/>
      <c r="T104" s="183"/>
    </row>
    <row r="105" spans="1:20" s="159" customFormat="1" ht="28.5" customHeight="1" thickTop="1" x14ac:dyDescent="0.25">
      <c r="A105" s="100">
        <v>67</v>
      </c>
      <c r="B105" s="1142" t="s">
        <v>128</v>
      </c>
      <c r="C105" s="723" t="s">
        <v>258</v>
      </c>
      <c r="D105" s="723"/>
      <c r="E105" s="1151">
        <v>44656</v>
      </c>
      <c r="F105" s="1025">
        <v>1108.29</v>
      </c>
      <c r="G105" s="723">
        <v>54</v>
      </c>
      <c r="H105" s="1025">
        <v>1108.29</v>
      </c>
      <c r="I105" s="780">
        <f t="shared" si="18"/>
        <v>0</v>
      </c>
      <c r="J105" s="652"/>
      <c r="K105" s="543"/>
      <c r="L105" s="569"/>
      <c r="M105" s="543"/>
      <c r="N105" s="820"/>
      <c r="O105" s="1154">
        <v>17814</v>
      </c>
      <c r="P105" s="1008"/>
      <c r="Q105" s="1044">
        <v>75363.72</v>
      </c>
      <c r="R105" s="1209" t="s">
        <v>303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42"/>
      <c r="C106" s="723" t="s">
        <v>279</v>
      </c>
      <c r="D106" s="723"/>
      <c r="E106" s="1152"/>
      <c r="F106" s="1025">
        <v>858.56</v>
      </c>
      <c r="G106" s="723">
        <v>35</v>
      </c>
      <c r="H106" s="1025">
        <v>858.56</v>
      </c>
      <c r="I106" s="726">
        <f t="shared" si="18"/>
        <v>0</v>
      </c>
      <c r="J106" s="652"/>
      <c r="K106" s="543"/>
      <c r="L106" s="569"/>
      <c r="M106" s="543"/>
      <c r="N106" s="820"/>
      <c r="O106" s="1154"/>
      <c r="P106" s="1009"/>
      <c r="Q106" s="1038">
        <v>42928</v>
      </c>
      <c r="R106" s="1210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42"/>
      <c r="C107" s="723" t="s">
        <v>150</v>
      </c>
      <c r="D107" s="723"/>
      <c r="E107" s="1153"/>
      <c r="F107" s="1025">
        <v>185.78</v>
      </c>
      <c r="G107" s="723">
        <v>8</v>
      </c>
      <c r="H107" s="1025">
        <v>185.78</v>
      </c>
      <c r="I107" s="278">
        <f t="shared" si="18"/>
        <v>0</v>
      </c>
      <c r="J107" s="652"/>
      <c r="K107" s="543"/>
      <c r="L107" s="569"/>
      <c r="M107" s="543"/>
      <c r="N107" s="820"/>
      <c r="O107" s="1154"/>
      <c r="P107" s="1009"/>
      <c r="Q107" s="1038">
        <v>18578</v>
      </c>
      <c r="R107" s="1211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55" t="s">
        <v>111</v>
      </c>
      <c r="C108" s="1010" t="s">
        <v>44</v>
      </c>
      <c r="D108" s="723"/>
      <c r="E108" s="1151">
        <v>44658</v>
      </c>
      <c r="F108" s="1025">
        <v>1961.28</v>
      </c>
      <c r="G108" s="723">
        <v>432</v>
      </c>
      <c r="H108" s="1025">
        <v>1961.28</v>
      </c>
      <c r="I108" s="278">
        <f t="shared" si="18"/>
        <v>0</v>
      </c>
      <c r="J108" s="652"/>
      <c r="K108" s="543"/>
      <c r="L108" s="569"/>
      <c r="M108" s="543"/>
      <c r="N108" s="820"/>
      <c r="O108" s="1158" t="s">
        <v>282</v>
      </c>
      <c r="P108" s="1013"/>
      <c r="Q108" s="1038">
        <v>121599.36</v>
      </c>
      <c r="R108" s="1204" t="s">
        <v>301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56"/>
      <c r="C109" s="1012" t="s">
        <v>280</v>
      </c>
      <c r="D109" s="723"/>
      <c r="E109" s="1152"/>
      <c r="F109" s="1025">
        <v>100</v>
      </c>
      <c r="G109" s="723">
        <v>10</v>
      </c>
      <c r="H109" s="1025">
        <v>100</v>
      </c>
      <c r="I109" s="278">
        <f t="shared" ref="I109:I112" si="20">H109-F109</f>
        <v>0</v>
      </c>
      <c r="J109" s="652"/>
      <c r="K109" s="543"/>
      <c r="L109" s="569"/>
      <c r="M109" s="543"/>
      <c r="N109" s="820"/>
      <c r="O109" s="1159"/>
      <c r="P109" s="1009"/>
      <c r="Q109" s="1038">
        <v>8500</v>
      </c>
      <c r="R109" s="1204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57"/>
      <c r="C110" s="1012" t="s">
        <v>281</v>
      </c>
      <c r="D110" s="723"/>
      <c r="E110" s="1153"/>
      <c r="F110" s="1025">
        <v>160</v>
      </c>
      <c r="G110" s="723">
        <v>16</v>
      </c>
      <c r="H110" s="1025">
        <v>160</v>
      </c>
      <c r="I110" s="437">
        <f t="shared" si="20"/>
        <v>0</v>
      </c>
      <c r="J110" s="653"/>
      <c r="K110" s="543"/>
      <c r="L110" s="569"/>
      <c r="M110" s="543"/>
      <c r="N110" s="820"/>
      <c r="O110" s="1160"/>
      <c r="P110" s="1009"/>
      <c r="Q110" s="1038">
        <v>16800</v>
      </c>
      <c r="R110" s="1205"/>
      <c r="S110" s="729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11" t="s">
        <v>283</v>
      </c>
      <c r="C111" s="723" t="s">
        <v>284</v>
      </c>
      <c r="D111" s="723"/>
      <c r="E111" s="1014">
        <v>44658</v>
      </c>
      <c r="F111" s="1025">
        <v>554.13</v>
      </c>
      <c r="G111" s="723">
        <v>30</v>
      </c>
      <c r="H111" s="1025">
        <v>554.13</v>
      </c>
      <c r="I111" s="437">
        <f t="shared" si="20"/>
        <v>0</v>
      </c>
      <c r="J111" s="653"/>
      <c r="K111" s="543"/>
      <c r="L111" s="569"/>
      <c r="M111" s="543"/>
      <c r="N111" s="820"/>
      <c r="O111" s="1032">
        <v>968</v>
      </c>
      <c r="P111" s="1033" t="s">
        <v>295</v>
      </c>
      <c r="Q111" s="867">
        <v>77578.2</v>
      </c>
      <c r="R111" s="1039" t="s">
        <v>294</v>
      </c>
      <c r="S111" s="729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3" t="s">
        <v>283</v>
      </c>
      <c r="C112" s="723" t="s">
        <v>287</v>
      </c>
      <c r="D112" s="723"/>
      <c r="E112" s="1014">
        <v>44659</v>
      </c>
      <c r="F112" s="1025">
        <v>505</v>
      </c>
      <c r="G112" s="723">
        <v>37</v>
      </c>
      <c r="H112" s="1025">
        <v>505</v>
      </c>
      <c r="I112" s="437">
        <f t="shared" si="20"/>
        <v>0</v>
      </c>
      <c r="J112" s="653"/>
      <c r="K112" s="543"/>
      <c r="L112" s="569"/>
      <c r="M112" s="543"/>
      <c r="N112" s="820"/>
      <c r="O112" s="783">
        <v>972</v>
      </c>
      <c r="P112" s="1033" t="s">
        <v>295</v>
      </c>
      <c r="Q112" s="867">
        <v>41915</v>
      </c>
      <c r="R112" s="692" t="s">
        <v>294</v>
      </c>
      <c r="S112" s="729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15" t="s">
        <v>71</v>
      </c>
      <c r="C113" s="517" t="s">
        <v>68</v>
      </c>
      <c r="D113" s="723"/>
      <c r="E113" s="1014">
        <v>44662</v>
      </c>
      <c r="F113" s="1025">
        <v>400.42</v>
      </c>
      <c r="G113" s="723">
        <v>34</v>
      </c>
      <c r="H113" s="1025">
        <v>400.42</v>
      </c>
      <c r="I113" s="105">
        <f t="shared" ref="I113:I188" si="23">H113-F113</f>
        <v>0</v>
      </c>
      <c r="J113" s="652"/>
      <c r="K113" s="543"/>
      <c r="L113" s="569"/>
      <c r="M113" s="543"/>
      <c r="N113" s="820"/>
      <c r="O113" s="1031" t="s">
        <v>289</v>
      </c>
      <c r="P113" s="888"/>
      <c r="Q113" s="867">
        <v>34996.71</v>
      </c>
      <c r="R113" s="1127" t="s">
        <v>508</v>
      </c>
      <c r="S113" s="729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55" t="s">
        <v>128</v>
      </c>
      <c r="C114" s="1010" t="s">
        <v>258</v>
      </c>
      <c r="D114" s="723"/>
      <c r="E114" s="1151">
        <v>44664</v>
      </c>
      <c r="F114" s="1025">
        <v>152.77000000000001</v>
      </c>
      <c r="G114" s="723">
        <v>7</v>
      </c>
      <c r="H114" s="1025">
        <v>152.77000000000001</v>
      </c>
      <c r="I114" s="105">
        <f t="shared" si="23"/>
        <v>0</v>
      </c>
      <c r="J114" s="652"/>
      <c r="K114" s="543"/>
      <c r="L114" s="569"/>
      <c r="M114" s="543"/>
      <c r="N114" s="820"/>
      <c r="O114" s="1173">
        <v>17843</v>
      </c>
      <c r="P114" s="1009"/>
      <c r="Q114" s="1128">
        <v>10388.36</v>
      </c>
      <c r="R114" s="1217" t="s">
        <v>622</v>
      </c>
      <c r="S114" s="729">
        <f t="shared" si="21"/>
        <v>10388.36</v>
      </c>
      <c r="T114" s="183">
        <f t="shared" si="22"/>
        <v>68</v>
      </c>
    </row>
    <row r="115" spans="1:20" s="159" customFormat="1" ht="21.75" customHeight="1" x14ac:dyDescent="0.25">
      <c r="A115" s="100">
        <v>77</v>
      </c>
      <c r="B115" s="1156"/>
      <c r="C115" s="1012" t="s">
        <v>110</v>
      </c>
      <c r="D115" s="723"/>
      <c r="E115" s="1152"/>
      <c r="F115" s="1025">
        <v>519.55999999999995</v>
      </c>
      <c r="G115" s="723">
        <v>18</v>
      </c>
      <c r="H115" s="1025">
        <v>519.55999999999995</v>
      </c>
      <c r="I115" s="105">
        <f t="shared" si="23"/>
        <v>0</v>
      </c>
      <c r="J115" s="652"/>
      <c r="K115" s="543"/>
      <c r="L115" s="569"/>
      <c r="M115" s="543"/>
      <c r="N115" s="820"/>
      <c r="O115" s="1174"/>
      <c r="P115" s="1013"/>
      <c r="Q115" s="1128">
        <v>27017.119999999999</v>
      </c>
      <c r="R115" s="1218"/>
      <c r="S115" s="729">
        <f t="shared" si="21"/>
        <v>27017.119999999999</v>
      </c>
      <c r="T115" s="183">
        <f t="shared" si="22"/>
        <v>52</v>
      </c>
    </row>
    <row r="116" spans="1:20" s="159" customFormat="1" ht="22.5" customHeight="1" x14ac:dyDescent="0.25">
      <c r="A116" s="100">
        <v>78</v>
      </c>
      <c r="B116" s="1156"/>
      <c r="C116" s="1012" t="s">
        <v>79</v>
      </c>
      <c r="D116" s="723"/>
      <c r="E116" s="1152"/>
      <c r="F116" s="1025">
        <v>595.26</v>
      </c>
      <c r="G116" s="723">
        <v>20</v>
      </c>
      <c r="H116" s="1025">
        <v>595.26</v>
      </c>
      <c r="I116" s="105">
        <f t="shared" si="23"/>
        <v>0</v>
      </c>
      <c r="J116" s="654"/>
      <c r="K116" s="543"/>
      <c r="L116" s="569"/>
      <c r="M116" s="543"/>
      <c r="N116" s="944"/>
      <c r="O116" s="1174"/>
      <c r="P116" s="1009"/>
      <c r="Q116" s="1128">
        <v>19048.32</v>
      </c>
      <c r="R116" s="1218"/>
      <c r="S116" s="65">
        <f t="shared" si="15"/>
        <v>19048.32</v>
      </c>
      <c r="T116" s="65">
        <f t="shared" ref="T116:T131" si="24">S116/H116</f>
        <v>32</v>
      </c>
    </row>
    <row r="117" spans="1:20" s="159" customFormat="1" ht="22.5" customHeight="1" thickBot="1" x14ac:dyDescent="0.3">
      <c r="A117" s="100">
        <v>79</v>
      </c>
      <c r="B117" s="1157"/>
      <c r="C117" s="1012" t="s">
        <v>291</v>
      </c>
      <c r="D117" s="723"/>
      <c r="E117" s="1153"/>
      <c r="F117" s="1025">
        <v>5021.8</v>
      </c>
      <c r="G117" s="723">
        <v>172</v>
      </c>
      <c r="H117" s="1025">
        <v>5021.8</v>
      </c>
      <c r="I117" s="105">
        <f t="shared" si="23"/>
        <v>0</v>
      </c>
      <c r="J117" s="654"/>
      <c r="K117" s="543"/>
      <c r="L117" s="569"/>
      <c r="M117" s="543"/>
      <c r="N117" s="944"/>
      <c r="O117" s="1175"/>
      <c r="P117" s="1009"/>
      <c r="Q117" s="1128">
        <v>258622.7</v>
      </c>
      <c r="R117" s="1219"/>
      <c r="S117" s="65">
        <f t="shared" si="15"/>
        <v>258622.7</v>
      </c>
      <c r="T117" s="65">
        <f t="shared" si="24"/>
        <v>51.5</v>
      </c>
    </row>
    <row r="118" spans="1:20" s="159" customFormat="1" ht="23.25" customHeight="1" x14ac:dyDescent="0.25">
      <c r="A118" s="100">
        <v>80</v>
      </c>
      <c r="B118" s="1176" t="s">
        <v>111</v>
      </c>
      <c r="C118" s="1012" t="s">
        <v>280</v>
      </c>
      <c r="D118" s="723"/>
      <c r="E118" s="1151">
        <v>44665</v>
      </c>
      <c r="F118" s="1025">
        <v>100</v>
      </c>
      <c r="G118" s="723">
        <v>10</v>
      </c>
      <c r="H118" s="1025">
        <v>100</v>
      </c>
      <c r="I118" s="105">
        <f t="shared" si="23"/>
        <v>0</v>
      </c>
      <c r="J118" s="654"/>
      <c r="K118" s="543"/>
      <c r="L118" s="569"/>
      <c r="M118" s="543"/>
      <c r="N118" s="944"/>
      <c r="O118" s="1179" t="s">
        <v>304</v>
      </c>
      <c r="P118" s="1009"/>
      <c r="Q118" s="1038">
        <v>8500</v>
      </c>
      <c r="R118" s="1212" t="s">
        <v>305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77"/>
      <c r="C119" s="1012" t="s">
        <v>292</v>
      </c>
      <c r="D119" s="723"/>
      <c r="E119" s="1152"/>
      <c r="F119" s="1025">
        <v>100</v>
      </c>
      <c r="G119" s="723">
        <v>10</v>
      </c>
      <c r="H119" s="1025">
        <v>100</v>
      </c>
      <c r="I119" s="105">
        <f t="shared" si="23"/>
        <v>0</v>
      </c>
      <c r="J119" s="654"/>
      <c r="K119" s="543"/>
      <c r="L119" s="569"/>
      <c r="M119" s="543"/>
      <c r="N119" s="944"/>
      <c r="O119" s="1159"/>
      <c r="P119" s="1009"/>
      <c r="Q119" s="1038">
        <v>10500</v>
      </c>
      <c r="R119" s="1212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78"/>
      <c r="C120" s="1012" t="s">
        <v>293</v>
      </c>
      <c r="D120" s="723"/>
      <c r="E120" s="1152"/>
      <c r="F120" s="1025">
        <v>60</v>
      </c>
      <c r="G120" s="723">
        <v>3</v>
      </c>
      <c r="H120" s="1025">
        <v>60</v>
      </c>
      <c r="I120" s="105">
        <f t="shared" si="23"/>
        <v>0</v>
      </c>
      <c r="J120" s="654"/>
      <c r="K120" s="543"/>
      <c r="L120" s="569"/>
      <c r="M120" s="543"/>
      <c r="N120" s="944"/>
      <c r="O120" s="1160"/>
      <c r="P120" s="1009"/>
      <c r="Q120" s="1038">
        <v>9600</v>
      </c>
      <c r="R120" s="1213"/>
      <c r="S120" s="65">
        <f t="shared" ref="S120:S127" si="25">Q120+M120+K120</f>
        <v>9600</v>
      </c>
      <c r="T120" s="65">
        <f t="shared" ref="T120:T127" si="26">S120/H120</f>
        <v>160</v>
      </c>
    </row>
    <row r="121" spans="1:20" s="159" customFormat="1" ht="18.75" customHeight="1" thickTop="1" x14ac:dyDescent="0.25">
      <c r="A121" s="100">
        <v>82</v>
      </c>
      <c r="B121" s="1181" t="s">
        <v>128</v>
      </c>
      <c r="C121" s="1012" t="s">
        <v>258</v>
      </c>
      <c r="D121" s="1047"/>
      <c r="E121" s="1184">
        <v>44669</v>
      </c>
      <c r="F121" s="1048">
        <v>584.07000000000005</v>
      </c>
      <c r="G121" s="723">
        <v>20</v>
      </c>
      <c r="H121" s="1025">
        <v>584.07000000000005</v>
      </c>
      <c r="I121" s="105">
        <f t="shared" si="23"/>
        <v>0</v>
      </c>
      <c r="J121" s="654"/>
      <c r="K121" s="543"/>
      <c r="L121" s="569"/>
      <c r="M121" s="543"/>
      <c r="N121" s="944"/>
      <c r="O121" s="1189">
        <v>17859</v>
      </c>
      <c r="P121" s="1008"/>
      <c r="Q121" s="1044">
        <v>39716.76</v>
      </c>
      <c r="R121" s="1214" t="s">
        <v>615</v>
      </c>
      <c r="S121" s="65">
        <f t="shared" si="25"/>
        <v>39716.76</v>
      </c>
      <c r="T121" s="65">
        <f t="shared" si="26"/>
        <v>68</v>
      </c>
    </row>
    <row r="122" spans="1:20" s="159" customFormat="1" ht="18.75" customHeight="1" x14ac:dyDescent="0.25">
      <c r="A122" s="100">
        <v>83</v>
      </c>
      <c r="B122" s="1182"/>
      <c r="C122" s="1012" t="s">
        <v>93</v>
      </c>
      <c r="D122" s="1047"/>
      <c r="E122" s="1185"/>
      <c r="F122" s="1048">
        <v>784.48</v>
      </c>
      <c r="G122" s="723">
        <v>31</v>
      </c>
      <c r="H122" s="1025">
        <v>784.48</v>
      </c>
      <c r="I122" s="105">
        <f t="shared" si="23"/>
        <v>0</v>
      </c>
      <c r="J122" s="654"/>
      <c r="K122" s="543"/>
      <c r="L122" s="569"/>
      <c r="M122" s="543"/>
      <c r="N122" s="944"/>
      <c r="O122" s="1190"/>
      <c r="P122" s="1008"/>
      <c r="Q122" s="1044">
        <v>40792.959999999999</v>
      </c>
      <c r="R122" s="1215"/>
      <c r="S122" s="65">
        <f t="shared" si="25"/>
        <v>40792.959999999999</v>
      </c>
      <c r="T122" s="65">
        <f t="shared" si="26"/>
        <v>52</v>
      </c>
    </row>
    <row r="123" spans="1:20" s="159" customFormat="1" ht="18.75" customHeight="1" x14ac:dyDescent="0.25">
      <c r="A123" s="100">
        <v>84</v>
      </c>
      <c r="B123" s="1182"/>
      <c r="C123" s="1012" t="s">
        <v>110</v>
      </c>
      <c r="D123" s="1047"/>
      <c r="E123" s="1185"/>
      <c r="F123" s="1048">
        <v>1893.1</v>
      </c>
      <c r="G123" s="723">
        <v>64</v>
      </c>
      <c r="H123" s="1025">
        <v>1893.1</v>
      </c>
      <c r="I123" s="105">
        <f t="shared" si="23"/>
        <v>0</v>
      </c>
      <c r="J123" s="654"/>
      <c r="K123" s="543"/>
      <c r="L123" s="569"/>
      <c r="M123" s="543"/>
      <c r="N123" s="944"/>
      <c r="O123" s="1190"/>
      <c r="P123" s="1049"/>
      <c r="Q123" s="1044">
        <v>102227.4</v>
      </c>
      <c r="R123" s="1215"/>
      <c r="S123" s="65">
        <f t="shared" si="25"/>
        <v>102227.4</v>
      </c>
      <c r="T123" s="65">
        <f t="shared" si="26"/>
        <v>54</v>
      </c>
    </row>
    <row r="124" spans="1:20" s="159" customFormat="1" ht="18.75" customHeight="1" thickBot="1" x14ac:dyDescent="0.3">
      <c r="A124" s="100">
        <v>85</v>
      </c>
      <c r="B124" s="1183"/>
      <c r="C124" s="1012" t="s">
        <v>79</v>
      </c>
      <c r="D124" s="1047"/>
      <c r="E124" s="1186"/>
      <c r="F124" s="1048">
        <v>996.93</v>
      </c>
      <c r="G124" s="723">
        <v>33</v>
      </c>
      <c r="H124" s="1025">
        <v>996.93</v>
      </c>
      <c r="I124" s="105">
        <f t="shared" si="23"/>
        <v>0</v>
      </c>
      <c r="J124" s="654"/>
      <c r="K124" s="543"/>
      <c r="L124" s="569"/>
      <c r="M124" s="543"/>
      <c r="N124" s="944"/>
      <c r="O124" s="1191"/>
      <c r="P124" s="1050"/>
      <c r="Q124" s="1044">
        <v>27914.04</v>
      </c>
      <c r="R124" s="1215"/>
      <c r="S124" s="65">
        <f t="shared" si="25"/>
        <v>27914.04</v>
      </c>
      <c r="T124" s="65">
        <f t="shared" si="26"/>
        <v>28.000000000000004</v>
      </c>
    </row>
    <row r="125" spans="1:20" s="159" customFormat="1" ht="18.75" customHeight="1" x14ac:dyDescent="0.25">
      <c r="A125" s="100"/>
      <c r="B125" s="1192" t="s">
        <v>616</v>
      </c>
      <c r="C125" s="1042" t="s">
        <v>617</v>
      </c>
      <c r="D125" s="1195" t="s">
        <v>621</v>
      </c>
      <c r="E125" s="1126">
        <v>44669</v>
      </c>
      <c r="F125" s="1048">
        <v>924.2</v>
      </c>
      <c r="G125" s="723">
        <v>3</v>
      </c>
      <c r="H125" s="1025">
        <v>924.2</v>
      </c>
      <c r="I125" s="105">
        <f t="shared" si="23"/>
        <v>0</v>
      </c>
      <c r="J125" s="654"/>
      <c r="K125" s="543"/>
      <c r="L125" s="569"/>
      <c r="M125" s="543"/>
      <c r="N125" s="944"/>
      <c r="O125" s="1194" t="s">
        <v>619</v>
      </c>
      <c r="P125" s="1050"/>
      <c r="Q125" s="1044">
        <v>88722.6</v>
      </c>
      <c r="R125" s="1216" t="s">
        <v>620</v>
      </c>
      <c r="S125" s="65">
        <f t="shared" si="25"/>
        <v>88722.6</v>
      </c>
      <c r="T125" s="65">
        <f t="shared" si="26"/>
        <v>95.999350789872324</v>
      </c>
    </row>
    <row r="126" spans="1:20" s="159" customFormat="1" ht="18.75" customHeight="1" thickBot="1" x14ac:dyDescent="0.3">
      <c r="A126" s="100"/>
      <c r="B126" s="1193"/>
      <c r="C126" s="1042" t="s">
        <v>618</v>
      </c>
      <c r="D126" s="1196"/>
      <c r="E126" s="1126">
        <v>44669</v>
      </c>
      <c r="F126" s="1048">
        <v>174.4</v>
      </c>
      <c r="G126" s="723">
        <v>2</v>
      </c>
      <c r="H126" s="1025">
        <v>174.4</v>
      </c>
      <c r="I126" s="105">
        <f t="shared" si="23"/>
        <v>0</v>
      </c>
      <c r="J126" s="654"/>
      <c r="K126" s="543"/>
      <c r="L126" s="569"/>
      <c r="M126" s="543"/>
      <c r="N126" s="944"/>
      <c r="O126" s="1191"/>
      <c r="P126" s="1050"/>
      <c r="Q126" s="1044">
        <v>18486.400000000001</v>
      </c>
      <c r="R126" s="1205"/>
      <c r="S126" s="65">
        <f t="shared" si="25"/>
        <v>18486.400000000001</v>
      </c>
      <c r="T126" s="65">
        <f t="shared" si="26"/>
        <v>106</v>
      </c>
    </row>
    <row r="127" spans="1:20" s="159" customFormat="1" ht="18.75" customHeight="1" thickTop="1" x14ac:dyDescent="0.25">
      <c r="A127" s="100">
        <v>86</v>
      </c>
      <c r="B127" s="1177" t="s">
        <v>71</v>
      </c>
      <c r="C127" s="1012" t="s">
        <v>68</v>
      </c>
      <c r="D127" s="723"/>
      <c r="E127" s="1086">
        <v>44673</v>
      </c>
      <c r="F127" s="1025">
        <v>1006.95</v>
      </c>
      <c r="G127" s="723">
        <v>85</v>
      </c>
      <c r="H127" s="1025">
        <v>1006.95</v>
      </c>
      <c r="I127" s="105">
        <f t="shared" si="23"/>
        <v>0</v>
      </c>
      <c r="J127" s="654"/>
      <c r="K127" s="543"/>
      <c r="L127" s="569"/>
      <c r="M127" s="543"/>
      <c r="N127" s="944"/>
      <c r="O127" s="1180" t="s">
        <v>505</v>
      </c>
      <c r="P127" s="1049"/>
      <c r="Q127" s="871">
        <v>88007.43</v>
      </c>
      <c r="R127" s="1187" t="s">
        <v>532</v>
      </c>
      <c r="S127" s="65">
        <f t="shared" si="25"/>
        <v>88007.43</v>
      </c>
      <c r="T127" s="65">
        <f t="shared" si="26"/>
        <v>87.399999999999991</v>
      </c>
    </row>
    <row r="128" spans="1:20" s="159" customFormat="1" ht="18.75" customHeight="1" thickBot="1" x14ac:dyDescent="0.3">
      <c r="A128" s="100">
        <v>87</v>
      </c>
      <c r="B128" s="1178"/>
      <c r="C128" s="1010" t="s">
        <v>504</v>
      </c>
      <c r="D128" s="723"/>
      <c r="E128" s="1087">
        <v>44673</v>
      </c>
      <c r="F128" s="1025">
        <v>204.59</v>
      </c>
      <c r="G128" s="723">
        <v>17</v>
      </c>
      <c r="H128" s="1025">
        <v>204.59</v>
      </c>
      <c r="I128" s="105">
        <f t="shared" si="23"/>
        <v>0</v>
      </c>
      <c r="J128" s="654"/>
      <c r="K128" s="543"/>
      <c r="L128" s="569"/>
      <c r="M128" s="543"/>
      <c r="N128" s="944"/>
      <c r="O128" s="1137"/>
      <c r="P128" s="1008"/>
      <c r="Q128" s="871">
        <v>18413.099999999999</v>
      </c>
      <c r="R128" s="1188"/>
      <c r="S128" s="65">
        <f t="shared" si="15"/>
        <v>18413.099999999999</v>
      </c>
      <c r="T128" s="65">
        <f t="shared" si="24"/>
        <v>89.999999999999986</v>
      </c>
    </row>
    <row r="129" spans="1:20" s="159" customFormat="1" ht="43.5" thickTop="1" x14ac:dyDescent="0.25">
      <c r="A129" s="100">
        <v>88</v>
      </c>
      <c r="B129" s="1011" t="s">
        <v>128</v>
      </c>
      <c r="C129" s="517" t="s">
        <v>79</v>
      </c>
      <c r="D129" s="723"/>
      <c r="E129" s="1087">
        <v>44673</v>
      </c>
      <c r="F129" s="1025">
        <v>839.97</v>
      </c>
      <c r="G129" s="723">
        <v>29</v>
      </c>
      <c r="H129" s="1025">
        <v>839.97</v>
      </c>
      <c r="I129" s="105">
        <f t="shared" si="23"/>
        <v>0</v>
      </c>
      <c r="J129" s="654"/>
      <c r="K129" s="543"/>
      <c r="L129" s="569"/>
      <c r="M129" s="543"/>
      <c r="N129" s="944"/>
      <c r="O129" s="1129">
        <v>17874</v>
      </c>
      <c r="P129" s="544"/>
      <c r="Q129" s="1123">
        <v>25199.1</v>
      </c>
      <c r="R129" s="1130" t="s">
        <v>623</v>
      </c>
      <c r="S129" s="65">
        <f t="shared" si="15"/>
        <v>25199.1</v>
      </c>
      <c r="T129" s="65">
        <f t="shared" si="24"/>
        <v>29.999999999999996</v>
      </c>
    </row>
    <row r="130" spans="1:20" s="159" customFormat="1" ht="29.25" thickBot="1" x14ac:dyDescent="0.3">
      <c r="A130" s="100">
        <v>89</v>
      </c>
      <c r="B130" s="723" t="s">
        <v>313</v>
      </c>
      <c r="C130" s="723" t="s">
        <v>132</v>
      </c>
      <c r="D130" s="723"/>
      <c r="E130" s="1087">
        <v>44673</v>
      </c>
      <c r="F130" s="1025">
        <v>18506.88</v>
      </c>
      <c r="G130" s="723">
        <v>680</v>
      </c>
      <c r="H130" s="1025">
        <v>18506.88</v>
      </c>
      <c r="I130" s="105">
        <f t="shared" si="23"/>
        <v>0</v>
      </c>
      <c r="J130" s="654"/>
      <c r="K130" s="543"/>
      <c r="L130" s="569"/>
      <c r="M130" s="543"/>
      <c r="N130" s="949"/>
      <c r="O130" s="1096" t="s">
        <v>523</v>
      </c>
      <c r="P130" s="1125" t="s">
        <v>295</v>
      </c>
      <c r="Q130" s="1123">
        <v>958656.38</v>
      </c>
      <c r="R130" s="1124" t="s">
        <v>614</v>
      </c>
      <c r="S130" s="65">
        <f t="shared" si="15"/>
        <v>958656.38</v>
      </c>
      <c r="T130" s="65">
        <f t="shared" si="24"/>
        <v>51.799999783864159</v>
      </c>
    </row>
    <row r="131" spans="1:20" s="159" customFormat="1" ht="19.5" customHeight="1" x14ac:dyDescent="0.25">
      <c r="A131" s="100">
        <v>90</v>
      </c>
      <c r="B131" s="1138" t="s">
        <v>283</v>
      </c>
      <c r="C131" s="517" t="s">
        <v>287</v>
      </c>
      <c r="D131" s="723"/>
      <c r="E131" s="1087">
        <v>44676</v>
      </c>
      <c r="F131" s="1025">
        <v>400</v>
      </c>
      <c r="G131" s="723">
        <v>40</v>
      </c>
      <c r="H131" s="1025">
        <v>400</v>
      </c>
      <c r="I131" s="105">
        <f t="shared" si="23"/>
        <v>0</v>
      </c>
      <c r="J131" s="665"/>
      <c r="K131" s="543"/>
      <c r="L131" s="569"/>
      <c r="M131" s="543"/>
      <c r="N131" s="950"/>
      <c r="O131" s="1140">
        <v>1010</v>
      </c>
      <c r="P131" s="1202" t="s">
        <v>295</v>
      </c>
      <c r="Q131" s="1121">
        <v>33600</v>
      </c>
      <c r="R131" s="1200" t="s">
        <v>613</v>
      </c>
      <c r="S131" s="65">
        <f t="shared" si="15"/>
        <v>33600</v>
      </c>
      <c r="T131" s="65">
        <f t="shared" si="24"/>
        <v>84</v>
      </c>
    </row>
    <row r="132" spans="1:20" s="159" customFormat="1" ht="19.5" customHeight="1" thickBot="1" x14ac:dyDescent="0.3">
      <c r="A132" s="100">
        <v>91</v>
      </c>
      <c r="B132" s="1139"/>
      <c r="C132" s="723" t="s">
        <v>98</v>
      </c>
      <c r="D132" s="723"/>
      <c r="E132" s="1087">
        <v>44676</v>
      </c>
      <c r="F132" s="1025">
        <v>500</v>
      </c>
      <c r="G132" s="723">
        <v>50</v>
      </c>
      <c r="H132" s="1025">
        <v>500</v>
      </c>
      <c r="I132" s="105">
        <f t="shared" si="23"/>
        <v>0</v>
      </c>
      <c r="J132" s="665"/>
      <c r="K132" s="543"/>
      <c r="L132" s="569"/>
      <c r="M132" s="543"/>
      <c r="N132" s="951"/>
      <c r="O132" s="1141"/>
      <c r="P132" s="1203"/>
      <c r="Q132" s="1121">
        <v>24250</v>
      </c>
      <c r="R132" s="1201"/>
      <c r="S132" s="65">
        <f t="shared" si="15"/>
        <v>24250</v>
      </c>
      <c r="T132" s="65">
        <f>S132/H132</f>
        <v>48.5</v>
      </c>
    </row>
    <row r="133" spans="1:20" s="159" customFormat="1" ht="19.5" customHeight="1" x14ac:dyDescent="0.25">
      <c r="A133" s="100">
        <v>92</v>
      </c>
      <c r="B133" s="1138" t="s">
        <v>128</v>
      </c>
      <c r="C133" s="1097" t="s">
        <v>91</v>
      </c>
      <c r="D133" s="1015"/>
      <c r="E133" s="1143">
        <v>44679</v>
      </c>
      <c r="F133" s="1026">
        <v>2405.6799999999998</v>
      </c>
      <c r="G133" s="1015">
        <v>87</v>
      </c>
      <c r="H133" s="1026">
        <v>2405.6799999999998</v>
      </c>
      <c r="I133" s="278">
        <f t="shared" si="23"/>
        <v>0</v>
      </c>
      <c r="J133" s="506"/>
      <c r="K133" s="543"/>
      <c r="L133" s="569"/>
      <c r="M133" s="543"/>
      <c r="N133" s="708"/>
      <c r="O133" s="1146">
        <v>17906</v>
      </c>
      <c r="P133" s="1008"/>
      <c r="Q133" s="1123">
        <v>163586.23999999999</v>
      </c>
      <c r="R133" s="1197" t="s">
        <v>624</v>
      </c>
      <c r="S133" s="65">
        <f t="shared" si="15"/>
        <v>163586.23999999999</v>
      </c>
      <c r="T133" s="65">
        <f t="shared" ref="T133" si="27">S133/H133</f>
        <v>68</v>
      </c>
    </row>
    <row r="134" spans="1:20" s="159" customFormat="1" ht="19.5" customHeight="1" x14ac:dyDescent="0.25">
      <c r="A134" s="100">
        <v>93</v>
      </c>
      <c r="B134" s="1142"/>
      <c r="C134" s="517" t="s">
        <v>258</v>
      </c>
      <c r="D134" s="517"/>
      <c r="E134" s="1144"/>
      <c r="F134" s="1027">
        <v>1022.39</v>
      </c>
      <c r="G134" s="517">
        <v>35</v>
      </c>
      <c r="H134" s="1027">
        <v>1022.39</v>
      </c>
      <c r="I134" s="278">
        <f t="shared" si="23"/>
        <v>0</v>
      </c>
      <c r="J134" s="506"/>
      <c r="K134" s="543"/>
      <c r="L134" s="569"/>
      <c r="M134" s="543"/>
      <c r="N134" s="708"/>
      <c r="O134" s="1147"/>
      <c r="P134" s="1008"/>
      <c r="Q134" s="1123">
        <v>69522.52</v>
      </c>
      <c r="R134" s="1198"/>
      <c r="S134" s="65">
        <f t="shared" ref="S134:S140" si="28">Q134+M134+K134</f>
        <v>69522.52</v>
      </c>
      <c r="T134" s="65">
        <f t="shared" ref="T134:T140" si="29">S134/H134</f>
        <v>68</v>
      </c>
    </row>
    <row r="135" spans="1:20" s="159" customFormat="1" ht="19.5" customHeight="1" thickBot="1" x14ac:dyDescent="0.3">
      <c r="A135" s="100">
        <v>94</v>
      </c>
      <c r="B135" s="1139"/>
      <c r="C135" s="517" t="s">
        <v>93</v>
      </c>
      <c r="D135" s="517"/>
      <c r="E135" s="1145"/>
      <c r="F135" s="1027">
        <v>2051.25</v>
      </c>
      <c r="G135" s="517">
        <v>72</v>
      </c>
      <c r="H135" s="1027">
        <v>2051.25</v>
      </c>
      <c r="I135" s="278">
        <f t="shared" si="23"/>
        <v>0</v>
      </c>
      <c r="J135" s="506"/>
      <c r="K135" s="543"/>
      <c r="L135" s="569"/>
      <c r="M135" s="764"/>
      <c r="N135" s="781"/>
      <c r="O135" s="1148"/>
      <c r="P135" s="1008"/>
      <c r="Q135" s="1123">
        <v>106665</v>
      </c>
      <c r="R135" s="1199"/>
      <c r="S135" s="65">
        <f t="shared" si="28"/>
        <v>106665</v>
      </c>
      <c r="T135" s="65">
        <f t="shared" si="29"/>
        <v>52</v>
      </c>
    </row>
    <row r="136" spans="1:20" s="159" customFormat="1" ht="29.25" thickBot="1" x14ac:dyDescent="0.3">
      <c r="A136" s="100">
        <v>95</v>
      </c>
      <c r="B136" s="517" t="s">
        <v>111</v>
      </c>
      <c r="C136" s="517" t="s">
        <v>529</v>
      </c>
      <c r="D136" s="517"/>
      <c r="E136" s="1088">
        <v>44679</v>
      </c>
      <c r="F136" s="1027">
        <v>150</v>
      </c>
      <c r="G136" s="517">
        <v>15</v>
      </c>
      <c r="H136" s="1027">
        <v>150</v>
      </c>
      <c r="I136" s="278">
        <f t="shared" si="23"/>
        <v>0</v>
      </c>
      <c r="J136" s="506"/>
      <c r="K136" s="543"/>
      <c r="L136" s="569"/>
      <c r="M136" s="543"/>
      <c r="N136" s="782"/>
      <c r="O136" s="1099" t="s">
        <v>530</v>
      </c>
      <c r="P136" s="544"/>
      <c r="Q136" s="871">
        <v>15750</v>
      </c>
      <c r="R136" s="762" t="s">
        <v>533</v>
      </c>
      <c r="S136" s="65">
        <f t="shared" si="28"/>
        <v>15750</v>
      </c>
      <c r="T136" s="65">
        <f t="shared" si="29"/>
        <v>105</v>
      </c>
    </row>
    <row r="137" spans="1:20" s="159" customFormat="1" ht="19.5" customHeight="1" thickTop="1" x14ac:dyDescent="0.25">
      <c r="A137" s="100">
        <v>96</v>
      </c>
      <c r="B137" s="1134" t="s">
        <v>128</v>
      </c>
      <c r="C137" s="767" t="s">
        <v>91</v>
      </c>
      <c r="D137" s="517"/>
      <c r="E137" s="1088">
        <v>44680</v>
      </c>
      <c r="F137" s="1027">
        <v>1003.67</v>
      </c>
      <c r="G137" s="517">
        <v>37</v>
      </c>
      <c r="H137" s="1027">
        <v>1003.67</v>
      </c>
      <c r="I137" s="278">
        <f t="shared" si="23"/>
        <v>0</v>
      </c>
      <c r="J137" s="506"/>
      <c r="K137" s="543"/>
      <c r="L137" s="569"/>
      <c r="M137" s="543"/>
      <c r="N137" s="708"/>
      <c r="O137" s="1136">
        <v>17926</v>
      </c>
      <c r="P137" s="1008"/>
      <c r="Q137" s="1121">
        <v>65238.55</v>
      </c>
      <c r="R137" s="1132" t="s">
        <v>624</v>
      </c>
      <c r="S137" s="65">
        <f t="shared" si="28"/>
        <v>65238.55</v>
      </c>
      <c r="T137" s="65">
        <f t="shared" si="29"/>
        <v>65</v>
      </c>
    </row>
    <row r="138" spans="1:20" s="159" customFormat="1" ht="19.5" customHeight="1" thickBot="1" x14ac:dyDescent="0.3">
      <c r="A138" s="100">
        <v>97</v>
      </c>
      <c r="B138" s="1135"/>
      <c r="C138" s="960" t="s">
        <v>279</v>
      </c>
      <c r="D138" s="517"/>
      <c r="E138" s="1088">
        <v>44680</v>
      </c>
      <c r="F138" s="1027">
        <v>981.79</v>
      </c>
      <c r="G138" s="517">
        <v>38</v>
      </c>
      <c r="H138" s="1016">
        <v>981.79</v>
      </c>
      <c r="I138" s="278">
        <f t="shared" si="23"/>
        <v>0</v>
      </c>
      <c r="J138" s="652"/>
      <c r="K138" s="543"/>
      <c r="L138" s="569"/>
      <c r="M138" s="543"/>
      <c r="N138" s="820"/>
      <c r="O138" s="1137"/>
      <c r="P138" s="1043"/>
      <c r="Q138" s="1121">
        <v>51053.08</v>
      </c>
      <c r="R138" s="1133"/>
      <c r="S138" s="65">
        <f t="shared" si="28"/>
        <v>51053.08</v>
      </c>
      <c r="T138" s="65">
        <f t="shared" si="29"/>
        <v>52.000000000000007</v>
      </c>
    </row>
    <row r="139" spans="1:20" s="159" customFormat="1" ht="19.5" customHeight="1" thickTop="1" x14ac:dyDescent="0.25">
      <c r="A139" s="100">
        <v>98</v>
      </c>
      <c r="B139" s="517"/>
      <c r="C139" s="961"/>
      <c r="D139" s="517"/>
      <c r="E139" s="1088"/>
      <c r="F139" s="1027"/>
      <c r="G139" s="517"/>
      <c r="H139" s="1016"/>
      <c r="I139" s="105">
        <f t="shared" si="23"/>
        <v>0</v>
      </c>
      <c r="J139" s="652"/>
      <c r="K139" s="543"/>
      <c r="L139" s="569"/>
      <c r="M139" s="543"/>
      <c r="N139" s="543"/>
      <c r="O139" s="1051"/>
      <c r="P139" s="543"/>
      <c r="Q139" s="871"/>
      <c r="R139" s="1131"/>
      <c r="S139" s="65">
        <f t="shared" si="28"/>
        <v>0</v>
      </c>
      <c r="T139" s="65" t="e">
        <f t="shared" si="29"/>
        <v>#DIV/0!</v>
      </c>
    </row>
    <row r="140" spans="1:20" s="159" customFormat="1" ht="19.5" customHeight="1" x14ac:dyDescent="0.25">
      <c r="A140" s="100">
        <v>99</v>
      </c>
      <c r="B140" s="517"/>
      <c r="C140" s="517"/>
      <c r="D140" s="517"/>
      <c r="E140" s="1088"/>
      <c r="F140" s="1027"/>
      <c r="G140" s="517"/>
      <c r="H140" s="1016"/>
      <c r="I140" s="105">
        <f t="shared" si="23"/>
        <v>0</v>
      </c>
      <c r="J140" s="506"/>
      <c r="K140" s="543"/>
      <c r="L140" s="569"/>
      <c r="M140" s="543"/>
      <c r="N140" s="543"/>
      <c r="O140" s="980"/>
      <c r="P140" s="543"/>
      <c r="Q140" s="871"/>
      <c r="R140" s="542"/>
      <c r="S140" s="65">
        <f t="shared" si="28"/>
        <v>0</v>
      </c>
      <c r="T140" s="65" t="e">
        <f t="shared" si="29"/>
        <v>#DIV/0!</v>
      </c>
    </row>
    <row r="141" spans="1:20" s="159" customFormat="1" ht="16.5" customHeight="1" x14ac:dyDescent="0.25">
      <c r="A141" s="100">
        <v>100</v>
      </c>
      <c r="B141" s="1017"/>
      <c r="C141" s="760"/>
      <c r="D141" s="776"/>
      <c r="E141" s="777"/>
      <c r="F141" s="1028"/>
      <c r="G141" s="778"/>
      <c r="H141" s="790"/>
      <c r="I141" s="105">
        <f t="shared" si="23"/>
        <v>0</v>
      </c>
      <c r="J141" s="517"/>
      <c r="K141" s="543"/>
      <c r="L141" s="569"/>
      <c r="M141" s="543"/>
      <c r="N141" s="543"/>
      <c r="O141" s="981"/>
      <c r="P141" s="543"/>
      <c r="Q141" s="982"/>
      <c r="R141" s="542"/>
      <c r="S141" s="65">
        <f t="shared" si="15"/>
        <v>0</v>
      </c>
      <c r="T141" s="65" t="e">
        <f t="shared" ref="T141" si="30">S141/H141</f>
        <v>#DIV/0!</v>
      </c>
    </row>
    <row r="142" spans="1:20" s="159" customFormat="1" ht="16.5" customHeight="1" x14ac:dyDescent="0.25">
      <c r="A142" s="100"/>
      <c r="B142" s="1017"/>
      <c r="C142" s="760"/>
      <c r="D142" s="779"/>
      <c r="E142" s="777"/>
      <c r="F142" s="1028"/>
      <c r="G142" s="778"/>
      <c r="H142" s="790"/>
      <c r="I142" s="105">
        <f t="shared" si="23"/>
        <v>0</v>
      </c>
      <c r="J142" s="517"/>
      <c r="K142" s="543"/>
      <c r="L142" s="569"/>
      <c r="M142" s="543"/>
      <c r="N142" s="543" t="s">
        <v>543</v>
      </c>
      <c r="O142" s="981"/>
      <c r="P142" s="543"/>
      <c r="Q142" s="982"/>
      <c r="R142" s="542"/>
      <c r="S142" s="65">
        <f t="shared" si="15"/>
        <v>0</v>
      </c>
      <c r="T142" s="65" t="e">
        <f t="shared" ref="T142" si="31">S142/H142</f>
        <v>#DIV/0!</v>
      </c>
    </row>
    <row r="143" spans="1:20" s="159" customFormat="1" ht="17.25" customHeight="1" x14ac:dyDescent="0.25">
      <c r="A143" s="100"/>
      <c r="B143" s="1017"/>
      <c r="C143" s="760"/>
      <c r="D143" s="776"/>
      <c r="E143" s="777"/>
      <c r="F143" s="1028"/>
      <c r="G143" s="778"/>
      <c r="H143" s="790"/>
      <c r="I143" s="278">
        <f t="shared" si="23"/>
        <v>0</v>
      </c>
      <c r="J143" s="655"/>
      <c r="K143" s="656"/>
      <c r="L143" s="546"/>
      <c r="M143" s="656"/>
      <c r="N143" s="553"/>
      <c r="O143" s="766"/>
      <c r="P143" s="693"/>
      <c r="Q143" s="872"/>
      <c r="R143" s="542"/>
      <c r="S143" s="65">
        <f t="shared" ref="S143:S148" si="32">Q143+M143+K143</f>
        <v>0</v>
      </c>
      <c r="T143" s="65" t="e">
        <f t="shared" ref="T143:T148" si="33">S143/H143</f>
        <v>#DIV/0!</v>
      </c>
    </row>
    <row r="144" spans="1:20" s="159" customFormat="1" ht="16.5" customHeight="1" x14ac:dyDescent="0.25">
      <c r="A144" s="100"/>
      <c r="B144" s="1017"/>
      <c r="C144" s="760"/>
      <c r="D144" s="776"/>
      <c r="E144" s="777"/>
      <c r="F144" s="1028"/>
      <c r="G144" s="778"/>
      <c r="H144" s="790"/>
      <c r="I144" s="278">
        <f t="shared" si="23"/>
        <v>0</v>
      </c>
      <c r="J144" s="655"/>
      <c r="K144" s="656"/>
      <c r="L144" s="546"/>
      <c r="M144" s="656"/>
      <c r="N144" s="553"/>
      <c r="O144" s="766"/>
      <c r="P144" s="730"/>
      <c r="Q144" s="872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ht="16.5" customHeight="1" x14ac:dyDescent="0.25">
      <c r="A145" s="100"/>
      <c r="B145" s="1018"/>
      <c r="C145" s="1019"/>
      <c r="D145" s="1020"/>
      <c r="E145" s="1021"/>
      <c r="F145" s="1029"/>
      <c r="G145" s="1022"/>
      <c r="H145" s="1023"/>
      <c r="I145" s="278">
        <f t="shared" si="23"/>
        <v>0</v>
      </c>
      <c r="J145" s="655"/>
      <c r="K145" s="656"/>
      <c r="L145" s="546"/>
      <c r="M145" s="656"/>
      <c r="N145" s="553"/>
      <c r="O145" s="766"/>
      <c r="P145" s="693"/>
      <c r="Q145" s="872"/>
      <c r="R145" s="542"/>
      <c r="S145" s="65">
        <f t="shared" si="32"/>
        <v>0</v>
      </c>
      <c r="T145" s="65" t="e">
        <f t="shared" si="33"/>
        <v>#DIV/0!</v>
      </c>
    </row>
    <row r="146" spans="1:20" s="159" customFormat="1" ht="16.5" customHeight="1" x14ac:dyDescent="0.25">
      <c r="A146" s="100"/>
      <c r="B146" s="763"/>
      <c r="C146" s="760"/>
      <c r="D146" s="761"/>
      <c r="E146" s="769"/>
      <c r="F146" s="1030"/>
      <c r="G146" s="450"/>
      <c r="H146" s="791"/>
      <c r="I146" s="278">
        <f t="shared" si="23"/>
        <v>0</v>
      </c>
      <c r="J146" s="655"/>
      <c r="K146" s="656"/>
      <c r="L146" s="546"/>
      <c r="M146" s="656"/>
      <c r="N146" s="553"/>
      <c r="O146" s="766"/>
      <c r="P146" s="693"/>
      <c r="Q146" s="872"/>
      <c r="R146" s="542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723"/>
      <c r="C147" s="506"/>
      <c r="D147" s="525"/>
      <c r="E147" s="770"/>
      <c r="F147" s="526"/>
      <c r="G147" s="527"/>
      <c r="H147" s="792"/>
      <c r="I147" s="278">
        <f t="shared" si="23"/>
        <v>0</v>
      </c>
      <c r="J147" s="655"/>
      <c r="K147" s="656"/>
      <c r="L147" s="546"/>
      <c r="M147" s="656"/>
      <c r="N147" s="717"/>
      <c r="O147" s="765"/>
      <c r="P147" s="731"/>
      <c r="Q147" s="873"/>
      <c r="R147" s="732"/>
      <c r="S147" s="65">
        <f t="shared" si="32"/>
        <v>0</v>
      </c>
      <c r="T147" s="65" t="e">
        <f t="shared" si="33"/>
        <v>#DIV/0!</v>
      </c>
    </row>
    <row r="148" spans="1:20" s="159" customFormat="1" x14ac:dyDescent="0.25">
      <c r="A148" s="100"/>
      <c r="B148" s="529"/>
      <c r="C148" s="530"/>
      <c r="D148" s="525"/>
      <c r="E148" s="770"/>
      <c r="F148" s="526"/>
      <c r="G148" s="527"/>
      <c r="H148" s="792"/>
      <c r="I148" s="278">
        <f t="shared" si="23"/>
        <v>0</v>
      </c>
      <c r="J148" s="259"/>
      <c r="K148" s="242"/>
      <c r="L148" s="295"/>
      <c r="M148" s="241"/>
      <c r="N148" s="518"/>
      <c r="O148" s="733"/>
      <c r="P148" s="693"/>
      <c r="Q148" s="874"/>
      <c r="R148" s="694"/>
      <c r="S148" s="65">
        <f t="shared" si="32"/>
        <v>0</v>
      </c>
      <c r="T148" s="65" t="e">
        <f t="shared" si="33"/>
        <v>#DIV/0!</v>
      </c>
    </row>
    <row r="149" spans="1:20" s="159" customFormat="1" x14ac:dyDescent="0.25">
      <c r="A149" s="100"/>
      <c r="B149" s="529"/>
      <c r="C149" s="530"/>
      <c r="D149" s="525"/>
      <c r="E149" s="770"/>
      <c r="F149" s="526"/>
      <c r="G149" s="527"/>
      <c r="H149" s="792"/>
      <c r="I149" s="278">
        <f t="shared" si="23"/>
        <v>0</v>
      </c>
      <c r="J149" s="259"/>
      <c r="K149" s="242"/>
      <c r="L149" s="295"/>
      <c r="M149" s="241"/>
      <c r="N149" s="518"/>
      <c r="O149" s="566"/>
      <c r="P149" s="731"/>
      <c r="Q149" s="873"/>
      <c r="R149" s="732"/>
      <c r="S149" s="65"/>
      <c r="T149" s="65"/>
    </row>
    <row r="150" spans="1:20" s="159" customFormat="1" x14ac:dyDescent="0.25">
      <c r="A150" s="100"/>
      <c r="B150" s="529"/>
      <c r="C150" s="531"/>
      <c r="D150" s="525"/>
      <c r="E150" s="672"/>
      <c r="F150" s="526"/>
      <c r="G150" s="527"/>
      <c r="H150" s="792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693"/>
      <c r="Q150" s="874"/>
      <c r="R150" s="694"/>
      <c r="S150" s="65"/>
      <c r="T150" s="65"/>
    </row>
    <row r="151" spans="1:20" s="159" customFormat="1" x14ac:dyDescent="0.25">
      <c r="A151" s="100"/>
      <c r="B151" s="529"/>
      <c r="C151" s="532"/>
      <c r="D151" s="525"/>
      <c r="E151" s="672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3"/>
      <c r="Q151" s="874"/>
      <c r="R151" s="694"/>
      <c r="S151" s="65"/>
      <c r="T151" s="65"/>
    </row>
    <row r="152" spans="1:20" s="159" customFormat="1" x14ac:dyDescent="0.25">
      <c r="A152" s="100"/>
      <c r="B152" s="529"/>
      <c r="C152" s="506"/>
      <c r="D152" s="525"/>
      <c r="E152" s="672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3"/>
      <c r="Q152" s="874"/>
      <c r="R152" s="694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2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3"/>
      <c r="Q153" s="874"/>
      <c r="R153" s="694"/>
      <c r="S153" s="65"/>
      <c r="T153" s="65"/>
    </row>
    <row r="154" spans="1:20" s="159" customFormat="1" x14ac:dyDescent="0.25">
      <c r="A154" s="100"/>
      <c r="B154" s="529"/>
      <c r="C154" s="532"/>
      <c r="D154" s="525"/>
      <c r="E154" s="672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3"/>
      <c r="Q154" s="874"/>
      <c r="R154" s="694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2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3"/>
      <c r="Q155" s="874"/>
      <c r="R155" s="694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2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3"/>
      <c r="Q156" s="874"/>
      <c r="R156" s="694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2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3"/>
      <c r="Q157" s="874"/>
      <c r="R157" s="694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2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3"/>
      <c r="Q158" s="874"/>
      <c r="R158" s="694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2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3"/>
      <c r="Q159" s="874"/>
      <c r="R159" s="694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2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3"/>
      <c r="Q160" s="874"/>
      <c r="R160" s="694"/>
      <c r="S160" s="65"/>
      <c r="T160" s="65"/>
    </row>
    <row r="161" spans="1:20" s="159" customFormat="1" x14ac:dyDescent="0.25">
      <c r="A161" s="100"/>
      <c r="B161" s="529"/>
      <c r="C161" s="506"/>
      <c r="D161" s="525"/>
      <c r="E161" s="672"/>
      <c r="F161" s="526"/>
      <c r="G161" s="527"/>
      <c r="H161" s="528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3"/>
      <c r="Q161" s="874"/>
      <c r="R161" s="694"/>
      <c r="S161" s="65"/>
      <c r="T161" s="65"/>
    </row>
    <row r="162" spans="1:20" s="159" customFormat="1" x14ac:dyDescent="0.25">
      <c r="A162" s="100"/>
      <c r="B162" s="529"/>
      <c r="C162" s="506"/>
      <c r="D162" s="525"/>
      <c r="E162" s="672"/>
      <c r="F162" s="526"/>
      <c r="G162" s="527"/>
      <c r="H162" s="528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3"/>
      <c r="Q162" s="874"/>
      <c r="R162" s="694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0"/>
      <c r="F163" s="604"/>
      <c r="G163" s="605"/>
      <c r="H163" s="606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3"/>
      <c r="Q163" s="874"/>
      <c r="R163" s="694"/>
      <c r="S163" s="65"/>
      <c r="T163" s="65"/>
    </row>
    <row r="164" spans="1:20" s="159" customFormat="1" x14ac:dyDescent="0.25">
      <c r="A164" s="100"/>
      <c r="B164" s="361"/>
      <c r="C164" s="365"/>
      <c r="D164" s="454"/>
      <c r="E164" s="670"/>
      <c r="F164" s="604"/>
      <c r="G164" s="605"/>
      <c r="H164" s="606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693"/>
      <c r="Q164" s="874"/>
      <c r="R164" s="694"/>
      <c r="S164" s="65"/>
      <c r="T164" s="65"/>
    </row>
    <row r="165" spans="1:20" s="159" customFormat="1" x14ac:dyDescent="0.25">
      <c r="A165" s="100"/>
      <c r="B165" s="361"/>
      <c r="C165" s="365"/>
      <c r="D165" s="454"/>
      <c r="E165" s="670"/>
      <c r="F165" s="604"/>
      <c r="G165" s="605"/>
      <c r="H165" s="606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693"/>
      <c r="Q165" s="874"/>
      <c r="R165" s="694"/>
      <c r="S165" s="65"/>
      <c r="T165" s="65"/>
    </row>
    <row r="166" spans="1:20" s="159" customFormat="1" x14ac:dyDescent="0.25">
      <c r="A166" s="100"/>
      <c r="B166" s="603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522"/>
      <c r="Q166" s="875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5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5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5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5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518"/>
      <c r="O171" s="566"/>
      <c r="P171" s="522"/>
      <c r="Q171" s="875"/>
      <c r="R171" s="523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518"/>
      <c r="O172" s="566"/>
      <c r="P172" s="522"/>
      <c r="Q172" s="875"/>
      <c r="R172" s="523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7"/>
      <c r="P173" s="240"/>
      <c r="Q173" s="876"/>
      <c r="R173" s="486"/>
      <c r="S173" s="65"/>
      <c r="T173" s="65"/>
    </row>
    <row r="174" spans="1:20" s="159" customFormat="1" x14ac:dyDescent="0.25">
      <c r="A174" s="100"/>
      <c r="B174" s="75"/>
      <c r="C174" s="73"/>
      <c r="D174" s="163"/>
      <c r="E174" s="156"/>
      <c r="F174" s="105"/>
      <c r="G174" s="100"/>
      <c r="H174" s="511"/>
      <c r="I174" s="278">
        <f t="shared" si="23"/>
        <v>0</v>
      </c>
      <c r="J174" s="259"/>
      <c r="K174" s="242"/>
      <c r="L174" s="295"/>
      <c r="M174" s="241"/>
      <c r="N174" s="444"/>
      <c r="O174" s="567"/>
      <c r="P174" s="240"/>
      <c r="Q174" s="876"/>
      <c r="R174" s="486"/>
      <c r="S174" s="65"/>
      <c r="T174" s="65"/>
    </row>
    <row r="175" spans="1:20" s="159" customFormat="1" x14ac:dyDescent="0.25">
      <c r="A175" s="100"/>
      <c r="B175" s="75"/>
      <c r="C175" s="73"/>
      <c r="D175" s="163"/>
      <c r="E175" s="156"/>
      <c r="F175" s="105"/>
      <c r="G175" s="100"/>
      <c r="H175" s="511"/>
      <c r="I175" s="278">
        <f t="shared" si="23"/>
        <v>0</v>
      </c>
      <c r="J175" s="259"/>
      <c r="K175" s="242"/>
      <c r="L175" s="295"/>
      <c r="M175" s="241"/>
      <c r="N175" s="444"/>
      <c r="O175" s="567"/>
      <c r="P175" s="240"/>
      <c r="Q175" s="876"/>
      <c r="R175" s="486"/>
      <c r="S175" s="65"/>
      <c r="T175" s="65"/>
    </row>
    <row r="176" spans="1:20" s="159" customFormat="1" ht="15.75" thickBot="1" x14ac:dyDescent="0.3">
      <c r="A176" s="100"/>
      <c r="B176" s="75"/>
      <c r="C176" s="149"/>
      <c r="D176" s="149"/>
      <c r="E176" s="136"/>
      <c r="F176" s="664"/>
      <c r="G176" s="100"/>
      <c r="H176" s="511"/>
      <c r="I176" s="278">
        <f t="shared" si="23"/>
        <v>0</v>
      </c>
      <c r="J176" s="259"/>
      <c r="K176" s="294"/>
      <c r="L176" s="295"/>
      <c r="M176" s="269"/>
      <c r="N176" s="444"/>
      <c r="O176" s="271"/>
      <c r="P176" s="292"/>
      <c r="Q176" s="877"/>
      <c r="R176" s="487"/>
      <c r="S176" s="65">
        <f t="shared" ref="S176:S181" si="34">Q176+M176+K176</f>
        <v>0</v>
      </c>
      <c r="T176" s="65" t="e">
        <f t="shared" ref="T176:T184" si="35">S176/H176+0.1</f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4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78"/>
      <c r="R177" s="177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4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78"/>
      <c r="R178" s="177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75"/>
      <c r="D179" s="149"/>
      <c r="E179" s="136"/>
      <c r="F179" s="664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878"/>
      <c r="R179" s="178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75"/>
      <c r="D180" s="149"/>
      <c r="E180" s="136"/>
      <c r="F180" s="664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878"/>
      <c r="R180" s="178"/>
      <c r="S180" s="65">
        <f t="shared" si="34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49"/>
      <c r="E181" s="136"/>
      <c r="F181" s="664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3"/>
      <c r="R181" s="175"/>
      <c r="S181" s="65">
        <f t="shared" si="34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49"/>
      <c r="D182" s="101"/>
      <c r="E182" s="136"/>
      <c r="F182" s="664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ref="S182:S187" si="36">Q182+M182+K182</f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4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si="36"/>
        <v>0</v>
      </c>
      <c r="T183" s="65" t="e">
        <f t="shared" si="35"/>
        <v>#DIV/0!</v>
      </c>
    </row>
    <row r="184" spans="1:20" s="159" customFormat="1" ht="15.75" hidden="1" thickBot="1" x14ac:dyDescent="0.3">
      <c r="A184" s="100"/>
      <c r="B184" s="75"/>
      <c r="C184" s="155"/>
      <c r="D184" s="101"/>
      <c r="E184" s="136"/>
      <c r="F184" s="664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573"/>
      <c r="R184" s="175"/>
      <c r="S184" s="65">
        <f t="shared" si="36"/>
        <v>0</v>
      </c>
      <c r="T184" s="65" t="e">
        <f t="shared" si="35"/>
        <v>#DIV/0!</v>
      </c>
    </row>
    <row r="185" spans="1:20" s="159" customFormat="1" ht="15.75" hidden="1" thickBot="1" x14ac:dyDescent="0.3">
      <c r="A185" s="100"/>
      <c r="B185" s="75"/>
      <c r="C185" s="155"/>
      <c r="D185" s="101"/>
      <c r="E185" s="136"/>
      <c r="F185" s="664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573"/>
      <c r="R185" s="175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155"/>
      <c r="D186" s="160"/>
      <c r="E186" s="136"/>
      <c r="F186" s="664"/>
      <c r="G186" s="100"/>
      <c r="H186" s="511"/>
      <c r="I186" s="105">
        <f t="shared" si="23"/>
        <v>0</v>
      </c>
      <c r="J186" s="191"/>
      <c r="K186" s="108"/>
      <c r="L186" s="174"/>
      <c r="M186" s="71"/>
      <c r="N186" s="445"/>
      <c r="O186" s="127"/>
      <c r="P186" s="116"/>
      <c r="Q186" s="879"/>
      <c r="R186" s="176"/>
      <c r="S186" s="65">
        <f t="shared" si="36"/>
        <v>0</v>
      </c>
      <c r="T186" s="65" t="e">
        <f>S186/H186</f>
        <v>#DIV/0!</v>
      </c>
    </row>
    <row r="187" spans="1:20" s="159" customFormat="1" ht="15.75" hidden="1" thickBot="1" x14ac:dyDescent="0.3">
      <c r="A187" s="100"/>
      <c r="B187" s="75"/>
      <c r="C187" s="155"/>
      <c r="D187" s="160"/>
      <c r="E187" s="136"/>
      <c r="F187" s="664"/>
      <c r="G187" s="100"/>
      <c r="H187" s="511"/>
      <c r="I187" s="105">
        <f t="shared" si="23"/>
        <v>0</v>
      </c>
      <c r="J187" s="191"/>
      <c r="K187" s="108"/>
      <c r="L187" s="174"/>
      <c r="M187" s="71"/>
      <c r="N187" s="445"/>
      <c r="O187" s="127"/>
      <c r="P187" s="116"/>
      <c r="Q187" s="879"/>
      <c r="R187" s="169"/>
      <c r="S187" s="65">
        <f t="shared" si="36"/>
        <v>0</v>
      </c>
      <c r="T187" s="65" t="e">
        <f>S187/H187</f>
        <v>#DIV/0!</v>
      </c>
    </row>
    <row r="188" spans="1:20" s="159" customFormat="1" ht="15.75" hidden="1" thickBot="1" x14ac:dyDescent="0.3">
      <c r="A188" s="100"/>
      <c r="B188" s="75"/>
      <c r="C188" s="95"/>
      <c r="D188" s="160"/>
      <c r="E188" s="673"/>
      <c r="F188" s="664"/>
      <c r="G188" s="100"/>
      <c r="H188" s="511"/>
      <c r="I188" s="105">
        <f t="shared" si="23"/>
        <v>0</v>
      </c>
      <c r="J188" s="129"/>
      <c r="K188" s="170"/>
      <c r="L188" s="614"/>
      <c r="M188" s="71"/>
      <c r="N188" s="446"/>
      <c r="O188" s="127"/>
      <c r="P188" s="95"/>
      <c r="Q188" s="573"/>
      <c r="R188" s="153"/>
      <c r="S188" s="65">
        <f>Q188+M188+K188</f>
        <v>0</v>
      </c>
      <c r="T188" s="65" t="e">
        <f>S188/H188+0.1</f>
        <v>#DIV/0!</v>
      </c>
    </row>
    <row r="189" spans="1:20" s="159" customFormat="1" ht="29.25" customHeight="1" thickTop="1" thickBot="1" x14ac:dyDescent="0.3">
      <c r="A189" s="100"/>
      <c r="B189" s="75"/>
      <c r="C189" s="95"/>
      <c r="D189" s="171"/>
      <c r="E189" s="136"/>
      <c r="F189" s="669" t="s">
        <v>31</v>
      </c>
      <c r="G189" s="72">
        <f>SUM(G5:G188)</f>
        <v>4236</v>
      </c>
      <c r="H189" s="513">
        <f>SUM(H3:H188)</f>
        <v>743552.30000000051</v>
      </c>
      <c r="I189" s="701">
        <f>PIERNA!I37</f>
        <v>17.830000000001746</v>
      </c>
      <c r="J189" s="46"/>
      <c r="K189" s="172">
        <f>SUM(K5:K188)</f>
        <v>353511</v>
      </c>
      <c r="L189" s="615"/>
      <c r="M189" s="172">
        <f>SUM(M5:M188)</f>
        <v>1025440</v>
      </c>
      <c r="N189" s="447"/>
      <c r="O189" s="568"/>
      <c r="P189" s="117"/>
      <c r="Q189" s="880">
        <f>SUM(Q5:Q188)</f>
        <v>28493848.183569998</v>
      </c>
      <c r="R189" s="154"/>
      <c r="S189" s="180">
        <f>Q189+M189+K189</f>
        <v>29872799.183569998</v>
      </c>
      <c r="T189" s="65"/>
    </row>
    <row r="190" spans="1:20" s="159" customFormat="1" ht="15.75" thickTop="1" x14ac:dyDescent="0.25">
      <c r="B190" s="75"/>
      <c r="C190" s="75"/>
      <c r="D190" s="100"/>
      <c r="E190" s="136"/>
      <c r="F190" s="167"/>
      <c r="G190" s="100"/>
      <c r="H190" s="167"/>
      <c r="I190" s="75"/>
      <c r="J190" s="129"/>
      <c r="L190" s="616"/>
      <c r="N190" s="185"/>
      <c r="O190" s="168"/>
      <c r="P190" s="95"/>
      <c r="Q190" s="573"/>
      <c r="R190" s="155" t="s">
        <v>42</v>
      </c>
    </row>
  </sheetData>
  <sortState ref="B98:O105">
    <sortCondition ref="E98:E105"/>
  </sortState>
  <mergeCells count="45">
    <mergeCell ref="R108:R110"/>
    <mergeCell ref="R100:R103"/>
    <mergeCell ref="R105:R107"/>
    <mergeCell ref="R118:R120"/>
    <mergeCell ref="R121:R124"/>
    <mergeCell ref="R114:R117"/>
    <mergeCell ref="B127:B128"/>
    <mergeCell ref="O127:O128"/>
    <mergeCell ref="B121:B124"/>
    <mergeCell ref="E121:E124"/>
    <mergeCell ref="R127:R128"/>
    <mergeCell ref="O121:O124"/>
    <mergeCell ref="B125:B126"/>
    <mergeCell ref="O125:O126"/>
    <mergeCell ref="D125:D126"/>
    <mergeCell ref="R125:R126"/>
    <mergeCell ref="B114:B117"/>
    <mergeCell ref="E114:E117"/>
    <mergeCell ref="O114:O117"/>
    <mergeCell ref="B118:B120"/>
    <mergeCell ref="E118:E120"/>
    <mergeCell ref="O118:O120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R137:R138"/>
    <mergeCell ref="B137:B138"/>
    <mergeCell ref="O137:O138"/>
    <mergeCell ref="B131:B132"/>
    <mergeCell ref="O131:O132"/>
    <mergeCell ref="B133:B135"/>
    <mergeCell ref="E133:E135"/>
    <mergeCell ref="O133:O135"/>
    <mergeCell ref="R133:R135"/>
    <mergeCell ref="R131:R132"/>
    <mergeCell ref="P131:P13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46"/>
      <c r="B5" s="833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46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3">I9-F10</f>
        <v>0</v>
      </c>
      <c r="J10" s="695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3"/>
        <v>0</v>
      </c>
      <c r="J11" s="695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3"/>
        <v>0</v>
      </c>
      <c r="J12" s="695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3"/>
        <v>0</v>
      </c>
      <c r="J13" s="695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3"/>
        <v>0</v>
      </c>
      <c r="J14" s="695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3"/>
        <v>0</v>
      </c>
      <c r="J15" s="695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3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3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3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3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3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3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3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3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3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3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3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3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26" t="s">
        <v>21</v>
      </c>
      <c r="E31" s="1227"/>
      <c r="F31" s="143">
        <f>E4+E5-F29+E6</f>
        <v>0</v>
      </c>
    </row>
    <row r="32" spans="1:10" ht="15.75" thickBot="1" x14ac:dyDescent="0.3">
      <c r="A32" s="125"/>
      <c r="D32" s="830" t="s">
        <v>4</v>
      </c>
      <c r="E32" s="831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7" t="s">
        <v>131</v>
      </c>
      <c r="C4" s="128"/>
      <c r="D4" s="136"/>
      <c r="E4" s="195"/>
      <c r="F4" s="139"/>
      <c r="G4" s="38"/>
    </row>
    <row r="5" spans="1:15" ht="15.75" x14ac:dyDescent="0.25">
      <c r="A5" s="1246"/>
      <c r="B5" s="1248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46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2">I9-F10</f>
        <v>0</v>
      </c>
      <c r="J10" s="695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2"/>
        <v>0</v>
      </c>
      <c r="J11" s="695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2"/>
        <v>0</v>
      </c>
      <c r="J12" s="695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2"/>
        <v>0</v>
      </c>
      <c r="J13" s="695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2"/>
        <v>0</v>
      </c>
      <c r="J14" s="695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2"/>
        <v>0</v>
      </c>
      <c r="J15" s="695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2"/>
        <v>0</v>
      </c>
      <c r="J16" s="676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2"/>
        <v>0</v>
      </c>
      <c r="J17" s="676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2"/>
        <v>0</v>
      </c>
      <c r="J18" s="676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2"/>
        <v>0</v>
      </c>
      <c r="J19" s="676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2"/>
        <v>0</v>
      </c>
      <c r="J20" s="676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2"/>
        <v>0</v>
      </c>
      <c r="J21" s="676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2"/>
        <v>0</v>
      </c>
      <c r="J22" s="676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2"/>
        <v>0</v>
      </c>
      <c r="J23" s="676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2"/>
        <v>0</v>
      </c>
      <c r="J24" s="676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2"/>
        <v>0</v>
      </c>
      <c r="J25" s="676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2"/>
        <v>0</v>
      </c>
      <c r="J26" s="676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2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26" t="s">
        <v>21</v>
      </c>
      <c r="E31" s="1227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8"/>
    <col min="10" max="10" width="17.5703125" customWidth="1"/>
  </cols>
  <sheetData>
    <row r="1" spans="1:11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1" ht="16.5" thickBot="1" x14ac:dyDescent="0.3">
      <c r="K2" s="6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9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0">
        <f>E5+E6-F8+E4</f>
        <v>0</v>
      </c>
      <c r="J8" s="695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0">
        <f>I8-F9</f>
        <v>0</v>
      </c>
      <c r="J9" s="695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0">
        <f t="shared" ref="I10:I27" si="4">I9-F10</f>
        <v>0</v>
      </c>
      <c r="J10" s="695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0">
        <f t="shared" si="4"/>
        <v>0</v>
      </c>
      <c r="J11" s="695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0">
        <f t="shared" si="4"/>
        <v>0</v>
      </c>
      <c r="J12" s="695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0">
        <f t="shared" si="4"/>
        <v>0</v>
      </c>
      <c r="J13" s="695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0">
        <f t="shared" si="4"/>
        <v>0</v>
      </c>
      <c r="J14" s="695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0">
        <f t="shared" si="4"/>
        <v>0</v>
      </c>
      <c r="J15" s="695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1">
        <f t="shared" si="4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1">
        <f t="shared" si="4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1">
        <f t="shared" si="4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1">
        <f t="shared" si="4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1">
        <f t="shared" si="4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1">
        <f t="shared" si="4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1">
        <f t="shared" si="4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1">
        <f t="shared" si="4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1">
        <f t="shared" si="4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1">
        <f t="shared" si="4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1">
        <f t="shared" si="4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1">
        <f t="shared" si="4"/>
        <v>0</v>
      </c>
      <c r="J27" s="676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2"/>
      <c r="J28" s="68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226" t="s">
        <v>21</v>
      </c>
      <c r="E31" s="1227"/>
      <c r="F31" s="143">
        <f>E4+E5-F29+E6</f>
        <v>0</v>
      </c>
    </row>
    <row r="32" spans="1:10" ht="16.5" thickBot="1" x14ac:dyDescent="0.3">
      <c r="A32" s="125"/>
      <c r="D32" s="715" t="s">
        <v>4</v>
      </c>
      <c r="E32" s="716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opLeftCell="B1" zoomScaleNormal="100" workbookViewId="0">
      <selection activeCell="J19" sqref="J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9" t="s">
        <v>238</v>
      </c>
      <c r="B1" s="1249"/>
      <c r="C1" s="1249"/>
      <c r="D1" s="1249"/>
      <c r="E1" s="1249"/>
      <c r="F1" s="1249"/>
      <c r="G1" s="1249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7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50" t="s">
        <v>127</v>
      </c>
      <c r="C4" s="325">
        <v>34</v>
      </c>
      <c r="D4" s="251">
        <v>44625</v>
      </c>
      <c r="E4" s="533">
        <v>522.41</v>
      </c>
      <c r="F4" s="246">
        <v>18</v>
      </c>
      <c r="G4" s="691"/>
      <c r="H4" s="155"/>
      <c r="I4" s="580"/>
    </row>
    <row r="5" spans="1:10" ht="14.25" customHeight="1" thickBot="1" x14ac:dyDescent="0.3">
      <c r="A5" s="688" t="s">
        <v>54</v>
      </c>
      <c r="B5" s="1251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1923.65</v>
      </c>
      <c r="H5" s="140">
        <f>E5-G5+E4+E6+E7</f>
        <v>90.199999999999875</v>
      </c>
      <c r="I5" s="577"/>
    </row>
    <row r="6" spans="1:10" ht="15.75" thickBot="1" x14ac:dyDescent="0.3">
      <c r="A6" s="253"/>
      <c r="B6" s="638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4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172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177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187</v>
      </c>
      <c r="H11" s="269">
        <v>35</v>
      </c>
      <c r="I11" s="325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191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223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86">
        <v>44649</v>
      </c>
      <c r="F14" s="987">
        <f t="shared" ref="F14:F29" si="4">D14</f>
        <v>172.69</v>
      </c>
      <c r="G14" s="472" t="s">
        <v>333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88">
        <v>44649</v>
      </c>
      <c r="F15" s="987">
        <f t="shared" si="4"/>
        <v>58.26</v>
      </c>
      <c r="G15" s="472" t="s">
        <v>336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88">
        <v>44649</v>
      </c>
      <c r="F16" s="987">
        <f t="shared" si="4"/>
        <v>89.51</v>
      </c>
      <c r="G16" s="472" t="s">
        <v>350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88">
        <v>44657</v>
      </c>
      <c r="F17" s="987">
        <f t="shared" si="4"/>
        <v>317.7</v>
      </c>
      <c r="G17" s="472" t="s">
        <v>399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88">
        <v>44663</v>
      </c>
      <c r="F18" s="987">
        <f t="shared" si="4"/>
        <v>30.29</v>
      </c>
      <c r="G18" s="540" t="s">
        <v>432</v>
      </c>
      <c r="H18" s="541">
        <v>36</v>
      </c>
      <c r="I18" s="325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88">
        <v>44664</v>
      </c>
      <c r="F19" s="987">
        <f t="shared" si="4"/>
        <v>83.89</v>
      </c>
      <c r="G19" s="540" t="s">
        <v>451</v>
      </c>
      <c r="H19" s="541">
        <v>36</v>
      </c>
      <c r="I19" s="325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3</v>
      </c>
      <c r="C20" s="15">
        <v>12</v>
      </c>
      <c r="D20" s="471">
        <v>341.61</v>
      </c>
      <c r="E20" s="988">
        <v>44679</v>
      </c>
      <c r="F20" s="987">
        <f t="shared" si="4"/>
        <v>341.61</v>
      </c>
      <c r="G20" s="540" t="s">
        <v>589</v>
      </c>
      <c r="H20" s="541">
        <v>36</v>
      </c>
      <c r="I20" s="325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7">
        <f t="shared" si="2"/>
        <v>3</v>
      </c>
      <c r="C21" s="15"/>
      <c r="D21" s="471">
        <v>0</v>
      </c>
      <c r="E21" s="988"/>
      <c r="F21" s="987">
        <f t="shared" si="4"/>
        <v>0</v>
      </c>
      <c r="G21" s="540"/>
      <c r="H21" s="541"/>
      <c r="I21" s="325">
        <f t="shared" si="3"/>
        <v>90.200000000000045</v>
      </c>
      <c r="J21" s="60">
        <f t="shared" si="1"/>
        <v>0</v>
      </c>
    </row>
    <row r="22" spans="1:10" x14ac:dyDescent="0.25">
      <c r="A22" s="75"/>
      <c r="B22" s="197">
        <f t="shared" si="2"/>
        <v>3</v>
      </c>
      <c r="C22" s="15"/>
      <c r="D22" s="471">
        <v>0</v>
      </c>
      <c r="E22" s="988"/>
      <c r="F22" s="987">
        <f t="shared" si="4"/>
        <v>0</v>
      </c>
      <c r="G22" s="540"/>
      <c r="H22" s="541"/>
      <c r="I22" s="325">
        <f t="shared" si="3"/>
        <v>90.200000000000045</v>
      </c>
      <c r="J22" s="60">
        <f t="shared" si="1"/>
        <v>0</v>
      </c>
    </row>
    <row r="23" spans="1:10" x14ac:dyDescent="0.25">
      <c r="A23" s="19"/>
      <c r="B23" s="197">
        <f t="shared" si="2"/>
        <v>3</v>
      </c>
      <c r="C23" s="73"/>
      <c r="D23" s="471">
        <v>0</v>
      </c>
      <c r="E23" s="989"/>
      <c r="F23" s="987">
        <f t="shared" si="4"/>
        <v>0</v>
      </c>
      <c r="G23" s="540"/>
      <c r="H23" s="541"/>
      <c r="I23" s="325">
        <f t="shared" si="3"/>
        <v>90.200000000000045</v>
      </c>
      <c r="J23" s="60">
        <f t="shared" si="1"/>
        <v>0</v>
      </c>
    </row>
    <row r="24" spans="1:10" x14ac:dyDescent="0.25">
      <c r="A24" s="19"/>
      <c r="B24" s="197">
        <f t="shared" si="2"/>
        <v>3</v>
      </c>
      <c r="C24" s="73"/>
      <c r="D24" s="471">
        <v>0</v>
      </c>
      <c r="E24" s="989"/>
      <c r="F24" s="987">
        <f t="shared" si="4"/>
        <v>0</v>
      </c>
      <c r="G24" s="540"/>
      <c r="H24" s="541"/>
      <c r="I24" s="325">
        <f t="shared" si="3"/>
        <v>90.200000000000045</v>
      </c>
      <c r="J24" s="60">
        <f t="shared" si="1"/>
        <v>0</v>
      </c>
    </row>
    <row r="25" spans="1:10" x14ac:dyDescent="0.25">
      <c r="A25" s="19"/>
      <c r="B25" s="197">
        <f t="shared" si="2"/>
        <v>3</v>
      </c>
      <c r="C25" s="73"/>
      <c r="D25" s="471">
        <v>0</v>
      </c>
      <c r="E25" s="989"/>
      <c r="F25" s="987">
        <f t="shared" si="4"/>
        <v>0</v>
      </c>
      <c r="G25" s="540"/>
      <c r="H25" s="541"/>
      <c r="I25" s="325">
        <f t="shared" si="3"/>
        <v>90.200000000000045</v>
      </c>
      <c r="J25" s="60">
        <f t="shared" si="1"/>
        <v>0</v>
      </c>
    </row>
    <row r="26" spans="1:10" x14ac:dyDescent="0.25">
      <c r="A26" s="19"/>
      <c r="B26" s="197">
        <f t="shared" si="2"/>
        <v>3</v>
      </c>
      <c r="C26" s="15"/>
      <c r="D26" s="471">
        <v>0</v>
      </c>
      <c r="E26" s="989"/>
      <c r="F26" s="987">
        <f t="shared" si="4"/>
        <v>0</v>
      </c>
      <c r="G26" s="540"/>
      <c r="H26" s="541"/>
      <c r="I26" s="325">
        <f t="shared" si="3"/>
        <v>90.200000000000045</v>
      </c>
      <c r="J26" s="60">
        <f t="shared" si="1"/>
        <v>0</v>
      </c>
    </row>
    <row r="27" spans="1:10" x14ac:dyDescent="0.25">
      <c r="A27" s="19"/>
      <c r="B27" s="197">
        <f t="shared" si="2"/>
        <v>3</v>
      </c>
      <c r="C27" s="15"/>
      <c r="D27" s="69">
        <v>0</v>
      </c>
      <c r="E27" s="136"/>
      <c r="F27" s="282">
        <f t="shared" si="4"/>
        <v>0</v>
      </c>
      <c r="G27" s="70"/>
      <c r="H27" s="71"/>
      <c r="I27" s="325">
        <f t="shared" si="3"/>
        <v>90.200000000000045</v>
      </c>
      <c r="J27" s="60">
        <f t="shared" si="1"/>
        <v>0</v>
      </c>
    </row>
    <row r="28" spans="1:10" x14ac:dyDescent="0.25">
      <c r="B28" s="197">
        <f t="shared" si="2"/>
        <v>3</v>
      </c>
      <c r="C28" s="15"/>
      <c r="D28" s="69">
        <v>0</v>
      </c>
      <c r="E28" s="136"/>
      <c r="F28" s="282">
        <f t="shared" si="4"/>
        <v>0</v>
      </c>
      <c r="G28" s="70"/>
      <c r="H28" s="71"/>
      <c r="I28" s="325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3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6"/>
      <c r="F30" s="105">
        <f>SUM(F9:F29)</f>
        <v>1923.65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26" t="s">
        <v>21</v>
      </c>
      <c r="E32" s="1227"/>
      <c r="F32" s="143">
        <f>G5-F30</f>
        <v>0</v>
      </c>
    </row>
    <row r="33" spans="1:6" ht="15.75" thickBot="1" x14ac:dyDescent="0.3">
      <c r="A33" s="125"/>
      <c r="D33" s="689" t="s">
        <v>4</v>
      </c>
      <c r="E33" s="690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6" t="s">
        <v>239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79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31"/>
    </row>
    <row r="6" spans="1:9" ht="15.75" x14ac:dyDescent="0.25">
      <c r="A6" s="75" t="s">
        <v>70</v>
      </c>
      <c r="B6" s="794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4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43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0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164</v>
      </c>
      <c r="H9" s="269">
        <v>265</v>
      </c>
      <c r="I9" s="47">
        <f>E5+E6+E7-F9+E4</f>
        <v>263.32</v>
      </c>
    </row>
    <row r="10" spans="1:9" x14ac:dyDescent="0.25">
      <c r="B10" s="620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173</v>
      </c>
      <c r="H10" s="269">
        <v>265</v>
      </c>
      <c r="I10" s="265">
        <f>I9-F10</f>
        <v>258.77999999999997</v>
      </c>
    </row>
    <row r="11" spans="1:9" x14ac:dyDescent="0.25">
      <c r="B11" s="620">
        <f>B10-C11</f>
        <v>52</v>
      </c>
      <c r="C11" s="246">
        <v>5</v>
      </c>
      <c r="D11" s="852">
        <v>22.7</v>
      </c>
      <c r="E11" s="853">
        <v>44652</v>
      </c>
      <c r="F11" s="854">
        <f t="shared" si="0"/>
        <v>22.7</v>
      </c>
      <c r="G11" s="472" t="s">
        <v>369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0">
        <f t="shared" ref="B12:B14" si="2">B11-C12</f>
        <v>32</v>
      </c>
      <c r="C12" s="246">
        <v>20</v>
      </c>
      <c r="D12" s="852">
        <v>90.8</v>
      </c>
      <c r="E12" s="853">
        <v>44657</v>
      </c>
      <c r="F12" s="854">
        <f t="shared" si="0"/>
        <v>90.8</v>
      </c>
      <c r="G12" s="472" t="s">
        <v>394</v>
      </c>
      <c r="H12" s="539">
        <v>265</v>
      </c>
      <c r="I12" s="265">
        <f t="shared" si="1"/>
        <v>145.27999999999997</v>
      </c>
    </row>
    <row r="13" spans="1:9" x14ac:dyDescent="0.25">
      <c r="B13" s="620">
        <f t="shared" si="2"/>
        <v>31</v>
      </c>
      <c r="C13" s="246">
        <v>1</v>
      </c>
      <c r="D13" s="852">
        <v>4.54</v>
      </c>
      <c r="E13" s="853">
        <v>44658</v>
      </c>
      <c r="F13" s="854">
        <f t="shared" si="0"/>
        <v>4.54</v>
      </c>
      <c r="G13" s="472" t="s">
        <v>402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0">
        <f t="shared" si="2"/>
        <v>26</v>
      </c>
      <c r="C14" s="246">
        <v>5</v>
      </c>
      <c r="D14" s="852">
        <v>22.7</v>
      </c>
      <c r="E14" s="853">
        <v>44665</v>
      </c>
      <c r="F14" s="854">
        <f t="shared" si="0"/>
        <v>22.7</v>
      </c>
      <c r="G14" s="472" t="s">
        <v>464</v>
      </c>
      <c r="H14" s="539">
        <v>265</v>
      </c>
      <c r="I14" s="265">
        <f t="shared" si="1"/>
        <v>118.03999999999998</v>
      </c>
    </row>
    <row r="15" spans="1:9" x14ac:dyDescent="0.25">
      <c r="B15" s="620">
        <f>B14-C15</f>
        <v>26</v>
      </c>
      <c r="C15" s="246"/>
      <c r="D15" s="852">
        <v>0</v>
      </c>
      <c r="E15" s="853"/>
      <c r="F15" s="854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0">
        <f t="shared" ref="B16:B26" si="3">B15-C16</f>
        <v>26</v>
      </c>
      <c r="C16" s="246"/>
      <c r="D16" s="852">
        <v>0</v>
      </c>
      <c r="E16" s="853"/>
      <c r="F16" s="854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0">
        <f t="shared" si="3"/>
        <v>26</v>
      </c>
      <c r="C17" s="246"/>
      <c r="D17" s="852">
        <v>0</v>
      </c>
      <c r="E17" s="853"/>
      <c r="F17" s="854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0">
        <f t="shared" si="3"/>
        <v>26</v>
      </c>
      <c r="C18" s="246"/>
      <c r="D18" s="852">
        <v>0</v>
      </c>
      <c r="E18" s="853"/>
      <c r="F18" s="854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0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0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0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0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0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0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0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0">
        <f t="shared" si="3"/>
        <v>26</v>
      </c>
      <c r="C26" s="37"/>
      <c r="D26" s="267">
        <v>0</v>
      </c>
      <c r="E26" s="220"/>
      <c r="F26" s="278">
        <f t="shared" si="0"/>
        <v>0</v>
      </c>
      <c r="G26" s="657"/>
      <c r="H26" s="658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226" t="s">
        <v>21</v>
      </c>
      <c r="E29" s="1227"/>
      <c r="F29" s="143">
        <f>E5+E6-F27+E7+E4</f>
        <v>118.03999999999999</v>
      </c>
    </row>
    <row r="30" spans="1:9" ht="15.75" thickBot="1" x14ac:dyDescent="0.3">
      <c r="A30" s="125"/>
      <c r="D30" s="929" t="s">
        <v>4</v>
      </c>
      <c r="E30" s="930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6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4" t="s">
        <v>7</v>
      </c>
      <c r="C8" s="625" t="s">
        <v>8</v>
      </c>
      <c r="D8" s="626" t="s">
        <v>17</v>
      </c>
      <c r="E8" s="627" t="s">
        <v>2</v>
      </c>
      <c r="F8" s="628" t="s">
        <v>18</v>
      </c>
      <c r="G8" s="623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29"/>
      <c r="D9" s="630"/>
      <c r="E9" s="631"/>
      <c r="F9" s="632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39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39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39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39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39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39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39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39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39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39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3"/>
      <c r="D29" s="634">
        <f>B29*C29</f>
        <v>0</v>
      </c>
      <c r="E29" s="635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6" t="s">
        <v>21</v>
      </c>
      <c r="E32" s="1227"/>
      <c r="F32" s="143">
        <f>E5-F30+E6+E7</f>
        <v>0</v>
      </c>
    </row>
    <row r="33" spans="1:6" ht="15.75" thickBot="1" x14ac:dyDescent="0.3">
      <c r="A33" s="125"/>
      <c r="D33" s="737" t="s">
        <v>4</v>
      </c>
      <c r="E33" s="73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6" t="s">
        <v>240</v>
      </c>
      <c r="B1" s="1236"/>
      <c r="C1" s="1236"/>
      <c r="D1" s="1236"/>
      <c r="E1" s="1236"/>
      <c r="F1" s="1236"/>
      <c r="G1" s="12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4"/>
    </row>
    <row r="6" spans="1:8" ht="15.75" customHeight="1" thickTop="1" x14ac:dyDescent="0.25">
      <c r="A6" s="1220" t="s">
        <v>70</v>
      </c>
      <c r="B6" s="749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220"/>
      <c r="B7" s="750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2">
        <f>E7-G7</f>
        <v>100</v>
      </c>
    </row>
    <row r="8" spans="1:8" ht="16.5" customHeight="1" thickBot="1" x14ac:dyDescent="0.3">
      <c r="A8" s="947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6">
        <v>44658</v>
      </c>
      <c r="F10" s="697">
        <f>D10</f>
        <v>20</v>
      </c>
      <c r="G10" s="698" t="s">
        <v>402</v>
      </c>
      <c r="H10" s="699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426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442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5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34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34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34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34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34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34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26" t="s">
        <v>21</v>
      </c>
      <c r="E30" s="1227"/>
      <c r="F30" s="143">
        <f>E5+E6-F28+E7+E4+E8</f>
        <v>100</v>
      </c>
    </row>
    <row r="31" spans="1:8" ht="15.75" thickBot="1" x14ac:dyDescent="0.3">
      <c r="A31" s="125"/>
      <c r="D31" s="945" t="s">
        <v>4</v>
      </c>
      <c r="E31" s="946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53" t="s">
        <v>241</v>
      </c>
      <c r="B1" s="1253"/>
      <c r="C1" s="1253"/>
      <c r="D1" s="1253"/>
      <c r="E1" s="1253"/>
      <c r="F1" s="1253"/>
      <c r="G1" s="1253"/>
      <c r="H1" s="1253"/>
      <c r="I1" s="1253"/>
      <c r="J1" s="1253"/>
      <c r="K1" s="740">
        <v>1</v>
      </c>
      <c r="M1" s="1252" t="s">
        <v>242</v>
      </c>
      <c r="N1" s="1252"/>
      <c r="O1" s="1252"/>
      <c r="P1" s="1252"/>
      <c r="Q1" s="1252"/>
      <c r="R1" s="1252"/>
      <c r="S1" s="1252"/>
      <c r="T1" s="1252"/>
      <c r="U1" s="1252"/>
      <c r="V1" s="1252"/>
      <c r="W1" s="74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A4" s="1254" t="s">
        <v>106</v>
      </c>
      <c r="B4" s="323"/>
      <c r="C4" s="618"/>
      <c r="D4" s="248"/>
      <c r="E4" s="273">
        <v>381.08</v>
      </c>
      <c r="F4" s="246">
        <v>14</v>
      </c>
      <c r="G4" s="533"/>
      <c r="H4" s="243"/>
      <c r="I4" s="243"/>
      <c r="L4" s="243"/>
      <c r="N4" s="323"/>
      <c r="O4" s="618"/>
      <c r="P4" s="248"/>
      <c r="Q4" s="273"/>
      <c r="R4" s="246"/>
      <c r="S4" s="533"/>
      <c r="T4" s="243"/>
      <c r="U4" s="243"/>
    </row>
    <row r="5" spans="1:23" ht="15.75" customHeight="1" thickTop="1" x14ac:dyDescent="0.25">
      <c r="A5" s="1255"/>
      <c r="B5" s="73" t="s">
        <v>50</v>
      </c>
      <c r="C5" s="942">
        <v>48</v>
      </c>
      <c r="D5" s="137">
        <v>44630</v>
      </c>
      <c r="E5" s="132">
        <v>18999.560000000001</v>
      </c>
      <c r="F5" s="73">
        <v>698</v>
      </c>
      <c r="G5" s="47">
        <f>F115</f>
        <v>19380.64</v>
      </c>
      <c r="H5" s="161">
        <f>E5+E6-G5+E4</f>
        <v>1.8758328224066645E-12</v>
      </c>
      <c r="L5" s="243"/>
      <c r="M5" s="1117"/>
      <c r="N5" s="73" t="s">
        <v>50</v>
      </c>
      <c r="O5" s="942"/>
      <c r="P5" s="137"/>
      <c r="Q5" s="132"/>
      <c r="R5" s="73"/>
      <c r="S5" s="47">
        <f>R115</f>
        <v>1469.8799999999999</v>
      </c>
      <c r="T5" s="161">
        <f>Q5+Q6-S5+Q4</f>
        <v>17037</v>
      </c>
    </row>
    <row r="6" spans="1:23" ht="15.75" customHeight="1" x14ac:dyDescent="0.25">
      <c r="A6" s="1255"/>
      <c r="B6" s="866" t="s">
        <v>100</v>
      </c>
      <c r="C6" s="163"/>
      <c r="D6" s="137"/>
      <c r="E6" s="78"/>
      <c r="F6" s="62"/>
      <c r="L6" s="243"/>
      <c r="M6" s="1118" t="s">
        <v>610</v>
      </c>
      <c r="N6" s="866" t="s">
        <v>100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39"/>
      <c r="B7" s="165"/>
      <c r="C7" s="863"/>
      <c r="D7" s="864"/>
      <c r="E7" s="865"/>
      <c r="F7" s="745"/>
      <c r="L7" s="243"/>
      <c r="M7" s="992"/>
      <c r="N7" s="165"/>
      <c r="O7" s="863"/>
      <c r="P7" s="864"/>
      <c r="Q7" s="865"/>
      <c r="R7" s="74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9" t="s">
        <v>63</v>
      </c>
      <c r="I8" s="640" t="s">
        <v>64</v>
      </c>
      <c r="J8" s="640" t="s">
        <v>65</v>
      </c>
      <c r="K8" s="641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9" t="s">
        <v>63</v>
      </c>
      <c r="U8" s="640" t="s">
        <v>64</v>
      </c>
      <c r="V8" s="640" t="s">
        <v>65</v>
      </c>
      <c r="W8" s="641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206</v>
      </c>
      <c r="H9" s="269">
        <v>55</v>
      </c>
      <c r="I9" s="642">
        <f>E5-F9+E4+E6+E7</f>
        <v>18509.600000000002</v>
      </c>
      <c r="J9" s="643">
        <f>F5-C9+F4+F6+F7</f>
        <v>680</v>
      </c>
      <c r="K9" s="644">
        <f>F9*H9</f>
        <v>47907.199999999997</v>
      </c>
      <c r="L9" s="243"/>
      <c r="M9" s="993" t="s">
        <v>32</v>
      </c>
      <c r="N9" s="2">
        <v>27.22</v>
      </c>
      <c r="O9" s="15">
        <v>7</v>
      </c>
      <c r="P9" s="392">
        <f t="shared" ref="P9:P72" si="2">O9*N9</f>
        <v>190.54</v>
      </c>
      <c r="Q9" s="329">
        <v>44680</v>
      </c>
      <c r="R9" s="69">
        <f t="shared" ref="R9:R72" si="3">P9</f>
        <v>190.54</v>
      </c>
      <c r="S9" s="268" t="s">
        <v>597</v>
      </c>
      <c r="T9" s="269">
        <v>57</v>
      </c>
      <c r="U9" s="642">
        <f>Q5-R9+Q4+Q6+Q7</f>
        <v>18316.34</v>
      </c>
      <c r="V9" s="643">
        <f>R5-O9+R4+R6+R7</f>
        <v>673</v>
      </c>
      <c r="W9" s="644">
        <f>R9*T9</f>
        <v>10860.779999999999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208</v>
      </c>
      <c r="H10" s="71">
        <v>55</v>
      </c>
      <c r="I10" s="645">
        <f>I9-F10</f>
        <v>17638.560000000001</v>
      </c>
      <c r="J10" s="646">
        <f>J9-C10</f>
        <v>648</v>
      </c>
      <c r="K10" s="647">
        <f t="shared" ref="K10:K73" si="4">F10*H10</f>
        <v>47907.199999999997</v>
      </c>
      <c r="L10" s="243"/>
      <c r="M10" s="994"/>
      <c r="N10" s="2">
        <v>27.22</v>
      </c>
      <c r="O10" s="15">
        <v>2</v>
      </c>
      <c r="P10" s="392">
        <f t="shared" si="2"/>
        <v>54.44</v>
      </c>
      <c r="Q10" s="329">
        <v>44680</v>
      </c>
      <c r="R10" s="69">
        <f t="shared" si="3"/>
        <v>54.44</v>
      </c>
      <c r="S10" s="70" t="s">
        <v>601</v>
      </c>
      <c r="T10" s="71">
        <v>57</v>
      </c>
      <c r="U10" s="645">
        <f>U9-R10</f>
        <v>18261.900000000001</v>
      </c>
      <c r="V10" s="646">
        <f>V9-O10</f>
        <v>671</v>
      </c>
      <c r="W10" s="647">
        <f t="shared" ref="W10:W73" si="5">R10*T10</f>
        <v>3103.08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210</v>
      </c>
      <c r="H11" s="269">
        <v>55</v>
      </c>
      <c r="I11" s="645">
        <f t="shared" ref="I11:I74" si="6">I10-F11</f>
        <v>17502.460000000003</v>
      </c>
      <c r="J11" s="646">
        <f t="shared" ref="J11" si="7">J10-C11</f>
        <v>643</v>
      </c>
      <c r="K11" s="647">
        <f t="shared" si="4"/>
        <v>7485.5</v>
      </c>
      <c r="L11" s="243"/>
      <c r="M11" s="995"/>
      <c r="N11" s="2">
        <v>27.22</v>
      </c>
      <c r="O11" s="15">
        <v>1</v>
      </c>
      <c r="P11" s="392">
        <f t="shared" si="2"/>
        <v>27.22</v>
      </c>
      <c r="Q11" s="329">
        <v>44681</v>
      </c>
      <c r="R11" s="69">
        <f t="shared" si="3"/>
        <v>27.22</v>
      </c>
      <c r="S11" s="268" t="s">
        <v>579</v>
      </c>
      <c r="T11" s="269">
        <v>57</v>
      </c>
      <c r="U11" s="645">
        <f t="shared" ref="U11:U74" si="8">U10-R11</f>
        <v>18234.68</v>
      </c>
      <c r="V11" s="646">
        <f t="shared" ref="V11" si="9">V10-O11</f>
        <v>670</v>
      </c>
      <c r="W11" s="647">
        <f t="shared" si="5"/>
        <v>1551.54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213</v>
      </c>
      <c r="H12" s="269">
        <v>55</v>
      </c>
      <c r="I12" s="645">
        <f t="shared" si="6"/>
        <v>16849.180000000004</v>
      </c>
      <c r="J12" s="646">
        <f>J11-C12</f>
        <v>619</v>
      </c>
      <c r="K12" s="647">
        <f t="shared" si="4"/>
        <v>35930.400000000001</v>
      </c>
      <c r="L12" s="243"/>
      <c r="M12" s="993" t="s">
        <v>33</v>
      </c>
      <c r="N12" s="2">
        <v>27.22</v>
      </c>
      <c r="O12" s="15">
        <v>6</v>
      </c>
      <c r="P12" s="392">
        <f t="shared" si="2"/>
        <v>163.32</v>
      </c>
      <c r="Q12" s="329">
        <v>44681</v>
      </c>
      <c r="R12" s="69">
        <f t="shared" si="3"/>
        <v>163.32</v>
      </c>
      <c r="S12" s="268" t="s">
        <v>602</v>
      </c>
      <c r="T12" s="269">
        <v>57</v>
      </c>
      <c r="U12" s="645">
        <f t="shared" si="8"/>
        <v>18071.36</v>
      </c>
      <c r="V12" s="646">
        <f>V11-O12</f>
        <v>664</v>
      </c>
      <c r="W12" s="647">
        <f t="shared" si="5"/>
        <v>9309.24</v>
      </c>
    </row>
    <row r="13" spans="1:23" ht="15" customHeight="1" x14ac:dyDescent="0.25">
      <c r="A13" s="617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215</v>
      </c>
      <c r="H13" s="71">
        <v>55</v>
      </c>
      <c r="I13" s="645">
        <f t="shared" si="6"/>
        <v>16713.080000000005</v>
      </c>
      <c r="J13" s="646">
        <f t="shared" ref="J13:J76" si="10">J12-C13</f>
        <v>614</v>
      </c>
      <c r="K13" s="647">
        <f t="shared" si="4"/>
        <v>7485.5</v>
      </c>
      <c r="L13" s="243"/>
      <c r="M13" s="617"/>
      <c r="N13" s="320">
        <v>27.22</v>
      </c>
      <c r="O13" s="15">
        <v>32</v>
      </c>
      <c r="P13" s="392">
        <f t="shared" si="2"/>
        <v>871.04</v>
      </c>
      <c r="Q13" s="329">
        <v>44681</v>
      </c>
      <c r="R13" s="69">
        <f t="shared" si="3"/>
        <v>871.04</v>
      </c>
      <c r="S13" s="70" t="s">
        <v>603</v>
      </c>
      <c r="T13" s="71">
        <v>57</v>
      </c>
      <c r="U13" s="645">
        <f t="shared" si="8"/>
        <v>17200.32</v>
      </c>
      <c r="V13" s="646">
        <f t="shared" ref="V13:V76" si="11">V12-O13</f>
        <v>632</v>
      </c>
      <c r="W13" s="647">
        <f t="shared" si="5"/>
        <v>49649.279999999999</v>
      </c>
    </row>
    <row r="14" spans="1:23" x14ac:dyDescent="0.25">
      <c r="A14" s="617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220</v>
      </c>
      <c r="H14" s="71">
        <v>55</v>
      </c>
      <c r="I14" s="645">
        <f t="shared" si="6"/>
        <v>16685.860000000004</v>
      </c>
      <c r="J14" s="646">
        <f t="shared" si="10"/>
        <v>613</v>
      </c>
      <c r="K14" s="647">
        <f t="shared" si="4"/>
        <v>1497.1</v>
      </c>
      <c r="L14" s="243"/>
      <c r="M14" s="617"/>
      <c r="N14" s="320">
        <v>27.22</v>
      </c>
      <c r="O14" s="15">
        <v>1</v>
      </c>
      <c r="P14" s="392">
        <f t="shared" si="2"/>
        <v>27.22</v>
      </c>
      <c r="Q14" s="329">
        <v>44681</v>
      </c>
      <c r="R14" s="69">
        <f t="shared" si="3"/>
        <v>27.22</v>
      </c>
      <c r="S14" s="70" t="s">
        <v>605</v>
      </c>
      <c r="T14" s="71">
        <v>57</v>
      </c>
      <c r="U14" s="645">
        <f t="shared" si="8"/>
        <v>17173.099999999999</v>
      </c>
      <c r="V14" s="646">
        <f t="shared" si="11"/>
        <v>631</v>
      </c>
      <c r="W14" s="647">
        <f t="shared" si="5"/>
        <v>1551.54</v>
      </c>
    </row>
    <row r="15" spans="1:23" x14ac:dyDescent="0.25">
      <c r="A15" s="617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216</v>
      </c>
      <c r="H15" s="71">
        <v>55</v>
      </c>
      <c r="I15" s="645">
        <f t="shared" si="6"/>
        <v>16032.580000000004</v>
      </c>
      <c r="J15" s="646">
        <f t="shared" si="10"/>
        <v>589</v>
      </c>
      <c r="K15" s="647">
        <f t="shared" si="4"/>
        <v>35930.400000000001</v>
      </c>
      <c r="L15" s="243"/>
      <c r="M15" s="617"/>
      <c r="N15" s="320">
        <v>27.22</v>
      </c>
      <c r="O15" s="15">
        <v>4</v>
      </c>
      <c r="P15" s="392">
        <f t="shared" si="2"/>
        <v>108.88</v>
      </c>
      <c r="Q15" s="329">
        <v>44681</v>
      </c>
      <c r="R15" s="69">
        <f t="shared" si="3"/>
        <v>108.88</v>
      </c>
      <c r="S15" s="70" t="s">
        <v>606</v>
      </c>
      <c r="T15" s="71">
        <v>57</v>
      </c>
      <c r="U15" s="645">
        <f t="shared" si="8"/>
        <v>17064.219999999998</v>
      </c>
      <c r="V15" s="646">
        <f t="shared" si="11"/>
        <v>627</v>
      </c>
      <c r="W15" s="647">
        <f t="shared" si="5"/>
        <v>6206.16</v>
      </c>
    </row>
    <row r="16" spans="1:23" x14ac:dyDescent="0.25">
      <c r="A16" s="617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230</v>
      </c>
      <c r="H16" s="269">
        <v>55</v>
      </c>
      <c r="I16" s="645">
        <f t="shared" si="6"/>
        <v>15379.300000000003</v>
      </c>
      <c r="J16" s="646">
        <f t="shared" si="10"/>
        <v>565</v>
      </c>
      <c r="K16" s="647">
        <f t="shared" si="4"/>
        <v>35930.400000000001</v>
      </c>
      <c r="L16" s="243"/>
      <c r="M16" s="617"/>
      <c r="N16" s="320">
        <v>27.22</v>
      </c>
      <c r="O16" s="15">
        <v>1</v>
      </c>
      <c r="P16" s="392">
        <f t="shared" si="2"/>
        <v>27.22</v>
      </c>
      <c r="Q16" s="329">
        <v>44681</v>
      </c>
      <c r="R16" s="69">
        <f t="shared" si="3"/>
        <v>27.22</v>
      </c>
      <c r="S16" s="268" t="s">
        <v>607</v>
      </c>
      <c r="T16" s="269">
        <v>57</v>
      </c>
      <c r="U16" s="645">
        <f t="shared" si="8"/>
        <v>17036.999999999996</v>
      </c>
      <c r="V16" s="646">
        <f t="shared" si="11"/>
        <v>626</v>
      </c>
      <c r="W16" s="647">
        <f t="shared" si="5"/>
        <v>1551.54</v>
      </c>
    </row>
    <row r="17" spans="1:23" x14ac:dyDescent="0.25">
      <c r="A17" s="617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231</v>
      </c>
      <c r="H17" s="71">
        <v>55</v>
      </c>
      <c r="I17" s="645">
        <f t="shared" si="6"/>
        <v>15107.100000000002</v>
      </c>
      <c r="J17" s="646">
        <f t="shared" si="10"/>
        <v>555</v>
      </c>
      <c r="K17" s="647">
        <f t="shared" si="4"/>
        <v>14971</v>
      </c>
      <c r="L17" s="243"/>
      <c r="M17" s="617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5">
        <f t="shared" si="8"/>
        <v>17036.999999999996</v>
      </c>
      <c r="V17" s="646">
        <f t="shared" si="11"/>
        <v>626</v>
      </c>
      <c r="W17" s="647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232</v>
      </c>
      <c r="H18" s="71">
        <v>55</v>
      </c>
      <c r="I18" s="645">
        <f t="shared" si="6"/>
        <v>15079.880000000003</v>
      </c>
      <c r="J18" s="646">
        <f t="shared" si="10"/>
        <v>554</v>
      </c>
      <c r="K18" s="647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5">
        <f t="shared" si="8"/>
        <v>17036.999999999996</v>
      </c>
      <c r="V18" s="646">
        <f t="shared" si="11"/>
        <v>626</v>
      </c>
      <c r="W18" s="647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233</v>
      </c>
      <c r="H19" s="71">
        <v>55</v>
      </c>
      <c r="I19" s="645">
        <f t="shared" si="6"/>
        <v>14426.600000000002</v>
      </c>
      <c r="J19" s="646">
        <f t="shared" si="10"/>
        <v>530</v>
      </c>
      <c r="K19" s="647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5">
        <f t="shared" si="8"/>
        <v>17036.999999999996</v>
      </c>
      <c r="V19" s="646">
        <f t="shared" si="11"/>
        <v>626</v>
      </c>
      <c r="W19" s="647">
        <f t="shared" si="5"/>
        <v>0</v>
      </c>
    </row>
    <row r="20" spans="1:23" x14ac:dyDescent="0.25">
      <c r="B20" s="2">
        <v>27.22</v>
      </c>
      <c r="C20" s="15">
        <v>24</v>
      </c>
      <c r="D20" s="990">
        <f t="shared" si="0"/>
        <v>653.28</v>
      </c>
      <c r="E20" s="991">
        <v>44649</v>
      </c>
      <c r="F20" s="471">
        <f t="shared" si="1"/>
        <v>653.28</v>
      </c>
      <c r="G20" s="540" t="s">
        <v>333</v>
      </c>
      <c r="H20" s="541">
        <v>55</v>
      </c>
      <c r="I20" s="645">
        <f t="shared" si="6"/>
        <v>13773.320000000002</v>
      </c>
      <c r="J20" s="648">
        <f t="shared" si="10"/>
        <v>506</v>
      </c>
      <c r="K20" s="647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5">
        <f t="shared" si="8"/>
        <v>17036.999999999996</v>
      </c>
      <c r="V20" s="648">
        <f t="shared" si="11"/>
        <v>626</v>
      </c>
      <c r="W20" s="647">
        <f t="shared" si="5"/>
        <v>0</v>
      </c>
    </row>
    <row r="21" spans="1:23" x14ac:dyDescent="0.25">
      <c r="B21" s="2">
        <v>27.22</v>
      </c>
      <c r="C21" s="15">
        <v>24</v>
      </c>
      <c r="D21" s="990">
        <f t="shared" si="0"/>
        <v>653.28</v>
      </c>
      <c r="E21" s="932">
        <v>44650</v>
      </c>
      <c r="F21" s="471">
        <f t="shared" si="1"/>
        <v>653.28</v>
      </c>
      <c r="G21" s="540" t="s">
        <v>355</v>
      </c>
      <c r="H21" s="541">
        <v>55</v>
      </c>
      <c r="I21" s="645">
        <f t="shared" si="6"/>
        <v>13120.04</v>
      </c>
      <c r="J21" s="646">
        <f t="shared" si="10"/>
        <v>482</v>
      </c>
      <c r="K21" s="647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5">
        <f t="shared" si="8"/>
        <v>17036.999999999996</v>
      </c>
      <c r="V21" s="646">
        <f t="shared" si="11"/>
        <v>626</v>
      </c>
      <c r="W21" s="647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0">
        <f t="shared" si="0"/>
        <v>653.28</v>
      </c>
      <c r="E22" s="932">
        <v>44651</v>
      </c>
      <c r="F22" s="471">
        <f t="shared" si="1"/>
        <v>653.28</v>
      </c>
      <c r="G22" s="540" t="s">
        <v>354</v>
      </c>
      <c r="H22" s="541">
        <v>55</v>
      </c>
      <c r="I22" s="645">
        <f t="shared" si="6"/>
        <v>12466.76</v>
      </c>
      <c r="J22" s="646">
        <f t="shared" si="10"/>
        <v>458</v>
      </c>
      <c r="K22" s="647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5">
        <f t="shared" si="8"/>
        <v>17036.999999999996</v>
      </c>
      <c r="V22" s="646">
        <f t="shared" si="11"/>
        <v>626</v>
      </c>
      <c r="W22" s="647">
        <f t="shared" si="5"/>
        <v>0</v>
      </c>
    </row>
    <row r="23" spans="1:23" x14ac:dyDescent="0.25">
      <c r="B23" s="2">
        <v>27.22</v>
      </c>
      <c r="C23" s="15">
        <v>5</v>
      </c>
      <c r="D23" s="990">
        <f t="shared" si="0"/>
        <v>136.1</v>
      </c>
      <c r="E23" s="932">
        <v>44652</v>
      </c>
      <c r="F23" s="471">
        <f t="shared" si="1"/>
        <v>136.1</v>
      </c>
      <c r="G23" s="540" t="s">
        <v>369</v>
      </c>
      <c r="H23" s="541">
        <v>55</v>
      </c>
      <c r="I23" s="645">
        <f t="shared" si="6"/>
        <v>12330.66</v>
      </c>
      <c r="J23" s="646">
        <f t="shared" si="10"/>
        <v>453</v>
      </c>
      <c r="K23" s="647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5">
        <f t="shared" si="8"/>
        <v>17036.999999999996</v>
      </c>
      <c r="V23" s="646">
        <f t="shared" si="11"/>
        <v>626</v>
      </c>
      <c r="W23" s="647">
        <f t="shared" si="5"/>
        <v>0</v>
      </c>
    </row>
    <row r="24" spans="1:23" x14ac:dyDescent="0.25">
      <c r="B24" s="2">
        <v>27.22</v>
      </c>
      <c r="C24" s="15">
        <v>6</v>
      </c>
      <c r="D24" s="990">
        <f t="shared" si="0"/>
        <v>163.32</v>
      </c>
      <c r="E24" s="991">
        <v>44652</v>
      </c>
      <c r="F24" s="471">
        <f t="shared" si="1"/>
        <v>163.32</v>
      </c>
      <c r="G24" s="540" t="s">
        <v>370</v>
      </c>
      <c r="H24" s="541">
        <v>55</v>
      </c>
      <c r="I24" s="645">
        <f t="shared" si="6"/>
        <v>12167.34</v>
      </c>
      <c r="J24" s="646">
        <f t="shared" si="10"/>
        <v>447</v>
      </c>
      <c r="K24" s="647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5">
        <f t="shared" si="8"/>
        <v>17036.999999999996</v>
      </c>
      <c r="V24" s="646">
        <f t="shared" si="11"/>
        <v>626</v>
      </c>
      <c r="W24" s="647">
        <f t="shared" si="5"/>
        <v>0</v>
      </c>
    </row>
    <row r="25" spans="1:23" x14ac:dyDescent="0.25">
      <c r="B25" s="2">
        <v>27.22</v>
      </c>
      <c r="C25" s="15">
        <v>24</v>
      </c>
      <c r="D25" s="990">
        <f t="shared" si="0"/>
        <v>653.28</v>
      </c>
      <c r="E25" s="932">
        <v>44652</v>
      </c>
      <c r="F25" s="471">
        <f t="shared" si="1"/>
        <v>653.28</v>
      </c>
      <c r="G25" s="540" t="s">
        <v>374</v>
      </c>
      <c r="H25" s="541">
        <v>55</v>
      </c>
      <c r="I25" s="645">
        <f t="shared" si="6"/>
        <v>11514.06</v>
      </c>
      <c r="J25" s="646">
        <f t="shared" si="10"/>
        <v>423</v>
      </c>
      <c r="K25" s="647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5">
        <f t="shared" si="8"/>
        <v>17036.999999999996</v>
      </c>
      <c r="V25" s="646">
        <f t="shared" si="11"/>
        <v>626</v>
      </c>
      <c r="W25" s="647">
        <f t="shared" si="5"/>
        <v>0</v>
      </c>
    </row>
    <row r="26" spans="1:23" x14ac:dyDescent="0.25">
      <c r="B26" s="2">
        <v>27.22</v>
      </c>
      <c r="C26" s="15">
        <v>6</v>
      </c>
      <c r="D26" s="990">
        <f t="shared" si="0"/>
        <v>163.32</v>
      </c>
      <c r="E26" s="991">
        <v>44653</v>
      </c>
      <c r="F26" s="471">
        <f t="shared" si="1"/>
        <v>163.32</v>
      </c>
      <c r="G26" s="540" t="s">
        <v>376</v>
      </c>
      <c r="H26" s="541">
        <v>55</v>
      </c>
      <c r="I26" s="645">
        <f t="shared" si="6"/>
        <v>11350.74</v>
      </c>
      <c r="J26" s="646">
        <f t="shared" si="10"/>
        <v>417</v>
      </c>
      <c r="K26" s="647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5">
        <f t="shared" si="8"/>
        <v>17036.999999999996</v>
      </c>
      <c r="V26" s="646">
        <f t="shared" si="11"/>
        <v>626</v>
      </c>
      <c r="W26" s="647">
        <f t="shared" si="5"/>
        <v>0</v>
      </c>
    </row>
    <row r="27" spans="1:23" x14ac:dyDescent="0.25">
      <c r="B27" s="2">
        <v>27.22</v>
      </c>
      <c r="C27" s="15">
        <v>38</v>
      </c>
      <c r="D27" s="990">
        <f t="shared" si="0"/>
        <v>1034.3599999999999</v>
      </c>
      <c r="E27" s="991">
        <v>44653</v>
      </c>
      <c r="F27" s="471">
        <f t="shared" si="1"/>
        <v>1034.3599999999999</v>
      </c>
      <c r="G27" s="540" t="s">
        <v>378</v>
      </c>
      <c r="H27" s="541">
        <v>55</v>
      </c>
      <c r="I27" s="645">
        <f t="shared" si="6"/>
        <v>10316.379999999999</v>
      </c>
      <c r="J27" s="646">
        <f t="shared" si="10"/>
        <v>379</v>
      </c>
      <c r="K27" s="647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5">
        <f t="shared" si="8"/>
        <v>17036.999999999996</v>
      </c>
      <c r="V27" s="646">
        <f t="shared" si="11"/>
        <v>626</v>
      </c>
      <c r="W27" s="647">
        <f t="shared" si="5"/>
        <v>0</v>
      </c>
    </row>
    <row r="28" spans="1:23" x14ac:dyDescent="0.25">
      <c r="B28" s="2">
        <v>27.22</v>
      </c>
      <c r="C28" s="15">
        <v>32</v>
      </c>
      <c r="D28" s="990">
        <f t="shared" si="0"/>
        <v>871.04</v>
      </c>
      <c r="E28" s="991">
        <v>44653</v>
      </c>
      <c r="F28" s="471">
        <f t="shared" si="1"/>
        <v>871.04</v>
      </c>
      <c r="G28" s="540" t="s">
        <v>358</v>
      </c>
      <c r="H28" s="541">
        <v>55</v>
      </c>
      <c r="I28" s="645">
        <f t="shared" si="6"/>
        <v>9445.34</v>
      </c>
      <c r="J28" s="646">
        <f t="shared" si="10"/>
        <v>347</v>
      </c>
      <c r="K28" s="647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5">
        <f t="shared" si="8"/>
        <v>17036.999999999996</v>
      </c>
      <c r="V28" s="646">
        <f t="shared" si="11"/>
        <v>626</v>
      </c>
      <c r="W28" s="647">
        <f t="shared" si="5"/>
        <v>0</v>
      </c>
    </row>
    <row r="29" spans="1:23" x14ac:dyDescent="0.25">
      <c r="B29" s="2">
        <v>27.22</v>
      </c>
      <c r="C29" s="15">
        <v>1</v>
      </c>
      <c r="D29" s="990">
        <f t="shared" si="0"/>
        <v>27.22</v>
      </c>
      <c r="E29" s="991">
        <v>44657</v>
      </c>
      <c r="F29" s="471">
        <f t="shared" si="1"/>
        <v>27.22</v>
      </c>
      <c r="G29" s="540" t="s">
        <v>341</v>
      </c>
      <c r="H29" s="541">
        <v>57</v>
      </c>
      <c r="I29" s="645">
        <f t="shared" si="6"/>
        <v>9418.1200000000008</v>
      </c>
      <c r="J29" s="648">
        <f t="shared" si="10"/>
        <v>346</v>
      </c>
      <c r="K29" s="647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5">
        <f t="shared" si="8"/>
        <v>17036.999999999996</v>
      </c>
      <c r="V29" s="648">
        <f t="shared" si="11"/>
        <v>626</v>
      </c>
      <c r="W29" s="647">
        <f t="shared" si="5"/>
        <v>0</v>
      </c>
    </row>
    <row r="30" spans="1:23" x14ac:dyDescent="0.25">
      <c r="B30" s="2">
        <v>27.22</v>
      </c>
      <c r="C30" s="15">
        <v>28</v>
      </c>
      <c r="D30" s="990">
        <f t="shared" si="0"/>
        <v>762.16</v>
      </c>
      <c r="E30" s="991">
        <v>44658</v>
      </c>
      <c r="F30" s="471">
        <f t="shared" si="1"/>
        <v>762.16</v>
      </c>
      <c r="G30" s="472" t="s">
        <v>402</v>
      </c>
      <c r="H30" s="539">
        <v>57</v>
      </c>
      <c r="I30" s="645">
        <f t="shared" si="6"/>
        <v>8655.9600000000009</v>
      </c>
      <c r="J30" s="648">
        <f t="shared" si="10"/>
        <v>318</v>
      </c>
      <c r="K30" s="647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5">
        <f t="shared" si="8"/>
        <v>17036.999999999996</v>
      </c>
      <c r="V30" s="648">
        <f t="shared" si="11"/>
        <v>626</v>
      </c>
      <c r="W30" s="647">
        <f t="shared" si="5"/>
        <v>0</v>
      </c>
    </row>
    <row r="31" spans="1:23" x14ac:dyDescent="0.25">
      <c r="B31" s="2">
        <v>27.22</v>
      </c>
      <c r="C31" s="15">
        <v>5</v>
      </c>
      <c r="D31" s="990">
        <f t="shared" si="0"/>
        <v>136.1</v>
      </c>
      <c r="E31" s="991">
        <v>44659</v>
      </c>
      <c r="F31" s="471">
        <f t="shared" si="1"/>
        <v>136.1</v>
      </c>
      <c r="G31" s="472" t="s">
        <v>406</v>
      </c>
      <c r="H31" s="539">
        <v>57</v>
      </c>
      <c r="I31" s="645">
        <f t="shared" si="6"/>
        <v>8519.86</v>
      </c>
      <c r="J31" s="648">
        <f t="shared" si="10"/>
        <v>313</v>
      </c>
      <c r="K31" s="647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5">
        <f t="shared" si="8"/>
        <v>17036.999999999996</v>
      </c>
      <c r="V31" s="648">
        <f t="shared" si="11"/>
        <v>626</v>
      </c>
      <c r="W31" s="647">
        <f t="shared" si="5"/>
        <v>0</v>
      </c>
    </row>
    <row r="32" spans="1:23" x14ac:dyDescent="0.25">
      <c r="B32" s="2">
        <v>27.22</v>
      </c>
      <c r="C32" s="15">
        <v>2</v>
      </c>
      <c r="D32" s="990">
        <f t="shared" si="0"/>
        <v>54.44</v>
      </c>
      <c r="E32" s="991">
        <v>44660</v>
      </c>
      <c r="F32" s="471">
        <f t="shared" si="1"/>
        <v>54.44</v>
      </c>
      <c r="G32" s="472" t="s">
        <v>413</v>
      </c>
      <c r="H32" s="539">
        <v>57</v>
      </c>
      <c r="I32" s="645">
        <f t="shared" si="6"/>
        <v>8465.42</v>
      </c>
      <c r="J32" s="648">
        <f t="shared" si="10"/>
        <v>311</v>
      </c>
      <c r="K32" s="647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5">
        <f t="shared" si="8"/>
        <v>17036.999999999996</v>
      </c>
      <c r="V32" s="648">
        <f t="shared" si="11"/>
        <v>626</v>
      </c>
      <c r="W32" s="647">
        <f t="shared" si="5"/>
        <v>0</v>
      </c>
    </row>
    <row r="33" spans="2:23" x14ac:dyDescent="0.25">
      <c r="B33" s="2">
        <v>27.22</v>
      </c>
      <c r="C33" s="15">
        <v>3</v>
      </c>
      <c r="D33" s="990">
        <f t="shared" si="0"/>
        <v>81.66</v>
      </c>
      <c r="E33" s="991">
        <v>44660</v>
      </c>
      <c r="F33" s="471">
        <f t="shared" si="1"/>
        <v>81.66</v>
      </c>
      <c r="G33" s="472" t="s">
        <v>412</v>
      </c>
      <c r="H33" s="539">
        <v>57</v>
      </c>
      <c r="I33" s="645">
        <f t="shared" si="6"/>
        <v>8383.76</v>
      </c>
      <c r="J33" s="648">
        <f t="shared" si="10"/>
        <v>308</v>
      </c>
      <c r="K33" s="647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5">
        <f t="shared" si="8"/>
        <v>17036.999999999996</v>
      </c>
      <c r="V33" s="648">
        <f t="shared" si="11"/>
        <v>626</v>
      </c>
      <c r="W33" s="647">
        <f t="shared" si="5"/>
        <v>0</v>
      </c>
    </row>
    <row r="34" spans="2:23" x14ac:dyDescent="0.25">
      <c r="B34" s="2">
        <v>27.22</v>
      </c>
      <c r="C34" s="15">
        <v>36</v>
      </c>
      <c r="D34" s="990">
        <f t="shared" si="0"/>
        <v>979.92</v>
      </c>
      <c r="E34" s="991">
        <v>44660</v>
      </c>
      <c r="F34" s="471">
        <f t="shared" si="1"/>
        <v>979.92</v>
      </c>
      <c r="G34" s="540" t="s">
        <v>416</v>
      </c>
      <c r="H34" s="541">
        <v>57</v>
      </c>
      <c r="I34" s="645">
        <f t="shared" si="6"/>
        <v>7403.84</v>
      </c>
      <c r="J34" s="646">
        <f t="shared" si="10"/>
        <v>272</v>
      </c>
      <c r="K34" s="647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5">
        <f t="shared" si="8"/>
        <v>17036.999999999996</v>
      </c>
      <c r="V34" s="646">
        <f t="shared" si="11"/>
        <v>626</v>
      </c>
      <c r="W34" s="647">
        <f t="shared" si="5"/>
        <v>0</v>
      </c>
    </row>
    <row r="35" spans="2:23" x14ac:dyDescent="0.25">
      <c r="B35" s="2">
        <v>27.22</v>
      </c>
      <c r="C35" s="15">
        <v>2</v>
      </c>
      <c r="D35" s="990">
        <f t="shared" si="0"/>
        <v>54.44</v>
      </c>
      <c r="E35" s="991">
        <v>44663</v>
      </c>
      <c r="F35" s="471">
        <f t="shared" si="1"/>
        <v>54.44</v>
      </c>
      <c r="G35" s="540" t="s">
        <v>431</v>
      </c>
      <c r="H35" s="541">
        <v>57</v>
      </c>
      <c r="I35" s="645">
        <f t="shared" si="6"/>
        <v>7349.4000000000005</v>
      </c>
      <c r="J35" s="646">
        <f t="shared" si="10"/>
        <v>270</v>
      </c>
      <c r="K35" s="647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5">
        <f t="shared" si="8"/>
        <v>17036.999999999996</v>
      </c>
      <c r="V35" s="646">
        <f t="shared" si="11"/>
        <v>626</v>
      </c>
      <c r="W35" s="647">
        <f t="shared" si="5"/>
        <v>0</v>
      </c>
    </row>
    <row r="36" spans="2:23" x14ac:dyDescent="0.25">
      <c r="B36" s="2">
        <v>27.22</v>
      </c>
      <c r="C36" s="15">
        <v>24</v>
      </c>
      <c r="D36" s="990">
        <f t="shared" si="0"/>
        <v>653.28</v>
      </c>
      <c r="E36" s="991">
        <v>44664</v>
      </c>
      <c r="F36" s="471">
        <f t="shared" si="1"/>
        <v>653.28</v>
      </c>
      <c r="G36" s="540" t="s">
        <v>446</v>
      </c>
      <c r="H36" s="541">
        <v>57</v>
      </c>
      <c r="I36" s="645">
        <f t="shared" si="6"/>
        <v>6696.1200000000008</v>
      </c>
      <c r="J36" s="646">
        <f t="shared" si="10"/>
        <v>246</v>
      </c>
      <c r="K36" s="647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5">
        <f t="shared" si="8"/>
        <v>17036.999999999996</v>
      </c>
      <c r="V36" s="646">
        <f t="shared" si="11"/>
        <v>626</v>
      </c>
      <c r="W36" s="647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447</v>
      </c>
      <c r="H37" s="541">
        <v>57</v>
      </c>
      <c r="I37" s="645">
        <f t="shared" si="6"/>
        <v>6587.2400000000007</v>
      </c>
      <c r="J37" s="646">
        <f t="shared" si="10"/>
        <v>242</v>
      </c>
      <c r="K37" s="647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5">
        <f t="shared" si="8"/>
        <v>17036.999999999996</v>
      </c>
      <c r="V37" s="646">
        <f t="shared" si="11"/>
        <v>626</v>
      </c>
      <c r="W37" s="647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424</v>
      </c>
      <c r="H38" s="541">
        <v>57</v>
      </c>
      <c r="I38" s="645">
        <f t="shared" si="6"/>
        <v>5498.4400000000005</v>
      </c>
      <c r="J38" s="646">
        <f t="shared" si="10"/>
        <v>202</v>
      </c>
      <c r="K38" s="647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5">
        <f t="shared" si="8"/>
        <v>17036.999999999996</v>
      </c>
      <c r="V38" s="646">
        <f t="shared" si="11"/>
        <v>626</v>
      </c>
      <c r="W38" s="647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475</v>
      </c>
      <c r="H39" s="541">
        <v>57</v>
      </c>
      <c r="I39" s="645">
        <f t="shared" si="6"/>
        <v>4736.2800000000007</v>
      </c>
      <c r="J39" s="646">
        <f t="shared" si="10"/>
        <v>174</v>
      </c>
      <c r="K39" s="647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5">
        <f t="shared" si="8"/>
        <v>17036.999999999996</v>
      </c>
      <c r="V39" s="646">
        <f t="shared" si="11"/>
        <v>626</v>
      </c>
      <c r="W39" s="647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476</v>
      </c>
      <c r="H40" s="541">
        <v>57</v>
      </c>
      <c r="I40" s="645">
        <f t="shared" si="6"/>
        <v>4627.4000000000005</v>
      </c>
      <c r="J40" s="646">
        <f t="shared" si="10"/>
        <v>170</v>
      </c>
      <c r="K40" s="647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5">
        <f t="shared" si="8"/>
        <v>17036.999999999996</v>
      </c>
      <c r="V40" s="646">
        <f t="shared" si="11"/>
        <v>626</v>
      </c>
      <c r="W40" s="647">
        <f t="shared" si="5"/>
        <v>0</v>
      </c>
    </row>
    <row r="41" spans="2:23" x14ac:dyDescent="0.25">
      <c r="B41" s="2">
        <v>27.22</v>
      </c>
      <c r="C41" s="15">
        <v>5</v>
      </c>
      <c r="D41" s="471">
        <f t="shared" si="0"/>
        <v>136.1</v>
      </c>
      <c r="E41" s="474">
        <v>44673</v>
      </c>
      <c r="F41" s="471">
        <f t="shared" si="1"/>
        <v>136.1</v>
      </c>
      <c r="G41" s="540" t="s">
        <v>548</v>
      </c>
      <c r="H41" s="541">
        <v>57</v>
      </c>
      <c r="I41" s="645">
        <f t="shared" si="6"/>
        <v>4491.3</v>
      </c>
      <c r="J41" s="646">
        <f t="shared" si="10"/>
        <v>165</v>
      </c>
      <c r="K41" s="647">
        <f t="shared" si="4"/>
        <v>7757.7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5">
        <f t="shared" si="8"/>
        <v>17036.999999999996</v>
      </c>
      <c r="V41" s="646">
        <f t="shared" si="11"/>
        <v>626</v>
      </c>
      <c r="W41" s="647">
        <f t="shared" si="5"/>
        <v>0</v>
      </c>
    </row>
    <row r="42" spans="2:23" x14ac:dyDescent="0.25">
      <c r="B42" s="2">
        <v>27.22</v>
      </c>
      <c r="C42" s="15">
        <v>40</v>
      </c>
      <c r="D42" s="471">
        <f t="shared" si="0"/>
        <v>1088.8</v>
      </c>
      <c r="E42" s="474">
        <v>44673</v>
      </c>
      <c r="F42" s="471">
        <f t="shared" si="1"/>
        <v>1088.8</v>
      </c>
      <c r="G42" s="540" t="s">
        <v>549</v>
      </c>
      <c r="H42" s="541">
        <v>57</v>
      </c>
      <c r="I42" s="645">
        <f t="shared" si="6"/>
        <v>3402.5</v>
      </c>
      <c r="J42" s="646">
        <f t="shared" si="10"/>
        <v>125</v>
      </c>
      <c r="K42" s="647">
        <f t="shared" si="4"/>
        <v>62061.599999999999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5">
        <f t="shared" si="8"/>
        <v>17036.999999999996</v>
      </c>
      <c r="V42" s="646">
        <f t="shared" si="11"/>
        <v>626</v>
      </c>
      <c r="W42" s="647">
        <f t="shared" si="5"/>
        <v>0</v>
      </c>
    </row>
    <row r="43" spans="2:23" x14ac:dyDescent="0.25">
      <c r="B43" s="2">
        <v>27.22</v>
      </c>
      <c r="C43" s="15">
        <v>4</v>
      </c>
      <c r="D43" s="471">
        <f t="shared" si="0"/>
        <v>108.88</v>
      </c>
      <c r="E43" s="474">
        <v>44674</v>
      </c>
      <c r="F43" s="471">
        <f t="shared" si="1"/>
        <v>108.88</v>
      </c>
      <c r="G43" s="540" t="s">
        <v>559</v>
      </c>
      <c r="H43" s="541">
        <v>57</v>
      </c>
      <c r="I43" s="645">
        <f t="shared" si="6"/>
        <v>3293.62</v>
      </c>
      <c r="J43" s="646">
        <f t="shared" si="10"/>
        <v>121</v>
      </c>
      <c r="K43" s="647">
        <f t="shared" si="4"/>
        <v>6206.16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5">
        <f t="shared" si="8"/>
        <v>17036.999999999996</v>
      </c>
      <c r="V43" s="646">
        <f t="shared" si="11"/>
        <v>626</v>
      </c>
      <c r="W43" s="647">
        <f t="shared" si="5"/>
        <v>0</v>
      </c>
    </row>
    <row r="44" spans="2:23" x14ac:dyDescent="0.25">
      <c r="B44" s="2">
        <v>27.22</v>
      </c>
      <c r="C44" s="15">
        <v>32</v>
      </c>
      <c r="D44" s="471">
        <f t="shared" si="0"/>
        <v>871.04</v>
      </c>
      <c r="E44" s="474">
        <v>44676</v>
      </c>
      <c r="F44" s="471">
        <f t="shared" si="1"/>
        <v>871.04</v>
      </c>
      <c r="G44" s="540" t="s">
        <v>564</v>
      </c>
      <c r="H44" s="541">
        <v>57</v>
      </c>
      <c r="I44" s="645">
        <f t="shared" si="6"/>
        <v>2422.58</v>
      </c>
      <c r="J44" s="646">
        <f t="shared" si="10"/>
        <v>89</v>
      </c>
      <c r="K44" s="647">
        <f t="shared" si="4"/>
        <v>49649.279999999999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5">
        <f t="shared" si="8"/>
        <v>17036.999999999996</v>
      </c>
      <c r="V44" s="646">
        <f t="shared" si="11"/>
        <v>626</v>
      </c>
      <c r="W44" s="647">
        <f t="shared" si="5"/>
        <v>0</v>
      </c>
    </row>
    <row r="45" spans="2:23" x14ac:dyDescent="0.25">
      <c r="B45" s="2">
        <v>27.22</v>
      </c>
      <c r="C45" s="15">
        <v>24</v>
      </c>
      <c r="D45" s="471">
        <f t="shared" si="0"/>
        <v>653.28</v>
      </c>
      <c r="E45" s="474">
        <v>44675</v>
      </c>
      <c r="F45" s="471">
        <f t="shared" si="1"/>
        <v>653.28</v>
      </c>
      <c r="G45" s="540" t="s">
        <v>560</v>
      </c>
      <c r="H45" s="541">
        <v>57</v>
      </c>
      <c r="I45" s="645">
        <f t="shared" si="6"/>
        <v>1769.3</v>
      </c>
      <c r="J45" s="646">
        <f t="shared" si="10"/>
        <v>65</v>
      </c>
      <c r="K45" s="647">
        <f t="shared" si="4"/>
        <v>37236.959999999999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5">
        <f t="shared" si="8"/>
        <v>17036.999999999996</v>
      </c>
      <c r="V45" s="646">
        <f t="shared" si="11"/>
        <v>626</v>
      </c>
      <c r="W45" s="647">
        <f t="shared" si="5"/>
        <v>0</v>
      </c>
    </row>
    <row r="46" spans="2:23" x14ac:dyDescent="0.25">
      <c r="B46" s="2">
        <v>27.22</v>
      </c>
      <c r="C46" s="15">
        <v>32</v>
      </c>
      <c r="D46" s="471">
        <f t="shared" si="0"/>
        <v>871.04</v>
      </c>
      <c r="E46" s="474">
        <v>44677</v>
      </c>
      <c r="F46" s="471">
        <f t="shared" si="1"/>
        <v>871.04</v>
      </c>
      <c r="G46" s="540" t="s">
        <v>574</v>
      </c>
      <c r="H46" s="541">
        <v>57</v>
      </c>
      <c r="I46" s="645">
        <f t="shared" si="6"/>
        <v>898.26</v>
      </c>
      <c r="J46" s="646">
        <f t="shared" si="10"/>
        <v>33</v>
      </c>
      <c r="K46" s="647">
        <f t="shared" si="4"/>
        <v>49649.279999999999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5">
        <f t="shared" si="8"/>
        <v>17036.999999999996</v>
      </c>
      <c r="V46" s="646">
        <f t="shared" si="11"/>
        <v>626</v>
      </c>
      <c r="W46" s="647">
        <f t="shared" si="5"/>
        <v>0</v>
      </c>
    </row>
    <row r="47" spans="2:23" x14ac:dyDescent="0.25">
      <c r="B47" s="2">
        <v>27.22</v>
      </c>
      <c r="C47" s="15">
        <v>1</v>
      </c>
      <c r="D47" s="471">
        <f t="shared" si="0"/>
        <v>27.22</v>
      </c>
      <c r="E47" s="474">
        <v>44678</v>
      </c>
      <c r="F47" s="471">
        <f t="shared" si="1"/>
        <v>27.22</v>
      </c>
      <c r="G47" s="540" t="s">
        <v>584</v>
      </c>
      <c r="H47" s="541">
        <v>57</v>
      </c>
      <c r="I47" s="645">
        <f t="shared" si="6"/>
        <v>871.04</v>
      </c>
      <c r="J47" s="646">
        <f t="shared" si="10"/>
        <v>32</v>
      </c>
      <c r="K47" s="647">
        <f t="shared" si="4"/>
        <v>1551.54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5">
        <f t="shared" si="8"/>
        <v>17036.999999999996</v>
      </c>
      <c r="V47" s="646">
        <f t="shared" si="11"/>
        <v>626</v>
      </c>
      <c r="W47" s="647">
        <f t="shared" si="5"/>
        <v>0</v>
      </c>
    </row>
    <row r="48" spans="2:23" x14ac:dyDescent="0.25">
      <c r="B48" s="2">
        <v>27.22</v>
      </c>
      <c r="C48" s="15">
        <v>32</v>
      </c>
      <c r="D48" s="471">
        <f t="shared" si="0"/>
        <v>871.04</v>
      </c>
      <c r="E48" s="474">
        <v>44679</v>
      </c>
      <c r="F48" s="471">
        <f t="shared" si="1"/>
        <v>871.04</v>
      </c>
      <c r="G48" s="540" t="s">
        <v>590</v>
      </c>
      <c r="H48" s="541">
        <v>57</v>
      </c>
      <c r="I48" s="645">
        <f t="shared" si="6"/>
        <v>0</v>
      </c>
      <c r="J48" s="646">
        <f t="shared" si="10"/>
        <v>0</v>
      </c>
      <c r="K48" s="647">
        <f t="shared" si="4"/>
        <v>49649.279999999999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5">
        <f t="shared" si="8"/>
        <v>17036.999999999996</v>
      </c>
      <c r="V48" s="646">
        <f t="shared" si="11"/>
        <v>626</v>
      </c>
      <c r="W48" s="647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1102"/>
      <c r="I49" s="1105">
        <f t="shared" si="6"/>
        <v>0</v>
      </c>
      <c r="J49" s="1106">
        <f t="shared" si="10"/>
        <v>0</v>
      </c>
      <c r="K49" s="1107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5">
        <f t="shared" si="8"/>
        <v>17036.999999999996</v>
      </c>
      <c r="V49" s="646">
        <f t="shared" si="11"/>
        <v>626</v>
      </c>
      <c r="W49" s="647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1102"/>
      <c r="I50" s="1105">
        <f t="shared" si="6"/>
        <v>0</v>
      </c>
      <c r="J50" s="1106">
        <f t="shared" si="10"/>
        <v>0</v>
      </c>
      <c r="K50" s="1107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5">
        <f t="shared" si="8"/>
        <v>17036.999999999996</v>
      </c>
      <c r="V50" s="646">
        <f t="shared" si="11"/>
        <v>626</v>
      </c>
      <c r="W50" s="647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1102"/>
      <c r="I51" s="1105">
        <f t="shared" si="6"/>
        <v>0</v>
      </c>
      <c r="J51" s="1106">
        <f t="shared" si="10"/>
        <v>0</v>
      </c>
      <c r="K51" s="1107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5">
        <f t="shared" si="8"/>
        <v>17036.999999999996</v>
      </c>
      <c r="V51" s="646">
        <f t="shared" si="11"/>
        <v>626</v>
      </c>
      <c r="W51" s="647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1102"/>
      <c r="I52" s="1105">
        <f t="shared" si="6"/>
        <v>0</v>
      </c>
      <c r="J52" s="1106">
        <f t="shared" si="10"/>
        <v>0</v>
      </c>
      <c r="K52" s="1107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5">
        <f t="shared" si="8"/>
        <v>17036.999999999996</v>
      </c>
      <c r="V52" s="646">
        <f t="shared" si="11"/>
        <v>626</v>
      </c>
      <c r="W52" s="647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1102"/>
      <c r="I53" s="1105">
        <f t="shared" si="6"/>
        <v>0</v>
      </c>
      <c r="J53" s="1106">
        <f t="shared" si="10"/>
        <v>0</v>
      </c>
      <c r="K53" s="1107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5">
        <f t="shared" si="8"/>
        <v>17036.999999999996</v>
      </c>
      <c r="V53" s="646">
        <f t="shared" si="11"/>
        <v>626</v>
      </c>
      <c r="W53" s="647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1102"/>
      <c r="I54" s="1105">
        <f t="shared" si="6"/>
        <v>0</v>
      </c>
      <c r="J54" s="1106">
        <f t="shared" si="10"/>
        <v>0</v>
      </c>
      <c r="K54" s="1107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5">
        <f t="shared" si="8"/>
        <v>17036.999999999996</v>
      </c>
      <c r="V54" s="646">
        <f t="shared" si="11"/>
        <v>626</v>
      </c>
      <c r="W54" s="647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1102"/>
      <c r="I55" s="1105">
        <f t="shared" si="6"/>
        <v>0</v>
      </c>
      <c r="J55" s="1106">
        <f t="shared" si="10"/>
        <v>0</v>
      </c>
      <c r="K55" s="1107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5">
        <f t="shared" si="8"/>
        <v>17036.999999999996</v>
      </c>
      <c r="V55" s="646">
        <f t="shared" si="11"/>
        <v>626</v>
      </c>
      <c r="W55" s="647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5">
        <f t="shared" si="6"/>
        <v>0</v>
      </c>
      <c r="J56" s="646">
        <f t="shared" si="10"/>
        <v>0</v>
      </c>
      <c r="K56" s="647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5">
        <f t="shared" si="8"/>
        <v>17036.999999999996</v>
      </c>
      <c r="V56" s="646">
        <f t="shared" si="11"/>
        <v>626</v>
      </c>
      <c r="W56" s="647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5">
        <f t="shared" si="6"/>
        <v>0</v>
      </c>
      <c r="J57" s="646">
        <f t="shared" si="10"/>
        <v>0</v>
      </c>
      <c r="K57" s="647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5">
        <f t="shared" si="8"/>
        <v>17036.999999999996</v>
      </c>
      <c r="V57" s="646">
        <f t="shared" si="11"/>
        <v>626</v>
      </c>
      <c r="W57" s="647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5">
        <f t="shared" si="6"/>
        <v>0</v>
      </c>
      <c r="J58" s="646">
        <f t="shared" si="10"/>
        <v>0</v>
      </c>
      <c r="K58" s="647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5">
        <f t="shared" si="8"/>
        <v>17036.999999999996</v>
      </c>
      <c r="V58" s="646">
        <f t="shared" si="11"/>
        <v>626</v>
      </c>
      <c r="W58" s="647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5">
        <f t="shared" si="6"/>
        <v>0</v>
      </c>
      <c r="J59" s="646">
        <f t="shared" si="10"/>
        <v>0</v>
      </c>
      <c r="K59" s="647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5">
        <f t="shared" si="8"/>
        <v>17036.999999999996</v>
      </c>
      <c r="V59" s="646">
        <f t="shared" si="11"/>
        <v>626</v>
      </c>
      <c r="W59" s="647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5">
        <f t="shared" si="6"/>
        <v>0</v>
      </c>
      <c r="J60" s="646">
        <f t="shared" si="10"/>
        <v>0</v>
      </c>
      <c r="K60" s="647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5">
        <f t="shared" si="8"/>
        <v>17036.999999999996</v>
      </c>
      <c r="V60" s="646">
        <f t="shared" si="11"/>
        <v>626</v>
      </c>
      <c r="W60" s="647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5">
        <f t="shared" si="6"/>
        <v>0</v>
      </c>
      <c r="J61" s="646">
        <f t="shared" si="10"/>
        <v>0</v>
      </c>
      <c r="K61" s="647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5">
        <f t="shared" si="8"/>
        <v>17036.999999999996</v>
      </c>
      <c r="V61" s="646">
        <f t="shared" si="11"/>
        <v>626</v>
      </c>
      <c r="W61" s="647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5">
        <f t="shared" si="6"/>
        <v>0</v>
      </c>
      <c r="J62" s="646">
        <f t="shared" si="10"/>
        <v>0</v>
      </c>
      <c r="K62" s="647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5">
        <f t="shared" si="8"/>
        <v>17036.999999999996</v>
      </c>
      <c r="V62" s="646">
        <f t="shared" si="11"/>
        <v>626</v>
      </c>
      <c r="W62" s="647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5">
        <f t="shared" si="6"/>
        <v>0</v>
      </c>
      <c r="J63" s="646">
        <f t="shared" si="10"/>
        <v>0</v>
      </c>
      <c r="K63" s="647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5">
        <f t="shared" si="8"/>
        <v>17036.999999999996</v>
      </c>
      <c r="V63" s="646">
        <f t="shared" si="11"/>
        <v>626</v>
      </c>
      <c r="W63" s="647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5">
        <f t="shared" si="6"/>
        <v>0</v>
      </c>
      <c r="J64" s="646">
        <f t="shared" si="10"/>
        <v>0</v>
      </c>
      <c r="K64" s="647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5">
        <f t="shared" si="8"/>
        <v>17036.999999999996</v>
      </c>
      <c r="V64" s="646">
        <f t="shared" si="11"/>
        <v>626</v>
      </c>
      <c r="W64" s="647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5">
        <f t="shared" si="6"/>
        <v>0</v>
      </c>
      <c r="J65" s="646">
        <f t="shared" si="10"/>
        <v>0</v>
      </c>
      <c r="K65" s="647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5">
        <f t="shared" si="8"/>
        <v>17036.999999999996</v>
      </c>
      <c r="V65" s="646">
        <f t="shared" si="11"/>
        <v>626</v>
      </c>
      <c r="W65" s="647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5">
        <f t="shared" si="6"/>
        <v>0</v>
      </c>
      <c r="J66" s="646">
        <f t="shared" si="10"/>
        <v>0</v>
      </c>
      <c r="K66" s="647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5">
        <f t="shared" si="8"/>
        <v>17036.999999999996</v>
      </c>
      <c r="V66" s="646">
        <f t="shared" si="11"/>
        <v>626</v>
      </c>
      <c r="W66" s="647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5">
        <f t="shared" si="6"/>
        <v>0</v>
      </c>
      <c r="J67" s="646">
        <f t="shared" si="10"/>
        <v>0</v>
      </c>
      <c r="K67" s="647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5">
        <f t="shared" si="8"/>
        <v>17036.999999999996</v>
      </c>
      <c r="V67" s="646">
        <f t="shared" si="11"/>
        <v>626</v>
      </c>
      <c r="W67" s="647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5">
        <f t="shared" si="6"/>
        <v>0</v>
      </c>
      <c r="J68" s="646">
        <f t="shared" si="10"/>
        <v>0</v>
      </c>
      <c r="K68" s="647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5">
        <f t="shared" si="8"/>
        <v>17036.999999999996</v>
      </c>
      <c r="V68" s="646">
        <f t="shared" si="11"/>
        <v>626</v>
      </c>
      <c r="W68" s="647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5">
        <f t="shared" si="6"/>
        <v>0</v>
      </c>
      <c r="J69" s="646">
        <f t="shared" si="10"/>
        <v>0</v>
      </c>
      <c r="K69" s="647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5">
        <f t="shared" si="8"/>
        <v>17036.999999999996</v>
      </c>
      <c r="V69" s="646">
        <f t="shared" si="11"/>
        <v>626</v>
      </c>
      <c r="W69" s="647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5">
        <f t="shared" si="6"/>
        <v>0</v>
      </c>
      <c r="J70" s="648">
        <f t="shared" si="10"/>
        <v>0</v>
      </c>
      <c r="K70" s="647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5">
        <f t="shared" si="8"/>
        <v>17036.999999999996</v>
      </c>
      <c r="V70" s="648">
        <f t="shared" si="11"/>
        <v>626</v>
      </c>
      <c r="W70" s="647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5">
        <f t="shared" si="6"/>
        <v>0</v>
      </c>
      <c r="J71" s="648">
        <f t="shared" si="10"/>
        <v>0</v>
      </c>
      <c r="K71" s="647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5">
        <f t="shared" si="8"/>
        <v>17036.999999999996</v>
      </c>
      <c r="V71" s="648">
        <f t="shared" si="11"/>
        <v>626</v>
      </c>
      <c r="W71" s="647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5">
        <f t="shared" si="6"/>
        <v>0</v>
      </c>
      <c r="J72" s="648">
        <f t="shared" si="10"/>
        <v>0</v>
      </c>
      <c r="K72" s="647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5">
        <f t="shared" si="8"/>
        <v>17036.999999999996</v>
      </c>
      <c r="V72" s="648">
        <f t="shared" si="11"/>
        <v>626</v>
      </c>
      <c r="W72" s="647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5">
        <f t="shared" si="6"/>
        <v>0</v>
      </c>
      <c r="J73" s="648">
        <f t="shared" si="10"/>
        <v>0</v>
      </c>
      <c r="K73" s="647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5">
        <f t="shared" si="8"/>
        <v>17036.999999999996</v>
      </c>
      <c r="V73" s="648">
        <f t="shared" si="11"/>
        <v>626</v>
      </c>
      <c r="W73" s="647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5">
        <f t="shared" si="6"/>
        <v>0</v>
      </c>
      <c r="J74" s="648">
        <f t="shared" si="10"/>
        <v>0</v>
      </c>
      <c r="K74" s="647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5">
        <f t="shared" si="8"/>
        <v>17036.999999999996</v>
      </c>
      <c r="V74" s="648">
        <f t="shared" si="11"/>
        <v>626</v>
      </c>
      <c r="W74" s="647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5">
        <f t="shared" ref="I75:I113" si="18">I74-F75</f>
        <v>0</v>
      </c>
      <c r="J75" s="648">
        <f t="shared" si="10"/>
        <v>0</v>
      </c>
      <c r="K75" s="647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5">
        <f t="shared" ref="U75:U113" si="19">U74-R75</f>
        <v>17036.999999999996</v>
      </c>
      <c r="V75" s="648">
        <f t="shared" si="11"/>
        <v>626</v>
      </c>
      <c r="W75" s="647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5">
        <f t="shared" si="18"/>
        <v>0</v>
      </c>
      <c r="J76" s="646">
        <f t="shared" si="10"/>
        <v>0</v>
      </c>
      <c r="K76" s="647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5">
        <f t="shared" si="19"/>
        <v>17036.999999999996</v>
      </c>
      <c r="V76" s="646">
        <f t="shared" si="11"/>
        <v>626</v>
      </c>
      <c r="W76" s="647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5">
        <f t="shared" si="18"/>
        <v>0</v>
      </c>
      <c r="J77" s="646">
        <f t="shared" ref="J77:J113" si="20">J76-C77</f>
        <v>0</v>
      </c>
      <c r="K77" s="647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5">
        <f t="shared" si="19"/>
        <v>17036.999999999996</v>
      </c>
      <c r="V77" s="646">
        <f t="shared" ref="V77:V113" si="21">V76-O77</f>
        <v>626</v>
      </c>
      <c r="W77" s="647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5">
        <f t="shared" si="18"/>
        <v>0</v>
      </c>
      <c r="J78" s="646">
        <f t="shared" si="20"/>
        <v>0</v>
      </c>
      <c r="K78" s="647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5">
        <f t="shared" si="19"/>
        <v>17036.999999999996</v>
      </c>
      <c r="V78" s="646">
        <f t="shared" si="21"/>
        <v>626</v>
      </c>
      <c r="W78" s="647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5">
        <f t="shared" si="18"/>
        <v>0</v>
      </c>
      <c r="J79" s="646">
        <f t="shared" si="20"/>
        <v>0</v>
      </c>
      <c r="K79" s="647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5">
        <f t="shared" si="19"/>
        <v>17036.999999999996</v>
      </c>
      <c r="V79" s="646">
        <f t="shared" si="21"/>
        <v>626</v>
      </c>
      <c r="W79" s="647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5">
        <f t="shared" si="18"/>
        <v>0</v>
      </c>
      <c r="J80" s="646">
        <f t="shared" si="20"/>
        <v>0</v>
      </c>
      <c r="K80" s="647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5">
        <f t="shared" si="19"/>
        <v>17036.999999999996</v>
      </c>
      <c r="V80" s="646">
        <f t="shared" si="21"/>
        <v>626</v>
      </c>
      <c r="W80" s="647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5">
        <f t="shared" si="18"/>
        <v>0</v>
      </c>
      <c r="J81" s="646">
        <f t="shared" si="20"/>
        <v>0</v>
      </c>
      <c r="K81" s="647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5">
        <f t="shared" si="19"/>
        <v>17036.999999999996</v>
      </c>
      <c r="V81" s="646">
        <f t="shared" si="21"/>
        <v>626</v>
      </c>
      <c r="W81" s="647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5">
        <f t="shared" si="18"/>
        <v>0</v>
      </c>
      <c r="J82" s="646">
        <f t="shared" si="20"/>
        <v>0</v>
      </c>
      <c r="K82" s="647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5">
        <f t="shared" si="19"/>
        <v>17036.999999999996</v>
      </c>
      <c r="V82" s="646">
        <f t="shared" si="21"/>
        <v>626</v>
      </c>
      <c r="W82" s="647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5">
        <f t="shared" si="18"/>
        <v>0</v>
      </c>
      <c r="J83" s="646">
        <f t="shared" si="20"/>
        <v>0</v>
      </c>
      <c r="K83" s="647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5">
        <f t="shared" si="19"/>
        <v>17036.999999999996</v>
      </c>
      <c r="V83" s="646">
        <f t="shared" si="21"/>
        <v>626</v>
      </c>
      <c r="W83" s="647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5">
        <f t="shared" si="18"/>
        <v>0</v>
      </c>
      <c r="J84" s="646">
        <f t="shared" si="20"/>
        <v>0</v>
      </c>
      <c r="K84" s="647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5">
        <f t="shared" si="19"/>
        <v>17036.999999999996</v>
      </c>
      <c r="V84" s="646">
        <f t="shared" si="21"/>
        <v>626</v>
      </c>
      <c r="W84" s="647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5">
        <f t="shared" si="18"/>
        <v>0</v>
      </c>
      <c r="J85" s="646">
        <f t="shared" si="20"/>
        <v>0</v>
      </c>
      <c r="K85" s="647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5">
        <f t="shared" si="19"/>
        <v>17036.999999999996</v>
      </c>
      <c r="V85" s="646">
        <f t="shared" si="21"/>
        <v>626</v>
      </c>
      <c r="W85" s="647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5">
        <f t="shared" si="18"/>
        <v>0</v>
      </c>
      <c r="J86" s="646">
        <f t="shared" si="20"/>
        <v>0</v>
      </c>
      <c r="K86" s="647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5">
        <f t="shared" si="19"/>
        <v>17036.999999999996</v>
      </c>
      <c r="V86" s="646">
        <f t="shared" si="21"/>
        <v>626</v>
      </c>
      <c r="W86" s="647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5">
        <f t="shared" si="18"/>
        <v>0</v>
      </c>
      <c r="J87" s="646">
        <f t="shared" si="20"/>
        <v>0</v>
      </c>
      <c r="K87" s="647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5">
        <f t="shared" si="19"/>
        <v>17036.999999999996</v>
      </c>
      <c r="V87" s="646">
        <f t="shared" si="21"/>
        <v>626</v>
      </c>
      <c r="W87" s="647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5">
        <f t="shared" si="18"/>
        <v>0</v>
      </c>
      <c r="J88" s="646">
        <f t="shared" si="20"/>
        <v>0</v>
      </c>
      <c r="K88" s="647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5">
        <f t="shared" si="19"/>
        <v>17036.999999999996</v>
      </c>
      <c r="V88" s="646">
        <f t="shared" si="21"/>
        <v>626</v>
      </c>
      <c r="W88" s="647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5">
        <f t="shared" si="18"/>
        <v>0</v>
      </c>
      <c r="J89" s="646">
        <f t="shared" si="20"/>
        <v>0</v>
      </c>
      <c r="K89" s="647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5">
        <f t="shared" si="19"/>
        <v>17036.999999999996</v>
      </c>
      <c r="V89" s="646">
        <f t="shared" si="21"/>
        <v>626</v>
      </c>
      <c r="W89" s="647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5">
        <f t="shared" si="18"/>
        <v>0</v>
      </c>
      <c r="J90" s="646">
        <f t="shared" si="20"/>
        <v>0</v>
      </c>
      <c r="K90" s="647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5">
        <f t="shared" si="19"/>
        <v>17036.999999999996</v>
      </c>
      <c r="V90" s="646">
        <f t="shared" si="21"/>
        <v>626</v>
      </c>
      <c r="W90" s="647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5">
        <f t="shared" si="18"/>
        <v>0</v>
      </c>
      <c r="J91" s="646">
        <f t="shared" si="20"/>
        <v>0</v>
      </c>
      <c r="K91" s="647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5">
        <f t="shared" si="19"/>
        <v>17036.999999999996</v>
      </c>
      <c r="V91" s="646">
        <f t="shared" si="21"/>
        <v>626</v>
      </c>
      <c r="W91" s="647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5">
        <f t="shared" si="18"/>
        <v>0</v>
      </c>
      <c r="J92" s="646">
        <f t="shared" si="20"/>
        <v>0</v>
      </c>
      <c r="K92" s="647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5">
        <f t="shared" si="19"/>
        <v>17036.999999999996</v>
      </c>
      <c r="V92" s="646">
        <f t="shared" si="21"/>
        <v>626</v>
      </c>
      <c r="W92" s="647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5">
        <f t="shared" si="18"/>
        <v>0</v>
      </c>
      <c r="J93" s="646">
        <f t="shared" si="20"/>
        <v>0</v>
      </c>
      <c r="K93" s="647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5">
        <f t="shared" si="19"/>
        <v>17036.999999999996</v>
      </c>
      <c r="V93" s="646">
        <f t="shared" si="21"/>
        <v>626</v>
      </c>
      <c r="W93" s="647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5">
        <f t="shared" si="18"/>
        <v>0</v>
      </c>
      <c r="J94" s="646">
        <f t="shared" si="20"/>
        <v>0</v>
      </c>
      <c r="K94" s="647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5">
        <f t="shared" si="19"/>
        <v>17036.999999999996</v>
      </c>
      <c r="V94" s="646">
        <f t="shared" si="21"/>
        <v>626</v>
      </c>
      <c r="W94" s="647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5">
        <f t="shared" si="18"/>
        <v>0</v>
      </c>
      <c r="J95" s="646">
        <f t="shared" si="20"/>
        <v>0</v>
      </c>
      <c r="K95" s="647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5">
        <f t="shared" si="19"/>
        <v>17036.999999999996</v>
      </c>
      <c r="V95" s="646">
        <f t="shared" si="21"/>
        <v>626</v>
      </c>
      <c r="W95" s="647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5">
        <f t="shared" si="18"/>
        <v>0</v>
      </c>
      <c r="J96" s="646">
        <f t="shared" si="20"/>
        <v>0</v>
      </c>
      <c r="K96" s="647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5">
        <f t="shared" si="19"/>
        <v>17036.999999999996</v>
      </c>
      <c r="V96" s="646">
        <f t="shared" si="21"/>
        <v>626</v>
      </c>
      <c r="W96" s="647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5">
        <f t="shared" si="18"/>
        <v>0</v>
      </c>
      <c r="J97" s="646">
        <f t="shared" si="20"/>
        <v>0</v>
      </c>
      <c r="K97" s="647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5">
        <f t="shared" si="19"/>
        <v>17036.999999999996</v>
      </c>
      <c r="V97" s="646">
        <f t="shared" si="21"/>
        <v>626</v>
      </c>
      <c r="W97" s="647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5">
        <f t="shared" si="18"/>
        <v>0</v>
      </c>
      <c r="J98" s="646">
        <f t="shared" si="20"/>
        <v>0</v>
      </c>
      <c r="K98" s="647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5">
        <f t="shared" si="19"/>
        <v>17036.999999999996</v>
      </c>
      <c r="V98" s="646">
        <f t="shared" si="21"/>
        <v>626</v>
      </c>
      <c r="W98" s="647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5">
        <f t="shared" si="18"/>
        <v>0</v>
      </c>
      <c r="J99" s="646">
        <f t="shared" si="20"/>
        <v>0</v>
      </c>
      <c r="K99" s="647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5">
        <f t="shared" si="19"/>
        <v>17036.999999999996</v>
      </c>
      <c r="V99" s="646">
        <f t="shared" si="21"/>
        <v>626</v>
      </c>
      <c r="W99" s="647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5">
        <f t="shared" si="18"/>
        <v>0</v>
      </c>
      <c r="J100" s="646">
        <f t="shared" si="20"/>
        <v>0</v>
      </c>
      <c r="K100" s="647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5">
        <f t="shared" si="19"/>
        <v>17036.999999999996</v>
      </c>
      <c r="V100" s="646">
        <f t="shared" si="21"/>
        <v>626</v>
      </c>
      <c r="W100" s="647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5">
        <f t="shared" si="18"/>
        <v>0</v>
      </c>
      <c r="J101" s="646">
        <f t="shared" si="20"/>
        <v>0</v>
      </c>
      <c r="K101" s="647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5">
        <f t="shared" si="19"/>
        <v>17036.999999999996</v>
      </c>
      <c r="V101" s="646">
        <f t="shared" si="21"/>
        <v>626</v>
      </c>
      <c r="W101" s="647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5">
        <f t="shared" si="18"/>
        <v>0</v>
      </c>
      <c r="J102" s="646">
        <f t="shared" si="20"/>
        <v>0</v>
      </c>
      <c r="K102" s="647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5">
        <f t="shared" si="19"/>
        <v>17036.999999999996</v>
      </c>
      <c r="V102" s="646">
        <f t="shared" si="21"/>
        <v>626</v>
      </c>
      <c r="W102" s="647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5">
        <f t="shared" si="18"/>
        <v>0</v>
      </c>
      <c r="J103" s="646">
        <f t="shared" si="20"/>
        <v>0</v>
      </c>
      <c r="K103" s="647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5">
        <f t="shared" si="19"/>
        <v>17036.999999999996</v>
      </c>
      <c r="V103" s="646">
        <f t="shared" si="21"/>
        <v>626</v>
      </c>
      <c r="W103" s="647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5">
        <f t="shared" si="18"/>
        <v>0</v>
      </c>
      <c r="J104" s="646">
        <f t="shared" si="20"/>
        <v>0</v>
      </c>
      <c r="K104" s="647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5">
        <f t="shared" si="19"/>
        <v>17036.999999999996</v>
      </c>
      <c r="V104" s="646">
        <f t="shared" si="21"/>
        <v>626</v>
      </c>
      <c r="W104" s="647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5">
        <f t="shared" si="18"/>
        <v>0</v>
      </c>
      <c r="J105" s="646">
        <f t="shared" si="20"/>
        <v>0</v>
      </c>
      <c r="K105" s="647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5">
        <f t="shared" si="19"/>
        <v>17036.999999999996</v>
      </c>
      <c r="V105" s="646">
        <f t="shared" si="21"/>
        <v>626</v>
      </c>
      <c r="W105" s="647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5">
        <f t="shared" si="18"/>
        <v>0</v>
      </c>
      <c r="J106" s="646">
        <f t="shared" si="20"/>
        <v>0</v>
      </c>
      <c r="K106" s="647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5">
        <f t="shared" si="19"/>
        <v>17036.999999999996</v>
      </c>
      <c r="V106" s="646">
        <f t="shared" si="21"/>
        <v>626</v>
      </c>
      <c r="W106" s="647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5">
        <f t="shared" si="18"/>
        <v>0</v>
      </c>
      <c r="J107" s="646">
        <f t="shared" si="20"/>
        <v>0</v>
      </c>
      <c r="K107" s="647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5">
        <f t="shared" si="19"/>
        <v>17036.999999999996</v>
      </c>
      <c r="V107" s="646">
        <f t="shared" si="21"/>
        <v>626</v>
      </c>
      <c r="W107" s="647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5">
        <f t="shared" si="18"/>
        <v>0</v>
      </c>
      <c r="J108" s="646">
        <f t="shared" si="20"/>
        <v>0</v>
      </c>
      <c r="K108" s="647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5">
        <f t="shared" si="19"/>
        <v>17036.999999999996</v>
      </c>
      <c r="V108" s="646">
        <f t="shared" si="21"/>
        <v>626</v>
      </c>
      <c r="W108" s="647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5">
        <f t="shared" si="18"/>
        <v>0</v>
      </c>
      <c r="J109" s="646">
        <f t="shared" si="20"/>
        <v>0</v>
      </c>
      <c r="K109" s="647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5">
        <f t="shared" si="19"/>
        <v>17036.999999999996</v>
      </c>
      <c r="V109" s="646">
        <f t="shared" si="21"/>
        <v>626</v>
      </c>
      <c r="W109" s="647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5">
        <f t="shared" si="18"/>
        <v>0</v>
      </c>
      <c r="J110" s="646">
        <f t="shared" si="20"/>
        <v>0</v>
      </c>
      <c r="K110" s="647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5">
        <f t="shared" si="19"/>
        <v>17036.999999999996</v>
      </c>
      <c r="V110" s="646">
        <f t="shared" si="21"/>
        <v>626</v>
      </c>
      <c r="W110" s="647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5">
        <f t="shared" si="18"/>
        <v>0</v>
      </c>
      <c r="J111" s="646">
        <f t="shared" si="20"/>
        <v>0</v>
      </c>
      <c r="K111" s="647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5">
        <f t="shared" si="19"/>
        <v>17036.999999999996</v>
      </c>
      <c r="V111" s="646">
        <f t="shared" si="21"/>
        <v>626</v>
      </c>
      <c r="W111" s="647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5">
        <f t="shared" si="18"/>
        <v>0</v>
      </c>
      <c r="J112" s="646">
        <f t="shared" si="20"/>
        <v>0</v>
      </c>
      <c r="K112" s="647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5">
        <f t="shared" si="19"/>
        <v>17036.999999999996</v>
      </c>
      <c r="V112" s="646">
        <f t="shared" si="21"/>
        <v>626</v>
      </c>
      <c r="W112" s="647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5">
        <f t="shared" si="18"/>
        <v>0</v>
      </c>
      <c r="J113" s="646">
        <f t="shared" si="20"/>
        <v>0</v>
      </c>
      <c r="K113" s="649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5">
        <f t="shared" si="19"/>
        <v>17036.999999999996</v>
      </c>
      <c r="V113" s="646">
        <f t="shared" si="21"/>
        <v>626</v>
      </c>
      <c r="W113" s="649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712</v>
      </c>
      <c r="D115" s="6">
        <f>SUM(D9:D114)</f>
        <v>19380.64</v>
      </c>
      <c r="F115" s="6">
        <f>SUM(F9:F114)</f>
        <v>19380.64</v>
      </c>
      <c r="O115" s="53">
        <f>SUM(O9:O114)</f>
        <v>54</v>
      </c>
      <c r="P115" s="6">
        <f>SUM(P9:P114)</f>
        <v>1469.8799999999999</v>
      </c>
      <c r="R115" s="6">
        <f>SUM(R9:R114)</f>
        <v>1469.8799999999999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626</v>
      </c>
    </row>
    <row r="119" spans="1:23" ht="15.75" thickBot="1" x14ac:dyDescent="0.3"/>
    <row r="120" spans="1:23" ht="15.75" thickBot="1" x14ac:dyDescent="0.3">
      <c r="C120" s="1233" t="s">
        <v>11</v>
      </c>
      <c r="D120" s="1234"/>
      <c r="E120" s="57">
        <f>E4+E5+E6-F115</f>
        <v>0</v>
      </c>
      <c r="G120" s="47"/>
      <c r="H120" s="91"/>
      <c r="O120" s="1233" t="s">
        <v>11</v>
      </c>
      <c r="P120" s="1234"/>
      <c r="Q120" s="57">
        <f>Q4+Q5+Q6-R115</f>
        <v>17037</v>
      </c>
      <c r="S120" s="47"/>
      <c r="T120" s="91"/>
    </row>
  </sheetData>
  <mergeCells count="5">
    <mergeCell ref="M1:V1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F1" zoomScaleNormal="100" workbookViewId="0">
      <pane ySplit="8" topLeftCell="A9" activePane="bottomLeft" state="frozen"/>
      <selection activeCell="B1" sqref="B1"/>
      <selection pane="bottomLeft" activeCell="P33" sqref="P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6" t="s">
        <v>243</v>
      </c>
      <c r="B1" s="1236"/>
      <c r="C1" s="1236"/>
      <c r="D1" s="1236"/>
      <c r="E1" s="1236"/>
      <c r="F1" s="1236"/>
      <c r="G1" s="1236"/>
      <c r="H1" s="11">
        <v>1</v>
      </c>
      <c r="K1" s="1231" t="s">
        <v>260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220" t="s">
        <v>114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220" t="s">
        <v>114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554.13</v>
      </c>
      <c r="R5" s="7">
        <f>O5-Q5+O4+O6+O7</f>
        <v>0</v>
      </c>
    </row>
    <row r="6" spans="1:19" ht="15" customHeight="1" x14ac:dyDescent="0.25">
      <c r="A6" s="1220"/>
      <c r="B6" s="465" t="s">
        <v>74</v>
      </c>
      <c r="C6" s="252"/>
      <c r="D6" s="277"/>
      <c r="E6" s="262"/>
      <c r="F6" s="256"/>
      <c r="G6" s="243"/>
      <c r="K6" s="1220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48">
        <v>44609</v>
      </c>
      <c r="F9" s="267">
        <f t="shared" ref="F9:F54" si="0">D9</f>
        <v>61.14</v>
      </c>
      <c r="G9" s="268" t="s">
        <v>121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48">
        <v>44669</v>
      </c>
      <c r="P9" s="267">
        <f t="shared" ref="P9:P54" si="1">N9</f>
        <v>221.52</v>
      </c>
      <c r="Q9" s="268" t="s">
        <v>478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48">
        <v>44610</v>
      </c>
      <c r="F10" s="267">
        <f t="shared" si="0"/>
        <v>221.51</v>
      </c>
      <c r="G10" s="268" t="s">
        <v>123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48">
        <v>44672</v>
      </c>
      <c r="P10" s="267">
        <f t="shared" si="1"/>
        <v>126.22</v>
      </c>
      <c r="Q10" s="268" t="s">
        <v>495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2">
        <v>20.100000000000001</v>
      </c>
      <c r="E11" s="856">
        <v>44624</v>
      </c>
      <c r="F11" s="852">
        <f t="shared" si="0"/>
        <v>20.100000000000001</v>
      </c>
      <c r="G11" s="472" t="s">
        <v>164</v>
      </c>
      <c r="H11" s="539">
        <v>140</v>
      </c>
      <c r="I11" s="262">
        <f t="shared" si="3"/>
        <v>563.48</v>
      </c>
      <c r="K11" s="12"/>
      <c r="L11" s="197">
        <f t="shared" si="4"/>
        <v>10</v>
      </c>
      <c r="M11" s="53">
        <v>1</v>
      </c>
      <c r="N11" s="267">
        <v>20.57</v>
      </c>
      <c r="O11" s="748">
        <v>44676</v>
      </c>
      <c r="P11" s="267">
        <f t="shared" si="1"/>
        <v>20.57</v>
      </c>
      <c r="Q11" s="268" t="s">
        <v>572</v>
      </c>
      <c r="R11" s="269">
        <v>142</v>
      </c>
      <c r="S11" s="262">
        <f t="shared" si="5"/>
        <v>185.82000000000002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2">
        <v>21.27</v>
      </c>
      <c r="E12" s="856">
        <v>44627</v>
      </c>
      <c r="F12" s="852">
        <f t="shared" si="0"/>
        <v>21.27</v>
      </c>
      <c r="G12" s="472" t="s">
        <v>173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0</v>
      </c>
      <c r="M12" s="53">
        <v>10</v>
      </c>
      <c r="N12" s="267">
        <v>185.82</v>
      </c>
      <c r="O12" s="748">
        <v>44681</v>
      </c>
      <c r="P12" s="267">
        <f t="shared" si="1"/>
        <v>185.82</v>
      </c>
      <c r="Q12" s="268" t="s">
        <v>603</v>
      </c>
      <c r="R12" s="269">
        <v>142</v>
      </c>
      <c r="S12" s="262">
        <f t="shared" si="5"/>
        <v>0</v>
      </c>
    </row>
    <row r="13" spans="1:19" x14ac:dyDescent="0.25">
      <c r="A13" s="77"/>
      <c r="B13" s="197">
        <f t="shared" si="2"/>
        <v>21</v>
      </c>
      <c r="C13" s="53">
        <v>4</v>
      </c>
      <c r="D13" s="852">
        <v>90.08</v>
      </c>
      <c r="E13" s="856">
        <v>44628</v>
      </c>
      <c r="F13" s="852">
        <f t="shared" si="0"/>
        <v>90.08</v>
      </c>
      <c r="G13" s="472" t="s">
        <v>176</v>
      </c>
      <c r="H13" s="539">
        <v>140</v>
      </c>
      <c r="I13" s="262">
        <f t="shared" si="3"/>
        <v>452.13000000000005</v>
      </c>
      <c r="K13" s="77"/>
      <c r="L13" s="197">
        <f t="shared" si="4"/>
        <v>0</v>
      </c>
      <c r="M13" s="53"/>
      <c r="N13" s="267"/>
      <c r="O13" s="748"/>
      <c r="P13" s="1069">
        <f t="shared" si="1"/>
        <v>0</v>
      </c>
      <c r="Q13" s="1070"/>
      <c r="R13" s="1071"/>
      <c r="S13" s="1063">
        <f t="shared" si="5"/>
        <v>0</v>
      </c>
    </row>
    <row r="14" spans="1:19" x14ac:dyDescent="0.25">
      <c r="A14" s="12"/>
      <c r="B14" s="197">
        <f t="shared" si="2"/>
        <v>13</v>
      </c>
      <c r="C14" s="53">
        <v>8</v>
      </c>
      <c r="D14" s="852">
        <v>175.55</v>
      </c>
      <c r="E14" s="856">
        <v>44630</v>
      </c>
      <c r="F14" s="852">
        <f t="shared" si="0"/>
        <v>175.55</v>
      </c>
      <c r="G14" s="472" t="s">
        <v>179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0</v>
      </c>
      <c r="M14" s="53"/>
      <c r="N14" s="267"/>
      <c r="O14" s="748"/>
      <c r="P14" s="1069">
        <f t="shared" si="1"/>
        <v>0</v>
      </c>
      <c r="Q14" s="1070"/>
      <c r="R14" s="1071"/>
      <c r="S14" s="1063">
        <f t="shared" si="5"/>
        <v>0</v>
      </c>
    </row>
    <row r="15" spans="1:19" x14ac:dyDescent="0.25">
      <c r="B15" s="197">
        <f t="shared" si="2"/>
        <v>11</v>
      </c>
      <c r="C15" s="53">
        <v>2</v>
      </c>
      <c r="D15" s="852">
        <v>44.17</v>
      </c>
      <c r="E15" s="856">
        <v>44641</v>
      </c>
      <c r="F15" s="852">
        <f t="shared" si="0"/>
        <v>44.17</v>
      </c>
      <c r="G15" s="472" t="s">
        <v>212</v>
      </c>
      <c r="H15" s="539">
        <v>140</v>
      </c>
      <c r="I15" s="262">
        <f t="shared" si="3"/>
        <v>232.41000000000003</v>
      </c>
      <c r="J15" s="243"/>
      <c r="L15" s="197">
        <f t="shared" si="4"/>
        <v>0</v>
      </c>
      <c r="M15" s="53"/>
      <c r="N15" s="267"/>
      <c r="O15" s="748"/>
      <c r="P15" s="1069">
        <f t="shared" si="1"/>
        <v>0</v>
      </c>
      <c r="Q15" s="1070"/>
      <c r="R15" s="1071"/>
      <c r="S15" s="1063">
        <f t="shared" si="5"/>
        <v>0</v>
      </c>
    </row>
    <row r="16" spans="1:19" x14ac:dyDescent="0.25">
      <c r="B16" s="197">
        <f t="shared" si="2"/>
        <v>3</v>
      </c>
      <c r="C16" s="53">
        <v>8</v>
      </c>
      <c r="D16" s="852">
        <v>167.29</v>
      </c>
      <c r="E16" s="856">
        <v>44645</v>
      </c>
      <c r="F16" s="852">
        <f t="shared" si="0"/>
        <v>167.29</v>
      </c>
      <c r="G16" s="472" t="s">
        <v>227</v>
      </c>
      <c r="H16" s="539">
        <v>140</v>
      </c>
      <c r="I16" s="262">
        <f t="shared" si="3"/>
        <v>65.120000000000033</v>
      </c>
      <c r="J16" s="243"/>
      <c r="L16" s="197">
        <f t="shared" si="4"/>
        <v>0</v>
      </c>
      <c r="M16" s="53"/>
      <c r="N16" s="267"/>
      <c r="O16" s="748"/>
      <c r="P16" s="1069">
        <f t="shared" si="1"/>
        <v>0</v>
      </c>
      <c r="Q16" s="1070"/>
      <c r="R16" s="1071"/>
      <c r="S16" s="1063">
        <f t="shared" si="5"/>
        <v>0</v>
      </c>
    </row>
    <row r="17" spans="2:19" x14ac:dyDescent="0.25">
      <c r="B17" s="197">
        <f t="shared" si="2"/>
        <v>2</v>
      </c>
      <c r="C17" s="53">
        <v>1</v>
      </c>
      <c r="D17" s="889">
        <v>22.51</v>
      </c>
      <c r="E17" s="996">
        <v>44650</v>
      </c>
      <c r="F17" s="889">
        <f t="shared" si="0"/>
        <v>22.51</v>
      </c>
      <c r="G17" s="425" t="s">
        <v>347</v>
      </c>
      <c r="H17" s="426">
        <v>140</v>
      </c>
      <c r="I17" s="262">
        <f t="shared" si="3"/>
        <v>42.610000000000028</v>
      </c>
      <c r="J17" s="243"/>
      <c r="L17" s="197">
        <f t="shared" si="4"/>
        <v>0</v>
      </c>
      <c r="M17" s="53"/>
      <c r="N17" s="267"/>
      <c r="O17" s="748"/>
      <c r="P17" s="267">
        <f t="shared" si="1"/>
        <v>0</v>
      </c>
      <c r="Q17" s="268"/>
      <c r="R17" s="269"/>
      <c r="S17" s="262">
        <f t="shared" si="5"/>
        <v>0</v>
      </c>
    </row>
    <row r="18" spans="2:19" x14ac:dyDescent="0.25">
      <c r="B18" s="197">
        <f t="shared" si="2"/>
        <v>0</v>
      </c>
      <c r="C18" s="53">
        <v>2</v>
      </c>
      <c r="D18" s="889">
        <v>42.61</v>
      </c>
      <c r="E18" s="996">
        <v>44652</v>
      </c>
      <c r="F18" s="889">
        <f t="shared" si="0"/>
        <v>42.61</v>
      </c>
      <c r="G18" s="425" t="s">
        <v>372</v>
      </c>
      <c r="H18" s="426">
        <v>140</v>
      </c>
      <c r="I18" s="262">
        <f t="shared" si="3"/>
        <v>0</v>
      </c>
      <c r="J18" s="243"/>
      <c r="L18" s="197">
        <f t="shared" si="4"/>
        <v>0</v>
      </c>
      <c r="M18" s="53"/>
      <c r="N18" s="267"/>
      <c r="O18" s="748"/>
      <c r="P18" s="267">
        <f t="shared" si="1"/>
        <v>0</v>
      </c>
      <c r="Q18" s="268"/>
      <c r="R18" s="269"/>
      <c r="S18" s="262">
        <f t="shared" si="5"/>
        <v>0</v>
      </c>
    </row>
    <row r="19" spans="2:19" x14ac:dyDescent="0.25">
      <c r="B19" s="197">
        <f t="shared" si="2"/>
        <v>0</v>
      </c>
      <c r="C19" s="53"/>
      <c r="D19" s="889"/>
      <c r="E19" s="996"/>
      <c r="F19" s="1060">
        <f t="shared" si="0"/>
        <v>0</v>
      </c>
      <c r="G19" s="1061"/>
      <c r="H19" s="1062"/>
      <c r="I19" s="1063">
        <f t="shared" si="3"/>
        <v>0</v>
      </c>
      <c r="J19" s="243"/>
      <c r="L19" s="197">
        <f t="shared" si="4"/>
        <v>0</v>
      </c>
      <c r="M19" s="53"/>
      <c r="N19" s="267"/>
      <c r="O19" s="748"/>
      <c r="P19" s="267">
        <f t="shared" si="1"/>
        <v>0</v>
      </c>
      <c r="Q19" s="268"/>
      <c r="R19" s="269"/>
      <c r="S19" s="262">
        <f t="shared" si="5"/>
        <v>0</v>
      </c>
    </row>
    <row r="20" spans="2:19" x14ac:dyDescent="0.25">
      <c r="B20" s="197">
        <f t="shared" si="2"/>
        <v>0</v>
      </c>
      <c r="C20" s="53"/>
      <c r="D20" s="889"/>
      <c r="E20" s="996"/>
      <c r="F20" s="1060">
        <f t="shared" si="0"/>
        <v>0</v>
      </c>
      <c r="G20" s="1061"/>
      <c r="H20" s="1062"/>
      <c r="I20" s="1063">
        <f t="shared" si="3"/>
        <v>0</v>
      </c>
      <c r="J20" s="243"/>
      <c r="L20" s="197">
        <f t="shared" si="4"/>
        <v>0</v>
      </c>
      <c r="M20" s="53"/>
      <c r="N20" s="267"/>
      <c r="O20" s="748"/>
      <c r="P20" s="267">
        <f t="shared" si="1"/>
        <v>0</v>
      </c>
      <c r="Q20" s="268"/>
      <c r="R20" s="269"/>
      <c r="S20" s="262">
        <f t="shared" si="5"/>
        <v>0</v>
      </c>
    </row>
    <row r="21" spans="2:19" x14ac:dyDescent="0.25">
      <c r="B21" s="197">
        <f t="shared" si="2"/>
        <v>0</v>
      </c>
      <c r="C21" s="53"/>
      <c r="D21" s="889"/>
      <c r="E21" s="996"/>
      <c r="F21" s="1060">
        <f t="shared" si="0"/>
        <v>0</v>
      </c>
      <c r="G21" s="1061"/>
      <c r="H21" s="1062"/>
      <c r="I21" s="1063">
        <f t="shared" si="3"/>
        <v>0</v>
      </c>
      <c r="J21" s="243"/>
      <c r="L21" s="197">
        <f t="shared" si="4"/>
        <v>0</v>
      </c>
      <c r="M21" s="53"/>
      <c r="N21" s="267"/>
      <c r="O21" s="748"/>
      <c r="P21" s="267">
        <f t="shared" si="1"/>
        <v>0</v>
      </c>
      <c r="Q21" s="268"/>
      <c r="R21" s="269"/>
      <c r="S21" s="262">
        <f t="shared" si="5"/>
        <v>0</v>
      </c>
    </row>
    <row r="22" spans="2:19" x14ac:dyDescent="0.25">
      <c r="B22" s="197">
        <f t="shared" si="2"/>
        <v>0</v>
      </c>
      <c r="C22" s="53"/>
      <c r="D22" s="889"/>
      <c r="E22" s="996"/>
      <c r="F22" s="889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0</v>
      </c>
      <c r="M22" s="53"/>
      <c r="N22" s="267"/>
      <c r="O22" s="748"/>
      <c r="P22" s="267">
        <f t="shared" si="1"/>
        <v>0</v>
      </c>
      <c r="Q22" s="268"/>
      <c r="R22" s="269"/>
      <c r="S22" s="262">
        <f t="shared" si="5"/>
        <v>0</v>
      </c>
    </row>
    <row r="23" spans="2:19" x14ac:dyDescent="0.25">
      <c r="B23" s="197">
        <f t="shared" si="2"/>
        <v>0</v>
      </c>
      <c r="C23" s="53"/>
      <c r="D23" s="889"/>
      <c r="E23" s="996"/>
      <c r="F23" s="889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0</v>
      </c>
      <c r="M23" s="53"/>
      <c r="N23" s="267"/>
      <c r="O23" s="748"/>
      <c r="P23" s="267">
        <f t="shared" si="1"/>
        <v>0</v>
      </c>
      <c r="Q23" s="268"/>
      <c r="R23" s="269"/>
      <c r="S23" s="262">
        <f t="shared" si="5"/>
        <v>0</v>
      </c>
    </row>
    <row r="24" spans="2:19" x14ac:dyDescent="0.25">
      <c r="B24" s="197">
        <f t="shared" si="2"/>
        <v>0</v>
      </c>
      <c r="C24" s="53"/>
      <c r="D24" s="889"/>
      <c r="E24" s="996"/>
      <c r="F24" s="889">
        <f t="shared" si="0"/>
        <v>0</v>
      </c>
      <c r="G24" s="425"/>
      <c r="H24" s="426"/>
      <c r="I24" s="262">
        <f t="shared" si="3"/>
        <v>0</v>
      </c>
      <c r="L24" s="197">
        <f t="shared" si="4"/>
        <v>0</v>
      </c>
      <c r="M24" s="53"/>
      <c r="N24" s="267"/>
      <c r="O24" s="748"/>
      <c r="P24" s="267">
        <f t="shared" si="1"/>
        <v>0</v>
      </c>
      <c r="Q24" s="268"/>
      <c r="R24" s="269"/>
      <c r="S24" s="262">
        <f t="shared" si="5"/>
        <v>0</v>
      </c>
    </row>
    <row r="25" spans="2:19" x14ac:dyDescent="0.25">
      <c r="B25" s="197">
        <f t="shared" si="2"/>
        <v>0</v>
      </c>
      <c r="C25" s="53"/>
      <c r="D25" s="889"/>
      <c r="E25" s="996"/>
      <c r="F25" s="889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0</v>
      </c>
      <c r="M25" s="53"/>
      <c r="N25" s="267"/>
      <c r="O25" s="748"/>
      <c r="P25" s="267">
        <f t="shared" si="1"/>
        <v>0</v>
      </c>
      <c r="Q25" s="268"/>
      <c r="R25" s="269"/>
      <c r="S25" s="262">
        <f t="shared" si="5"/>
        <v>0</v>
      </c>
    </row>
    <row r="26" spans="2:19" x14ac:dyDescent="0.25">
      <c r="B26" s="197">
        <f t="shared" si="2"/>
        <v>0</v>
      </c>
      <c r="C26" s="53"/>
      <c r="D26" s="267"/>
      <c r="E26" s="748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0</v>
      </c>
      <c r="M26" s="53"/>
      <c r="N26" s="267"/>
      <c r="O26" s="748"/>
      <c r="P26" s="267">
        <f t="shared" si="1"/>
        <v>0</v>
      </c>
      <c r="Q26" s="268"/>
      <c r="R26" s="269"/>
      <c r="S26" s="262">
        <f t="shared" si="5"/>
        <v>0</v>
      </c>
    </row>
    <row r="27" spans="2:19" x14ac:dyDescent="0.25">
      <c r="B27" s="197">
        <f t="shared" si="2"/>
        <v>0</v>
      </c>
      <c r="C27" s="53"/>
      <c r="D27" s="267"/>
      <c r="E27" s="748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0</v>
      </c>
      <c r="M27" s="53"/>
      <c r="N27" s="267"/>
      <c r="O27" s="748"/>
      <c r="P27" s="267">
        <f t="shared" si="1"/>
        <v>0</v>
      </c>
      <c r="Q27" s="268"/>
      <c r="R27" s="269"/>
      <c r="S27" s="262">
        <f t="shared" si="5"/>
        <v>0</v>
      </c>
    </row>
    <row r="28" spans="2:19" x14ac:dyDescent="0.25">
      <c r="B28" s="197">
        <f t="shared" si="2"/>
        <v>0</v>
      </c>
      <c r="C28" s="53"/>
      <c r="D28" s="267"/>
      <c r="E28" s="748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0</v>
      </c>
      <c r="M28" s="53"/>
      <c r="N28" s="267"/>
      <c r="O28" s="748"/>
      <c r="P28" s="267">
        <f t="shared" si="1"/>
        <v>0</v>
      </c>
      <c r="Q28" s="268"/>
      <c r="R28" s="269"/>
      <c r="S28" s="262">
        <f t="shared" si="5"/>
        <v>0</v>
      </c>
    </row>
    <row r="29" spans="2:19" x14ac:dyDescent="0.25">
      <c r="B29" s="197">
        <f t="shared" si="2"/>
        <v>0</v>
      </c>
      <c r="C29" s="53"/>
      <c r="D29" s="267"/>
      <c r="E29" s="748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0</v>
      </c>
      <c r="M29" s="53"/>
      <c r="N29" s="267"/>
      <c r="O29" s="748"/>
      <c r="P29" s="267">
        <f t="shared" si="1"/>
        <v>0</v>
      </c>
      <c r="Q29" s="268"/>
      <c r="R29" s="269"/>
      <c r="S29" s="262">
        <f t="shared" si="5"/>
        <v>0</v>
      </c>
    </row>
    <row r="30" spans="2:19" x14ac:dyDescent="0.25">
      <c r="B30" s="197">
        <f t="shared" si="2"/>
        <v>0</v>
      </c>
      <c r="C30" s="53"/>
      <c r="D30" s="267"/>
      <c r="E30" s="748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0</v>
      </c>
      <c r="M30" s="53"/>
      <c r="N30" s="267"/>
      <c r="O30" s="748"/>
      <c r="P30" s="267">
        <f t="shared" si="1"/>
        <v>0</v>
      </c>
      <c r="Q30" s="268"/>
      <c r="R30" s="269"/>
      <c r="S30" s="262">
        <f t="shared" si="5"/>
        <v>0</v>
      </c>
    </row>
    <row r="31" spans="2:19" x14ac:dyDescent="0.25">
      <c r="B31" s="197">
        <f t="shared" si="2"/>
        <v>0</v>
      </c>
      <c r="C31" s="15"/>
      <c r="D31" s="267"/>
      <c r="E31" s="748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0</v>
      </c>
      <c r="M31" s="15"/>
      <c r="N31" s="267"/>
      <c r="O31" s="748"/>
      <c r="P31" s="267">
        <f t="shared" si="1"/>
        <v>0</v>
      </c>
      <c r="Q31" s="268"/>
      <c r="R31" s="269"/>
      <c r="S31" s="262">
        <f t="shared" si="5"/>
        <v>0</v>
      </c>
    </row>
    <row r="32" spans="2:19" x14ac:dyDescent="0.25">
      <c r="B32" s="197">
        <f t="shared" si="2"/>
        <v>0</v>
      </c>
      <c r="C32" s="15"/>
      <c r="D32" s="267"/>
      <c r="E32" s="748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0</v>
      </c>
      <c r="M32" s="15"/>
      <c r="N32" s="267"/>
      <c r="O32" s="748"/>
      <c r="P32" s="267">
        <f t="shared" si="1"/>
        <v>0</v>
      </c>
      <c r="Q32" s="268"/>
      <c r="R32" s="269"/>
      <c r="S32" s="262">
        <f t="shared" si="5"/>
        <v>0</v>
      </c>
    </row>
    <row r="33" spans="2:19" x14ac:dyDescent="0.25">
      <c r="B33" s="197">
        <f t="shared" si="2"/>
        <v>0</v>
      </c>
      <c r="C33" s="15"/>
      <c r="D33" s="267"/>
      <c r="E33" s="748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0</v>
      </c>
      <c r="M33" s="15"/>
      <c r="N33" s="267"/>
      <c r="O33" s="748"/>
      <c r="P33" s="267">
        <f t="shared" si="1"/>
        <v>0</v>
      </c>
      <c r="Q33" s="268"/>
      <c r="R33" s="269"/>
      <c r="S33" s="262">
        <f t="shared" si="5"/>
        <v>0</v>
      </c>
    </row>
    <row r="34" spans="2:19" x14ac:dyDescent="0.25">
      <c r="B34" s="197">
        <f t="shared" si="2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0</v>
      </c>
      <c r="M34" s="15"/>
      <c r="N34" s="267"/>
      <c r="O34" s="748"/>
      <c r="P34" s="267">
        <f t="shared" si="1"/>
        <v>0</v>
      </c>
      <c r="Q34" s="268"/>
      <c r="R34" s="269"/>
      <c r="S34" s="262">
        <f t="shared" si="5"/>
        <v>0</v>
      </c>
    </row>
    <row r="35" spans="2:19" x14ac:dyDescent="0.25">
      <c r="B35" s="197">
        <f t="shared" si="2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0</v>
      </c>
      <c r="M35" s="15"/>
      <c r="N35" s="267"/>
      <c r="O35" s="748"/>
      <c r="P35" s="267">
        <f t="shared" si="1"/>
        <v>0</v>
      </c>
      <c r="Q35" s="268"/>
      <c r="R35" s="269"/>
      <c r="S35" s="262">
        <f t="shared" si="5"/>
        <v>0</v>
      </c>
    </row>
    <row r="36" spans="2:19" x14ac:dyDescent="0.25">
      <c r="B36" s="197">
        <f t="shared" si="2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0</v>
      </c>
      <c r="M36" s="15"/>
      <c r="N36" s="267"/>
      <c r="O36" s="748"/>
      <c r="P36" s="267">
        <f t="shared" si="1"/>
        <v>0</v>
      </c>
      <c r="Q36" s="268"/>
      <c r="R36" s="269"/>
      <c r="S36" s="262">
        <f t="shared" si="5"/>
        <v>0</v>
      </c>
    </row>
    <row r="37" spans="2:19" x14ac:dyDescent="0.25">
      <c r="B37" s="197">
        <f t="shared" si="2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0</v>
      </c>
      <c r="M37" s="15"/>
      <c r="N37" s="267"/>
      <c r="O37" s="748"/>
      <c r="P37" s="267">
        <f t="shared" si="1"/>
        <v>0</v>
      </c>
      <c r="Q37" s="268"/>
      <c r="R37" s="269"/>
      <c r="S37" s="262">
        <f t="shared" si="5"/>
        <v>0</v>
      </c>
    </row>
    <row r="38" spans="2:19" x14ac:dyDescent="0.25">
      <c r="B38" s="197">
        <f t="shared" si="2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0</v>
      </c>
      <c r="M38" s="15"/>
      <c r="N38" s="267"/>
      <c r="O38" s="748"/>
      <c r="P38" s="267">
        <f t="shared" si="1"/>
        <v>0</v>
      </c>
      <c r="Q38" s="268"/>
      <c r="R38" s="269"/>
      <c r="S38" s="262">
        <f t="shared" si="5"/>
        <v>0</v>
      </c>
    </row>
    <row r="39" spans="2:19" x14ac:dyDescent="0.25">
      <c r="B39" s="197">
        <f t="shared" si="2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0</v>
      </c>
      <c r="M39" s="15"/>
      <c r="N39" s="267"/>
      <c r="O39" s="748"/>
      <c r="P39" s="267">
        <f t="shared" si="1"/>
        <v>0</v>
      </c>
      <c r="Q39" s="268"/>
      <c r="R39" s="269"/>
      <c r="S39" s="262">
        <f t="shared" si="5"/>
        <v>0</v>
      </c>
    </row>
    <row r="40" spans="2:19" x14ac:dyDescent="0.25">
      <c r="B40" s="197">
        <f t="shared" si="2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0</v>
      </c>
      <c r="M40" s="15"/>
      <c r="N40" s="267"/>
      <c r="O40" s="748"/>
      <c r="P40" s="267">
        <f t="shared" si="1"/>
        <v>0</v>
      </c>
      <c r="Q40" s="268"/>
      <c r="R40" s="269"/>
      <c r="S40" s="262">
        <f t="shared" si="5"/>
        <v>0</v>
      </c>
    </row>
    <row r="41" spans="2:19" x14ac:dyDescent="0.25">
      <c r="B41" s="197">
        <f t="shared" si="2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0</v>
      </c>
      <c r="M41" s="15"/>
      <c r="N41" s="267"/>
      <c r="O41" s="748"/>
      <c r="P41" s="267">
        <f t="shared" si="1"/>
        <v>0</v>
      </c>
      <c r="Q41" s="268"/>
      <c r="R41" s="269"/>
      <c r="S41" s="262">
        <f t="shared" si="5"/>
        <v>0</v>
      </c>
    </row>
    <row r="42" spans="2:19" x14ac:dyDescent="0.25">
      <c r="B42" s="197">
        <f t="shared" si="2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0</v>
      </c>
      <c r="M42" s="15"/>
      <c r="N42" s="267"/>
      <c r="O42" s="748"/>
      <c r="P42" s="267">
        <f t="shared" si="1"/>
        <v>0</v>
      </c>
      <c r="Q42" s="268"/>
      <c r="R42" s="269"/>
      <c r="S42" s="262">
        <f t="shared" si="5"/>
        <v>0</v>
      </c>
    </row>
    <row r="43" spans="2:19" x14ac:dyDescent="0.25">
      <c r="B43" s="197">
        <f t="shared" si="2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0</v>
      </c>
      <c r="M43" s="15"/>
      <c r="N43" s="267"/>
      <c r="O43" s="748"/>
      <c r="P43" s="267">
        <f t="shared" si="1"/>
        <v>0</v>
      </c>
      <c r="Q43" s="268"/>
      <c r="R43" s="269"/>
      <c r="S43" s="262">
        <f t="shared" si="5"/>
        <v>0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0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0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0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0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0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0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0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0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0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0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0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30</v>
      </c>
      <c r="N55" s="124">
        <f>SUM(N9:N54)</f>
        <v>554.13</v>
      </c>
      <c r="O55" s="173"/>
      <c r="P55" s="124">
        <f>SUM(P9:P54)</f>
        <v>554.13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233" t="s">
        <v>11</v>
      </c>
      <c r="D60" s="1234"/>
      <c r="E60" s="57">
        <f>E5-F55+E4+E6+E7</f>
        <v>1.1368683772161603E-13</v>
      </c>
      <c r="L60" s="91"/>
      <c r="M60" s="1233" t="s">
        <v>11</v>
      </c>
      <c r="N60" s="1234"/>
      <c r="O60" s="57">
        <f>O5-P55+O4+O6+O7</f>
        <v>0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3" sqref="G23:I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6" t="s">
        <v>244</v>
      </c>
      <c r="B1" s="1236"/>
      <c r="C1" s="1236"/>
      <c r="D1" s="1236"/>
      <c r="E1" s="1236"/>
      <c r="F1" s="1236"/>
      <c r="G1" s="12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220" t="s">
        <v>106</v>
      </c>
      <c r="B5" s="1256" t="s">
        <v>107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1246.3</v>
      </c>
      <c r="H5" s="7">
        <f>E5-G5+E4+E6+E7</f>
        <v>30.000000000000114</v>
      </c>
    </row>
    <row r="6" spans="1:10" ht="15" customHeight="1" x14ac:dyDescent="0.25">
      <c r="A6" s="1220"/>
      <c r="B6" s="1256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48">
        <v>44595</v>
      </c>
      <c r="F9" s="267">
        <f t="shared" ref="F9:F54" si="0">D9</f>
        <v>178.52</v>
      </c>
      <c r="G9" s="268" t="s">
        <v>115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48">
        <v>44596</v>
      </c>
      <c r="F10" s="267">
        <f t="shared" si="0"/>
        <v>46.01</v>
      </c>
      <c r="G10" s="268" t="s">
        <v>116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48">
        <v>44597</v>
      </c>
      <c r="F11" s="267">
        <f t="shared" si="0"/>
        <v>47.92</v>
      </c>
      <c r="G11" s="268" t="s">
        <v>118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48">
        <v>44597</v>
      </c>
      <c r="F12" s="267">
        <f t="shared" si="0"/>
        <v>26.72</v>
      </c>
      <c r="G12" s="268" t="s">
        <v>119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48">
        <v>44610</v>
      </c>
      <c r="F13" s="267">
        <f t="shared" si="0"/>
        <v>168.46</v>
      </c>
      <c r="G13" s="268" t="s">
        <v>124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48">
        <v>44617</v>
      </c>
      <c r="F14" s="267">
        <f t="shared" si="0"/>
        <v>179.32</v>
      </c>
      <c r="G14" s="268" t="s">
        <v>125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48">
        <v>44617</v>
      </c>
      <c r="F15" s="267">
        <f t="shared" si="0"/>
        <v>21.58</v>
      </c>
      <c r="G15" s="268" t="s">
        <v>125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2">
        <v>108.69</v>
      </c>
      <c r="E16" s="856">
        <v>44624</v>
      </c>
      <c r="F16" s="852">
        <f t="shared" si="0"/>
        <v>108.69</v>
      </c>
      <c r="G16" s="472" t="s">
        <v>165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2">
        <v>55.73</v>
      </c>
      <c r="E17" s="856">
        <v>44625</v>
      </c>
      <c r="F17" s="852">
        <f t="shared" si="0"/>
        <v>55.73</v>
      </c>
      <c r="G17" s="472" t="s">
        <v>169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2">
        <v>58.43</v>
      </c>
      <c r="E18" s="856">
        <v>44645</v>
      </c>
      <c r="F18" s="852">
        <f t="shared" si="0"/>
        <v>58.43</v>
      </c>
      <c r="G18" s="472" t="s">
        <v>228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89">
        <v>256.14</v>
      </c>
      <c r="E19" s="996">
        <v>44655</v>
      </c>
      <c r="F19" s="889">
        <f t="shared" si="0"/>
        <v>256.14</v>
      </c>
      <c r="G19" s="425" t="s">
        <v>384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89">
        <v>45.33</v>
      </c>
      <c r="E20" s="996">
        <v>44662</v>
      </c>
      <c r="F20" s="889">
        <f t="shared" si="0"/>
        <v>45.33</v>
      </c>
      <c r="G20" s="425" t="s">
        <v>421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89">
        <v>42.92</v>
      </c>
      <c r="E21" s="996">
        <v>44667</v>
      </c>
      <c r="F21" s="889">
        <f t="shared" si="0"/>
        <v>42.92</v>
      </c>
      <c r="G21" s="425" t="s">
        <v>476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0</v>
      </c>
      <c r="C22" s="53">
        <v>2</v>
      </c>
      <c r="D22" s="889">
        <v>10.53</v>
      </c>
      <c r="E22" s="996">
        <v>44680</v>
      </c>
      <c r="F22" s="889">
        <f t="shared" si="0"/>
        <v>10.53</v>
      </c>
      <c r="G22" s="425" t="s">
        <v>598</v>
      </c>
      <c r="H22" s="426">
        <v>110</v>
      </c>
      <c r="I22" s="262">
        <f t="shared" si="2"/>
        <v>29.999999999999858</v>
      </c>
      <c r="J22" s="243"/>
    </row>
    <row r="23" spans="2:10" x14ac:dyDescent="0.25">
      <c r="B23" s="197">
        <f t="shared" si="1"/>
        <v>0</v>
      </c>
      <c r="C23" s="53"/>
      <c r="D23" s="889"/>
      <c r="E23" s="996"/>
      <c r="F23" s="889">
        <f t="shared" si="0"/>
        <v>0</v>
      </c>
      <c r="G23" s="1061"/>
      <c r="H23" s="1062"/>
      <c r="I23" s="1063">
        <f t="shared" si="2"/>
        <v>29.999999999999858</v>
      </c>
      <c r="J23" s="243"/>
    </row>
    <row r="24" spans="2:10" x14ac:dyDescent="0.25">
      <c r="B24" s="197">
        <f t="shared" si="1"/>
        <v>0</v>
      </c>
      <c r="C24" s="53"/>
      <c r="D24" s="889"/>
      <c r="E24" s="996"/>
      <c r="F24" s="889">
        <f t="shared" si="0"/>
        <v>0</v>
      </c>
      <c r="G24" s="1061"/>
      <c r="H24" s="1062"/>
      <c r="I24" s="1063">
        <f t="shared" si="2"/>
        <v>29.999999999999858</v>
      </c>
    </row>
    <row r="25" spans="2:10" x14ac:dyDescent="0.25">
      <c r="B25" s="197">
        <f t="shared" si="1"/>
        <v>0</v>
      </c>
      <c r="C25" s="53"/>
      <c r="D25" s="889"/>
      <c r="E25" s="996"/>
      <c r="F25" s="889">
        <f t="shared" si="0"/>
        <v>0</v>
      </c>
      <c r="G25" s="1061"/>
      <c r="H25" s="1062"/>
      <c r="I25" s="1063">
        <f t="shared" si="2"/>
        <v>29.999999999999858</v>
      </c>
    </row>
    <row r="26" spans="2:10" x14ac:dyDescent="0.25">
      <c r="B26" s="197">
        <f t="shared" si="1"/>
        <v>0</v>
      </c>
      <c r="C26" s="53"/>
      <c r="D26" s="889"/>
      <c r="E26" s="996"/>
      <c r="F26" s="889">
        <f t="shared" si="0"/>
        <v>0</v>
      </c>
      <c r="G26" s="1061"/>
      <c r="H26" s="1062"/>
      <c r="I26" s="1063">
        <f t="shared" si="2"/>
        <v>29.999999999999858</v>
      </c>
    </row>
    <row r="27" spans="2:10" x14ac:dyDescent="0.25">
      <c r="B27" s="197">
        <f t="shared" si="1"/>
        <v>0</v>
      </c>
      <c r="C27" s="53"/>
      <c r="D27" s="889"/>
      <c r="E27" s="996"/>
      <c r="F27" s="889">
        <f t="shared" si="0"/>
        <v>0</v>
      </c>
      <c r="G27" s="425"/>
      <c r="H27" s="426"/>
      <c r="I27" s="262">
        <f t="shared" si="2"/>
        <v>29.999999999999858</v>
      </c>
    </row>
    <row r="28" spans="2:10" x14ac:dyDescent="0.25">
      <c r="B28" s="197">
        <f t="shared" si="1"/>
        <v>0</v>
      </c>
      <c r="C28" s="53"/>
      <c r="D28" s="889"/>
      <c r="E28" s="996"/>
      <c r="F28" s="889">
        <f t="shared" si="0"/>
        <v>0</v>
      </c>
      <c r="G28" s="425"/>
      <c r="H28" s="426"/>
      <c r="I28" s="262">
        <f t="shared" si="2"/>
        <v>29.999999999999858</v>
      </c>
    </row>
    <row r="29" spans="2:10" x14ac:dyDescent="0.25">
      <c r="B29" s="197">
        <f t="shared" si="1"/>
        <v>0</v>
      </c>
      <c r="C29" s="53"/>
      <c r="D29" s="889"/>
      <c r="E29" s="996"/>
      <c r="F29" s="889">
        <f t="shared" si="0"/>
        <v>0</v>
      </c>
      <c r="G29" s="425"/>
      <c r="H29" s="426"/>
      <c r="I29" s="262">
        <f t="shared" si="2"/>
        <v>29.999999999999858</v>
      </c>
    </row>
    <row r="30" spans="2:10" x14ac:dyDescent="0.25">
      <c r="B30" s="197">
        <f t="shared" si="1"/>
        <v>0</v>
      </c>
      <c r="C30" s="53"/>
      <c r="D30" s="889"/>
      <c r="E30" s="996"/>
      <c r="F30" s="889">
        <f t="shared" si="0"/>
        <v>0</v>
      </c>
      <c r="G30" s="425"/>
      <c r="H30" s="426"/>
      <c r="I30" s="262">
        <f t="shared" si="2"/>
        <v>29.999999999999858</v>
      </c>
    </row>
    <row r="31" spans="2:10" x14ac:dyDescent="0.25">
      <c r="B31" s="197">
        <f t="shared" si="1"/>
        <v>0</v>
      </c>
      <c r="C31" s="15"/>
      <c r="D31" s="889"/>
      <c r="E31" s="996"/>
      <c r="F31" s="889">
        <f t="shared" si="0"/>
        <v>0</v>
      </c>
      <c r="G31" s="425"/>
      <c r="H31" s="426"/>
      <c r="I31" s="262">
        <f t="shared" si="2"/>
        <v>29.999999999999858</v>
      </c>
    </row>
    <row r="32" spans="2:10" x14ac:dyDescent="0.25">
      <c r="B32" s="197">
        <f t="shared" si="1"/>
        <v>0</v>
      </c>
      <c r="C32" s="15"/>
      <c r="D32" s="889"/>
      <c r="E32" s="996"/>
      <c r="F32" s="889">
        <f t="shared" si="0"/>
        <v>0</v>
      </c>
      <c r="G32" s="425"/>
      <c r="H32" s="426"/>
      <c r="I32" s="262">
        <f t="shared" si="2"/>
        <v>29.999999999999858</v>
      </c>
    </row>
    <row r="33" spans="2:9" x14ac:dyDescent="0.25">
      <c r="B33" s="197">
        <f t="shared" si="1"/>
        <v>0</v>
      </c>
      <c r="C33" s="15"/>
      <c r="D33" s="889"/>
      <c r="E33" s="996"/>
      <c r="F33" s="889">
        <f t="shared" si="0"/>
        <v>0</v>
      </c>
      <c r="G33" s="425"/>
      <c r="H33" s="426"/>
      <c r="I33" s="262">
        <f t="shared" si="2"/>
        <v>29.999999999999858</v>
      </c>
    </row>
    <row r="34" spans="2:9" x14ac:dyDescent="0.25">
      <c r="B34" s="197">
        <f t="shared" si="1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2"/>
        <v>29.999999999999858</v>
      </c>
    </row>
    <row r="35" spans="2:9" x14ac:dyDescent="0.25">
      <c r="B35" s="197">
        <f t="shared" si="1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2"/>
        <v>29.999999999999858</v>
      </c>
    </row>
    <row r="36" spans="2:9" x14ac:dyDescent="0.25">
      <c r="B36" s="197">
        <f t="shared" si="1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2"/>
        <v>29.999999999999858</v>
      </c>
    </row>
    <row r="37" spans="2:9" x14ac:dyDescent="0.25">
      <c r="B37" s="197">
        <f t="shared" si="1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2"/>
        <v>29.999999999999858</v>
      </c>
    </row>
    <row r="38" spans="2:9" x14ac:dyDescent="0.25">
      <c r="B38" s="197">
        <f t="shared" si="1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2"/>
        <v>29.999999999999858</v>
      </c>
    </row>
    <row r="39" spans="2:9" x14ac:dyDescent="0.25">
      <c r="B39" s="197">
        <f t="shared" si="1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2"/>
        <v>29.999999999999858</v>
      </c>
    </row>
    <row r="40" spans="2:9" x14ac:dyDescent="0.25">
      <c r="B40" s="197">
        <f t="shared" si="1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2"/>
        <v>29.999999999999858</v>
      </c>
    </row>
    <row r="41" spans="2:9" x14ac:dyDescent="0.25">
      <c r="B41" s="197">
        <f t="shared" si="1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2"/>
        <v>29.999999999999858</v>
      </c>
    </row>
    <row r="42" spans="2:9" x14ac:dyDescent="0.25">
      <c r="B42" s="197">
        <f t="shared" si="1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2"/>
        <v>29.999999999999858</v>
      </c>
    </row>
    <row r="43" spans="2:9" x14ac:dyDescent="0.25">
      <c r="B43" s="197">
        <f t="shared" si="1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2"/>
        <v>29.999999999999858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29.999999999999858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29.999999999999858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29.999999999999858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29.999999999999858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29.999999999999858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29.999999999999858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29.999999999999858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29.999999999999858</v>
      </c>
    </row>
    <row r="52" spans="2:9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29.999999999999858</v>
      </c>
    </row>
    <row r="53" spans="2:9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29.999999999999858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29.999999999999858</v>
      </c>
    </row>
    <row r="55" spans="2:9" x14ac:dyDescent="0.25">
      <c r="C55" s="53">
        <f>SUM(C9:C54)</f>
        <v>59</v>
      </c>
      <c r="D55" s="124">
        <f>SUM(D9:D54)</f>
        <v>1246.3</v>
      </c>
      <c r="E55" s="173"/>
      <c r="F55" s="124">
        <f>SUM(F9:F54)</f>
        <v>1246.3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3" t="s">
        <v>11</v>
      </c>
      <c r="D60" s="1234"/>
      <c r="E60" s="57">
        <f>E5-F55+E4+E6+E7</f>
        <v>30.000000000000114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P1" zoomScaleNormal="100" workbookViewId="0">
      <selection activeCell="MP5" sqref="MP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223" t="s">
        <v>249</v>
      </c>
      <c r="L1" s="1223"/>
      <c r="M1" s="1223"/>
      <c r="N1" s="1223"/>
      <c r="O1" s="1223"/>
      <c r="P1" s="1223"/>
      <c r="Q1" s="1223"/>
      <c r="R1" s="359">
        <f>I1+1</f>
        <v>1</v>
      </c>
      <c r="S1" s="359"/>
      <c r="U1" s="1221" t="str">
        <f>K1</f>
        <v>ENTRADAS DEL MES DE  ABRIL    2022</v>
      </c>
      <c r="V1" s="1221"/>
      <c r="W1" s="1221"/>
      <c r="X1" s="1221"/>
      <c r="Y1" s="1221"/>
      <c r="Z1" s="1221"/>
      <c r="AA1" s="1221"/>
      <c r="AB1" s="359">
        <f>R1+1</f>
        <v>2</v>
      </c>
      <c r="AC1" s="575"/>
      <c r="AE1" s="1221" t="str">
        <f>U1</f>
        <v>ENTRADAS DEL MES DE  ABRIL    2022</v>
      </c>
      <c r="AF1" s="1221"/>
      <c r="AG1" s="1221"/>
      <c r="AH1" s="1221"/>
      <c r="AI1" s="1221"/>
      <c r="AJ1" s="1221"/>
      <c r="AK1" s="1221"/>
      <c r="AL1" s="359">
        <f>AB1+1</f>
        <v>3</v>
      </c>
      <c r="AM1" s="359"/>
      <c r="AO1" s="1221" t="str">
        <f>AE1</f>
        <v>ENTRADAS DEL MES DE  ABRIL    2022</v>
      </c>
      <c r="AP1" s="1221"/>
      <c r="AQ1" s="1221"/>
      <c r="AR1" s="1221"/>
      <c r="AS1" s="1221"/>
      <c r="AT1" s="1221"/>
      <c r="AU1" s="1221"/>
      <c r="AV1" s="359">
        <f>AL1+1</f>
        <v>4</v>
      </c>
      <c r="AW1" s="575"/>
      <c r="AY1" s="1221" t="str">
        <f>AO1</f>
        <v>ENTRADAS DEL MES DE  ABRIL    2022</v>
      </c>
      <c r="AZ1" s="1221"/>
      <c r="BA1" s="1221"/>
      <c r="BB1" s="1221"/>
      <c r="BC1" s="1221"/>
      <c r="BD1" s="1221"/>
      <c r="BE1" s="1221"/>
      <c r="BF1" s="359">
        <f>AV1+1</f>
        <v>5</v>
      </c>
      <c r="BG1" s="607"/>
      <c r="BI1" s="1221" t="str">
        <f>AY1</f>
        <v>ENTRADAS DEL MES DE  ABRIL    2022</v>
      </c>
      <c r="BJ1" s="1221"/>
      <c r="BK1" s="1221"/>
      <c r="BL1" s="1221"/>
      <c r="BM1" s="1221"/>
      <c r="BN1" s="1221"/>
      <c r="BO1" s="1221"/>
      <c r="BP1" s="359">
        <f>BF1+1</f>
        <v>6</v>
      </c>
      <c r="BQ1" s="575"/>
      <c r="BS1" s="1221" t="str">
        <f>BI1</f>
        <v>ENTRADAS DEL MES DE  ABRIL    2022</v>
      </c>
      <c r="BT1" s="1221"/>
      <c r="BU1" s="1221"/>
      <c r="BV1" s="1221"/>
      <c r="BW1" s="1221"/>
      <c r="BX1" s="1221"/>
      <c r="BY1" s="1221"/>
      <c r="BZ1" s="359">
        <f>BP1+1</f>
        <v>7</v>
      </c>
      <c r="CC1" s="1221" t="str">
        <f>BS1</f>
        <v>ENTRADAS DEL MES DE  ABRIL    2022</v>
      </c>
      <c r="CD1" s="1221"/>
      <c r="CE1" s="1221"/>
      <c r="CF1" s="1221"/>
      <c r="CG1" s="1221"/>
      <c r="CH1" s="1221"/>
      <c r="CI1" s="1221"/>
      <c r="CJ1" s="359">
        <f>BZ1+1</f>
        <v>8</v>
      </c>
      <c r="CM1" s="1221" t="str">
        <f>CC1</f>
        <v>ENTRADAS DEL MES DE  ABRIL    2022</v>
      </c>
      <c r="CN1" s="1221"/>
      <c r="CO1" s="1221"/>
      <c r="CP1" s="1221"/>
      <c r="CQ1" s="1221"/>
      <c r="CR1" s="1221"/>
      <c r="CS1" s="1221"/>
      <c r="CT1" s="359">
        <f>CJ1+1</f>
        <v>9</v>
      </c>
      <c r="CU1" s="575"/>
      <c r="CW1" s="1221" t="str">
        <f>CM1</f>
        <v>ENTRADAS DEL MES DE  ABRIL    2022</v>
      </c>
      <c r="CX1" s="1221"/>
      <c r="CY1" s="1221"/>
      <c r="CZ1" s="1221"/>
      <c r="DA1" s="1221"/>
      <c r="DB1" s="1221"/>
      <c r="DC1" s="1221"/>
      <c r="DD1" s="359">
        <f>CT1+1</f>
        <v>10</v>
      </c>
      <c r="DE1" s="575"/>
      <c r="DG1" s="1221" t="str">
        <f>CW1</f>
        <v>ENTRADAS DEL MES DE  ABRIL    2022</v>
      </c>
      <c r="DH1" s="1221"/>
      <c r="DI1" s="1221"/>
      <c r="DJ1" s="1221"/>
      <c r="DK1" s="1221"/>
      <c r="DL1" s="1221"/>
      <c r="DM1" s="1221"/>
      <c r="DN1" s="359">
        <f>DD1+1</f>
        <v>11</v>
      </c>
      <c r="DO1" s="575"/>
      <c r="DQ1" s="1221" t="str">
        <f>DG1</f>
        <v>ENTRADAS DEL MES DE  ABRIL    2022</v>
      </c>
      <c r="DR1" s="1221"/>
      <c r="DS1" s="1221"/>
      <c r="DT1" s="1221"/>
      <c r="DU1" s="1221"/>
      <c r="DV1" s="1221"/>
      <c r="DW1" s="1221"/>
      <c r="DX1" s="359">
        <f>DN1+1</f>
        <v>12</v>
      </c>
      <c r="EA1" s="1221" t="str">
        <f>DQ1</f>
        <v>ENTRADAS DEL MES DE  ABRIL    2022</v>
      </c>
      <c r="EB1" s="1221"/>
      <c r="EC1" s="1221"/>
      <c r="ED1" s="1221"/>
      <c r="EE1" s="1221"/>
      <c r="EF1" s="1221"/>
      <c r="EG1" s="1221"/>
      <c r="EH1" s="359">
        <f>DX1+1</f>
        <v>13</v>
      </c>
      <c r="EI1" s="575"/>
      <c r="EK1" s="1221" t="str">
        <f>EA1</f>
        <v>ENTRADAS DEL MES DE  ABRIL    2022</v>
      </c>
      <c r="EL1" s="1221"/>
      <c r="EM1" s="1221"/>
      <c r="EN1" s="1221"/>
      <c r="EO1" s="1221"/>
      <c r="EP1" s="1221"/>
      <c r="EQ1" s="1221"/>
      <c r="ER1" s="359">
        <f>EH1+1</f>
        <v>14</v>
      </c>
      <c r="ES1" s="575"/>
      <c r="EU1" s="1221" t="str">
        <f>EK1</f>
        <v>ENTRADAS DEL MES DE  ABRIL    2022</v>
      </c>
      <c r="EV1" s="1221"/>
      <c r="EW1" s="1221"/>
      <c r="EX1" s="1221"/>
      <c r="EY1" s="1221"/>
      <c r="EZ1" s="1221"/>
      <c r="FA1" s="1221"/>
      <c r="FB1" s="359">
        <f>ER1+1</f>
        <v>15</v>
      </c>
      <c r="FC1" s="575"/>
      <c r="FE1" s="1221" t="str">
        <f>EU1</f>
        <v>ENTRADAS DEL MES DE  ABRIL    2022</v>
      </c>
      <c r="FF1" s="1221"/>
      <c r="FG1" s="1221"/>
      <c r="FH1" s="1221"/>
      <c r="FI1" s="1221"/>
      <c r="FJ1" s="1221"/>
      <c r="FK1" s="1221"/>
      <c r="FL1" s="359">
        <f>FB1+1</f>
        <v>16</v>
      </c>
      <c r="FM1" s="575"/>
      <c r="FO1" s="1221" t="str">
        <f>FE1</f>
        <v>ENTRADAS DEL MES DE  ABRIL    2022</v>
      </c>
      <c r="FP1" s="1221"/>
      <c r="FQ1" s="1221"/>
      <c r="FR1" s="1221"/>
      <c r="FS1" s="1221"/>
      <c r="FT1" s="1221"/>
      <c r="FU1" s="1221"/>
      <c r="FV1" s="359">
        <f>FL1+1</f>
        <v>17</v>
      </c>
      <c r="FW1" s="575"/>
      <c r="FY1" s="1221" t="str">
        <f>FO1</f>
        <v>ENTRADAS DEL MES DE  ABRIL    2022</v>
      </c>
      <c r="FZ1" s="1221"/>
      <c r="GA1" s="1221"/>
      <c r="GB1" s="1221"/>
      <c r="GC1" s="1221"/>
      <c r="GD1" s="1221"/>
      <c r="GE1" s="1221"/>
      <c r="GF1" s="359">
        <f>FV1+1</f>
        <v>18</v>
      </c>
      <c r="GG1" s="575"/>
      <c r="GH1" s="75" t="s">
        <v>37</v>
      </c>
      <c r="GI1" s="1221" t="str">
        <f>FY1</f>
        <v>ENTRADAS DEL MES DE  ABRIL    2022</v>
      </c>
      <c r="GJ1" s="1221"/>
      <c r="GK1" s="1221"/>
      <c r="GL1" s="1221"/>
      <c r="GM1" s="1221"/>
      <c r="GN1" s="1221"/>
      <c r="GO1" s="1221"/>
      <c r="GP1" s="359">
        <f>GF1+1</f>
        <v>19</v>
      </c>
      <c r="GQ1" s="575"/>
      <c r="GS1" s="1221" t="str">
        <f>GI1</f>
        <v>ENTRADAS DEL MES DE  ABRIL    2022</v>
      </c>
      <c r="GT1" s="1221"/>
      <c r="GU1" s="1221"/>
      <c r="GV1" s="1221"/>
      <c r="GW1" s="1221"/>
      <c r="GX1" s="1221"/>
      <c r="GY1" s="1221"/>
      <c r="GZ1" s="359">
        <f>GP1+1</f>
        <v>20</v>
      </c>
      <c r="HA1" s="575"/>
      <c r="HC1" s="1221" t="str">
        <f>GS1</f>
        <v>ENTRADAS DEL MES DE  ABRIL    2022</v>
      </c>
      <c r="HD1" s="1221"/>
      <c r="HE1" s="1221"/>
      <c r="HF1" s="1221"/>
      <c r="HG1" s="1221"/>
      <c r="HH1" s="1221"/>
      <c r="HI1" s="1221"/>
      <c r="HJ1" s="359">
        <f>GZ1+1</f>
        <v>21</v>
      </c>
      <c r="HK1" s="575"/>
      <c r="HM1" s="1221" t="str">
        <f>HC1</f>
        <v>ENTRADAS DEL MES DE  ABRIL    2022</v>
      </c>
      <c r="HN1" s="1221"/>
      <c r="HO1" s="1221"/>
      <c r="HP1" s="1221"/>
      <c r="HQ1" s="1221"/>
      <c r="HR1" s="1221"/>
      <c r="HS1" s="1221"/>
      <c r="HT1" s="359">
        <f>HJ1+1</f>
        <v>22</v>
      </c>
      <c r="HU1" s="575"/>
      <c r="HW1" s="1221" t="str">
        <f>HM1</f>
        <v>ENTRADAS DEL MES DE  ABRIL    2022</v>
      </c>
      <c r="HX1" s="1221"/>
      <c r="HY1" s="1221"/>
      <c r="HZ1" s="1221"/>
      <c r="IA1" s="1221"/>
      <c r="IB1" s="1221"/>
      <c r="IC1" s="1221"/>
      <c r="ID1" s="359">
        <f>HT1+1</f>
        <v>23</v>
      </c>
      <c r="IE1" s="575"/>
      <c r="IG1" s="1221" t="str">
        <f>HW1</f>
        <v>ENTRADAS DEL MES DE  ABRIL    2022</v>
      </c>
      <c r="IH1" s="1221"/>
      <c r="II1" s="1221"/>
      <c r="IJ1" s="1221"/>
      <c r="IK1" s="1221"/>
      <c r="IL1" s="1221"/>
      <c r="IM1" s="1221"/>
      <c r="IN1" s="359">
        <f>ID1+1</f>
        <v>24</v>
      </c>
      <c r="IO1" s="575"/>
      <c r="IQ1" s="1221" t="str">
        <f>IG1</f>
        <v>ENTRADAS DEL MES DE  ABRIL    2022</v>
      </c>
      <c r="IR1" s="1221"/>
      <c r="IS1" s="1221"/>
      <c r="IT1" s="1221"/>
      <c r="IU1" s="1221"/>
      <c r="IV1" s="1221"/>
      <c r="IW1" s="1221"/>
      <c r="IX1" s="359">
        <f>IN1+1</f>
        <v>25</v>
      </c>
      <c r="IY1" s="575"/>
      <c r="JA1" s="1221" t="str">
        <f>IQ1</f>
        <v>ENTRADAS DEL MES DE  ABRIL    2022</v>
      </c>
      <c r="JB1" s="1221"/>
      <c r="JC1" s="1221"/>
      <c r="JD1" s="1221"/>
      <c r="JE1" s="1221"/>
      <c r="JF1" s="1221"/>
      <c r="JG1" s="1221"/>
      <c r="JH1" s="359">
        <f>IX1+1</f>
        <v>26</v>
      </c>
      <c r="JI1" s="575"/>
      <c r="JK1" s="1230" t="str">
        <f>JA1</f>
        <v>ENTRADAS DEL MES DE  ABRIL    2022</v>
      </c>
      <c r="JL1" s="1230"/>
      <c r="JM1" s="1230"/>
      <c r="JN1" s="1230"/>
      <c r="JO1" s="1230"/>
      <c r="JP1" s="1230"/>
      <c r="JQ1" s="1230"/>
      <c r="JR1" s="359">
        <f>JH1+1</f>
        <v>27</v>
      </c>
      <c r="JS1" s="575"/>
      <c r="JU1" s="1221" t="str">
        <f>JK1</f>
        <v>ENTRADAS DEL MES DE  ABRIL    2022</v>
      </c>
      <c r="JV1" s="1221"/>
      <c r="JW1" s="1221"/>
      <c r="JX1" s="1221"/>
      <c r="JY1" s="1221"/>
      <c r="JZ1" s="1221"/>
      <c r="KA1" s="1221"/>
      <c r="KB1" s="359">
        <f>JR1+1</f>
        <v>28</v>
      </c>
      <c r="KC1" s="575"/>
      <c r="KE1" s="1221" t="str">
        <f>JU1</f>
        <v>ENTRADAS DEL MES DE  ABRIL    2022</v>
      </c>
      <c r="KF1" s="1221"/>
      <c r="KG1" s="1221"/>
      <c r="KH1" s="1221"/>
      <c r="KI1" s="1221"/>
      <c r="KJ1" s="1221"/>
      <c r="KK1" s="1221"/>
      <c r="KL1" s="359">
        <f>KB1+1</f>
        <v>29</v>
      </c>
      <c r="KM1" s="575"/>
      <c r="KO1" s="1221" t="str">
        <f>KE1</f>
        <v>ENTRADAS DEL MES DE  ABRIL    2022</v>
      </c>
      <c r="KP1" s="1221"/>
      <c r="KQ1" s="1221"/>
      <c r="KR1" s="1221"/>
      <c r="KS1" s="1221"/>
      <c r="KT1" s="1221"/>
      <c r="KU1" s="1221"/>
      <c r="KV1" s="359">
        <f>KL1+1</f>
        <v>30</v>
      </c>
      <c r="KW1" s="575"/>
      <c r="KY1" s="1221" t="str">
        <f>KO1</f>
        <v>ENTRADAS DEL MES DE  ABRIL    2022</v>
      </c>
      <c r="KZ1" s="1221"/>
      <c r="LA1" s="1221"/>
      <c r="LB1" s="1221"/>
      <c r="LC1" s="1221"/>
      <c r="LD1" s="1221"/>
      <c r="LE1" s="1221"/>
      <c r="LF1" s="359">
        <f>KV1+1</f>
        <v>31</v>
      </c>
      <c r="LG1" s="575"/>
      <c r="LI1" s="1221" t="str">
        <f>KY1</f>
        <v>ENTRADAS DEL MES DE  ABRIL    2022</v>
      </c>
      <c r="LJ1" s="1221"/>
      <c r="LK1" s="1221"/>
      <c r="LL1" s="1221"/>
      <c r="LM1" s="1221"/>
      <c r="LN1" s="1221"/>
      <c r="LO1" s="1221"/>
      <c r="LP1" s="359">
        <f>LF1+1</f>
        <v>32</v>
      </c>
      <c r="LQ1" s="575"/>
      <c r="LS1" s="1221" t="str">
        <f>LI1</f>
        <v>ENTRADAS DEL MES DE  ABRIL    2022</v>
      </c>
      <c r="LT1" s="1221"/>
      <c r="LU1" s="1221"/>
      <c r="LV1" s="1221"/>
      <c r="LW1" s="1221"/>
      <c r="LX1" s="1221"/>
      <c r="LY1" s="1221"/>
      <c r="LZ1" s="359">
        <f>LP1+1</f>
        <v>33</v>
      </c>
      <c r="MC1" s="1221" t="str">
        <f>LS1</f>
        <v>ENTRADAS DEL MES DE  ABRIL    2022</v>
      </c>
      <c r="MD1" s="1221"/>
      <c r="ME1" s="1221"/>
      <c r="MF1" s="1221"/>
      <c r="MG1" s="1221"/>
      <c r="MH1" s="1221"/>
      <c r="MI1" s="1221"/>
      <c r="MJ1" s="359">
        <f>LZ1+1</f>
        <v>34</v>
      </c>
      <c r="MK1" s="359"/>
      <c r="MM1" s="1221" t="str">
        <f>MC1</f>
        <v>ENTRADAS DEL MES DE  ABRIL    2022</v>
      </c>
      <c r="MN1" s="1221"/>
      <c r="MO1" s="1221"/>
      <c r="MP1" s="1221"/>
      <c r="MQ1" s="1221"/>
      <c r="MR1" s="1221"/>
      <c r="MS1" s="1221"/>
      <c r="MT1" s="359">
        <f>MJ1+1</f>
        <v>35</v>
      </c>
      <c r="MU1" s="359"/>
      <c r="MW1" s="1221" t="str">
        <f>MM1</f>
        <v>ENTRADAS DEL MES DE  ABRIL    2022</v>
      </c>
      <c r="MX1" s="1221"/>
      <c r="MY1" s="1221"/>
      <c r="MZ1" s="1221"/>
      <c r="NA1" s="1221"/>
      <c r="NB1" s="1221"/>
      <c r="NC1" s="1221"/>
      <c r="ND1" s="359">
        <f>MT1+1</f>
        <v>36</v>
      </c>
      <c r="NE1" s="359"/>
      <c r="NG1" s="1221" t="str">
        <f>MW1</f>
        <v>ENTRADAS DEL MES DE  ABRIL    2022</v>
      </c>
      <c r="NH1" s="1221"/>
      <c r="NI1" s="1221"/>
      <c r="NJ1" s="1221"/>
      <c r="NK1" s="1221"/>
      <c r="NL1" s="1221"/>
      <c r="NM1" s="1221"/>
      <c r="NN1" s="359">
        <f>ND1+1</f>
        <v>37</v>
      </c>
      <c r="NO1" s="359"/>
      <c r="NQ1" s="1221" t="str">
        <f>NG1</f>
        <v>ENTRADAS DEL MES DE  ABRIL    2022</v>
      </c>
      <c r="NR1" s="1221"/>
      <c r="NS1" s="1221"/>
      <c r="NT1" s="1221"/>
      <c r="NU1" s="1221"/>
      <c r="NV1" s="1221"/>
      <c r="NW1" s="1221"/>
      <c r="NX1" s="359">
        <f>NN1+1</f>
        <v>38</v>
      </c>
      <c r="NY1" s="359"/>
      <c r="OA1" s="1221" t="str">
        <f>NQ1</f>
        <v>ENTRADAS DEL MES DE  ABRIL    2022</v>
      </c>
      <c r="OB1" s="1221"/>
      <c r="OC1" s="1221"/>
      <c r="OD1" s="1221"/>
      <c r="OE1" s="1221"/>
      <c r="OF1" s="1221"/>
      <c r="OG1" s="1221"/>
      <c r="OH1" s="359">
        <f>NX1+1</f>
        <v>39</v>
      </c>
      <c r="OI1" s="359"/>
      <c r="OK1" s="1221" t="str">
        <f>OA1</f>
        <v>ENTRADAS DEL MES DE  ABRIL    2022</v>
      </c>
      <c r="OL1" s="1221"/>
      <c r="OM1" s="1221"/>
      <c r="ON1" s="1221"/>
      <c r="OO1" s="1221"/>
      <c r="OP1" s="1221"/>
      <c r="OQ1" s="1221"/>
      <c r="OR1" s="359">
        <f>OH1+1</f>
        <v>40</v>
      </c>
      <c r="OS1" s="359"/>
      <c r="OU1" s="1221" t="str">
        <f>OK1</f>
        <v>ENTRADAS DEL MES DE  ABRIL    2022</v>
      </c>
      <c r="OV1" s="1221"/>
      <c r="OW1" s="1221"/>
      <c r="OX1" s="1221"/>
      <c r="OY1" s="1221"/>
      <c r="OZ1" s="1221"/>
      <c r="PA1" s="1221"/>
      <c r="PB1" s="359">
        <f>OR1+1</f>
        <v>41</v>
      </c>
      <c r="PC1" s="359"/>
      <c r="PE1" s="1221" t="str">
        <f>OU1</f>
        <v>ENTRADAS DEL MES DE  ABRIL    2022</v>
      </c>
      <c r="PF1" s="1221"/>
      <c r="PG1" s="1221"/>
      <c r="PH1" s="1221"/>
      <c r="PI1" s="1221"/>
      <c r="PJ1" s="1221"/>
      <c r="PK1" s="1221"/>
      <c r="PL1" s="359">
        <f>PB1+1</f>
        <v>42</v>
      </c>
      <c r="PM1" s="359"/>
      <c r="PO1" s="1221" t="str">
        <f>PE1</f>
        <v>ENTRADAS DEL MES DE  ABRIL    2022</v>
      </c>
      <c r="PP1" s="1221"/>
      <c r="PQ1" s="1221"/>
      <c r="PR1" s="1221"/>
      <c r="PS1" s="1221"/>
      <c r="PT1" s="1221"/>
      <c r="PU1" s="1221"/>
      <c r="PV1" s="359">
        <f>PL1+1</f>
        <v>43</v>
      </c>
      <c r="PX1" s="1221" t="str">
        <f>PO1</f>
        <v>ENTRADAS DEL MES DE  ABRIL    2022</v>
      </c>
      <c r="PY1" s="1221"/>
      <c r="PZ1" s="1221"/>
      <c r="QA1" s="1221"/>
      <c r="QB1" s="1221"/>
      <c r="QC1" s="1221"/>
      <c r="QD1" s="1221"/>
      <c r="QE1" s="359">
        <f>PV1+1</f>
        <v>44</v>
      </c>
      <c r="QG1" s="1221" t="str">
        <f>PX1</f>
        <v>ENTRADAS DEL MES DE  ABRIL    2022</v>
      </c>
      <c r="QH1" s="1221"/>
      <c r="QI1" s="1221"/>
      <c r="QJ1" s="1221"/>
      <c r="QK1" s="1221"/>
      <c r="QL1" s="1221"/>
      <c r="QM1" s="1221"/>
      <c r="QN1" s="359">
        <f>QE1+1</f>
        <v>45</v>
      </c>
      <c r="QP1" s="1221" t="str">
        <f>QG1</f>
        <v>ENTRADAS DEL MES DE  ABRIL    2022</v>
      </c>
      <c r="QQ1" s="1221"/>
      <c r="QR1" s="1221"/>
      <c r="QS1" s="1221"/>
      <c r="QT1" s="1221"/>
      <c r="QU1" s="1221"/>
      <c r="QV1" s="1221"/>
      <c r="QW1" s="359">
        <f>QN1+1</f>
        <v>46</v>
      </c>
      <c r="QY1" s="1221" t="str">
        <f>QP1</f>
        <v>ENTRADAS DEL MES DE  ABRIL    2022</v>
      </c>
      <c r="QZ1" s="1221"/>
      <c r="RA1" s="1221"/>
      <c r="RB1" s="1221"/>
      <c r="RC1" s="1221"/>
      <c r="RD1" s="1221"/>
      <c r="RE1" s="1221"/>
      <c r="RF1" s="359">
        <f>QW1+1</f>
        <v>47</v>
      </c>
      <c r="RH1" s="1221" t="str">
        <f>QY1</f>
        <v>ENTRADAS DEL MES DE  ABRIL    2022</v>
      </c>
      <c r="RI1" s="1221"/>
      <c r="RJ1" s="1221"/>
      <c r="RK1" s="1221"/>
      <c r="RL1" s="1221"/>
      <c r="RM1" s="1221"/>
      <c r="RN1" s="1221"/>
      <c r="RO1" s="359">
        <f>RF1+1</f>
        <v>48</v>
      </c>
      <c r="RQ1" s="1221" t="str">
        <f>RH1</f>
        <v>ENTRADAS DEL MES DE  ABRIL    2022</v>
      </c>
      <c r="RR1" s="1221"/>
      <c r="RS1" s="1221"/>
      <c r="RT1" s="1221"/>
      <c r="RU1" s="1221"/>
      <c r="RV1" s="1221"/>
      <c r="RW1" s="1221"/>
      <c r="RX1" s="359">
        <f>RO1+1</f>
        <v>49</v>
      </c>
      <c r="RZ1" s="1221" t="str">
        <f>RQ1</f>
        <v>ENTRADAS DEL MES DE  ABRIL    2022</v>
      </c>
      <c r="SA1" s="1221"/>
      <c r="SB1" s="1221"/>
      <c r="SC1" s="1221"/>
      <c r="SD1" s="1221"/>
      <c r="SE1" s="1221"/>
      <c r="SF1" s="1221"/>
      <c r="SG1" s="359">
        <f>RX1+1</f>
        <v>50</v>
      </c>
      <c r="SI1" s="1221" t="str">
        <f>RZ1</f>
        <v>ENTRADAS DEL MES DE  ABRIL    2022</v>
      </c>
      <c r="SJ1" s="1221"/>
      <c r="SK1" s="1221"/>
      <c r="SL1" s="1221"/>
      <c r="SM1" s="1221"/>
      <c r="SN1" s="1221"/>
      <c r="SO1" s="1221"/>
      <c r="SP1" s="359">
        <f>SG1+1</f>
        <v>51</v>
      </c>
      <c r="SR1" s="1221" t="str">
        <f>SI1</f>
        <v>ENTRADAS DEL MES DE  ABRIL    2022</v>
      </c>
      <c r="SS1" s="1221"/>
      <c r="ST1" s="1221"/>
      <c r="SU1" s="1221"/>
      <c r="SV1" s="1221"/>
      <c r="SW1" s="1221"/>
      <c r="SX1" s="1221"/>
      <c r="SY1" s="359">
        <f>SP1+1</f>
        <v>52</v>
      </c>
      <c r="TA1" s="1221" t="str">
        <f>SR1</f>
        <v>ENTRADAS DEL MES DE  ABRIL    2022</v>
      </c>
      <c r="TB1" s="1221"/>
      <c r="TC1" s="1221"/>
      <c r="TD1" s="1221"/>
      <c r="TE1" s="1221"/>
      <c r="TF1" s="1221"/>
      <c r="TG1" s="1221"/>
      <c r="TH1" s="359">
        <f>SY1+1</f>
        <v>53</v>
      </c>
      <c r="TJ1" s="1221" t="str">
        <f>TA1</f>
        <v>ENTRADAS DEL MES DE  ABRIL    2022</v>
      </c>
      <c r="TK1" s="1221"/>
      <c r="TL1" s="1221"/>
      <c r="TM1" s="1221"/>
      <c r="TN1" s="1221"/>
      <c r="TO1" s="1221"/>
      <c r="TP1" s="1221"/>
      <c r="TQ1" s="359">
        <f>TH1+1</f>
        <v>54</v>
      </c>
      <c r="TS1" s="1221" t="str">
        <f>TJ1</f>
        <v>ENTRADAS DEL MES DE  ABRIL    2022</v>
      </c>
      <c r="TT1" s="1221"/>
      <c r="TU1" s="1221"/>
      <c r="TV1" s="1221"/>
      <c r="TW1" s="1221"/>
      <c r="TX1" s="1221"/>
      <c r="TY1" s="1221"/>
      <c r="TZ1" s="359">
        <f>TQ1+1</f>
        <v>55</v>
      </c>
      <c r="UB1" s="1221" t="str">
        <f>TS1</f>
        <v>ENTRADAS DEL MES DE  ABRIL    2022</v>
      </c>
      <c r="UC1" s="1221"/>
      <c r="UD1" s="1221"/>
      <c r="UE1" s="1221"/>
      <c r="UF1" s="1221"/>
      <c r="UG1" s="1221"/>
      <c r="UH1" s="1221"/>
      <c r="UI1" s="359">
        <f>TZ1+1</f>
        <v>56</v>
      </c>
      <c r="UK1" s="1221" t="str">
        <f>UB1</f>
        <v>ENTRADAS DEL MES DE  ABRIL    2022</v>
      </c>
      <c r="UL1" s="1221"/>
      <c r="UM1" s="1221"/>
      <c r="UN1" s="1221"/>
      <c r="UO1" s="1221"/>
      <c r="UP1" s="1221"/>
      <c r="UQ1" s="1221"/>
      <c r="UR1" s="359">
        <f>UI1+1</f>
        <v>57</v>
      </c>
      <c r="UT1" s="1221" t="str">
        <f>UK1</f>
        <v>ENTRADAS DEL MES DE  ABRIL    2022</v>
      </c>
      <c r="UU1" s="1221"/>
      <c r="UV1" s="1221"/>
      <c r="UW1" s="1221"/>
      <c r="UX1" s="1221"/>
      <c r="UY1" s="1221"/>
      <c r="UZ1" s="1221"/>
      <c r="VA1" s="359">
        <f>UR1+1</f>
        <v>58</v>
      </c>
      <c r="VC1" s="1221" t="str">
        <f>UT1</f>
        <v>ENTRADAS DEL MES DE  ABRIL    2022</v>
      </c>
      <c r="VD1" s="1221"/>
      <c r="VE1" s="1221"/>
      <c r="VF1" s="1221"/>
      <c r="VG1" s="1221"/>
      <c r="VH1" s="1221"/>
      <c r="VI1" s="1221"/>
      <c r="VJ1" s="359">
        <f>VA1+1</f>
        <v>59</v>
      </c>
      <c r="VL1" s="1221" t="str">
        <f>VC1</f>
        <v>ENTRADAS DEL MES DE  ABRIL    2022</v>
      </c>
      <c r="VM1" s="1221"/>
      <c r="VN1" s="1221"/>
      <c r="VO1" s="1221"/>
      <c r="VP1" s="1221"/>
      <c r="VQ1" s="1221"/>
      <c r="VR1" s="1221"/>
      <c r="VS1" s="359">
        <f>VJ1+1</f>
        <v>60</v>
      </c>
      <c r="VU1" s="1221" t="str">
        <f>VL1</f>
        <v>ENTRADAS DEL MES DE  ABRIL    2022</v>
      </c>
      <c r="VV1" s="1221"/>
      <c r="VW1" s="1221"/>
      <c r="VX1" s="1221"/>
      <c r="VY1" s="1221"/>
      <c r="VZ1" s="1221"/>
      <c r="WA1" s="1221"/>
      <c r="WB1" s="359">
        <f>VS1+1</f>
        <v>61</v>
      </c>
      <c r="WD1" s="1221" t="str">
        <f>VU1</f>
        <v>ENTRADAS DEL MES DE  ABRIL    2022</v>
      </c>
      <c r="WE1" s="1221"/>
      <c r="WF1" s="1221"/>
      <c r="WG1" s="1221"/>
      <c r="WH1" s="1221"/>
      <c r="WI1" s="1221"/>
      <c r="WJ1" s="1221"/>
      <c r="WK1" s="359">
        <f>WB1+1</f>
        <v>62</v>
      </c>
      <c r="WM1" s="1221" t="str">
        <f>WD1</f>
        <v>ENTRADAS DEL MES DE  ABRIL    2022</v>
      </c>
      <c r="WN1" s="1221"/>
      <c r="WO1" s="1221"/>
      <c r="WP1" s="1221"/>
      <c r="WQ1" s="1221"/>
      <c r="WR1" s="1221"/>
      <c r="WS1" s="1221"/>
      <c r="WT1" s="359">
        <f>WK1+1</f>
        <v>63</v>
      </c>
      <c r="WV1" s="1221" t="str">
        <f>WM1</f>
        <v>ENTRADAS DEL MES DE  ABRIL    2022</v>
      </c>
      <c r="WW1" s="1221"/>
      <c r="WX1" s="1221"/>
      <c r="WY1" s="1221"/>
      <c r="WZ1" s="1221"/>
      <c r="XA1" s="1221"/>
      <c r="XB1" s="1221"/>
      <c r="XC1" s="359">
        <f>WT1+1</f>
        <v>64</v>
      </c>
      <c r="XE1" s="1221" t="str">
        <f>WV1</f>
        <v>ENTRADAS DEL MES DE  ABRIL    2022</v>
      </c>
      <c r="XF1" s="1221"/>
      <c r="XG1" s="1221"/>
      <c r="XH1" s="1221"/>
      <c r="XI1" s="1221"/>
      <c r="XJ1" s="1221"/>
      <c r="XK1" s="1221"/>
      <c r="XL1" s="359">
        <f>XC1+1</f>
        <v>65</v>
      </c>
      <c r="XN1" s="1221" t="str">
        <f>XE1</f>
        <v>ENTRADAS DEL MES DE  ABRIL    2022</v>
      </c>
      <c r="XO1" s="1221"/>
      <c r="XP1" s="1221"/>
      <c r="XQ1" s="1221"/>
      <c r="XR1" s="1221"/>
      <c r="XS1" s="1221"/>
      <c r="XT1" s="1221"/>
      <c r="XU1" s="359">
        <f>XL1+1</f>
        <v>66</v>
      </c>
      <c r="XW1" s="1221" t="str">
        <f>XN1</f>
        <v>ENTRADAS DEL MES DE  ABRIL    2022</v>
      </c>
      <c r="XX1" s="1221"/>
      <c r="XY1" s="1221"/>
      <c r="XZ1" s="1221"/>
      <c r="YA1" s="1221"/>
      <c r="YB1" s="1221"/>
      <c r="YC1" s="1221"/>
      <c r="YD1" s="359">
        <f>XU1+1</f>
        <v>67</v>
      </c>
      <c r="YF1" s="1221" t="str">
        <f>XW1</f>
        <v>ENTRADAS DEL MES DE  ABRIL    2022</v>
      </c>
      <c r="YG1" s="1221"/>
      <c r="YH1" s="1221"/>
      <c r="YI1" s="1221"/>
      <c r="YJ1" s="1221"/>
      <c r="YK1" s="1221"/>
      <c r="YL1" s="1221"/>
      <c r="YM1" s="359">
        <f>YD1+1</f>
        <v>68</v>
      </c>
      <c r="YO1" s="1221" t="str">
        <f>YF1</f>
        <v>ENTRADAS DEL MES DE  ABRIL    2022</v>
      </c>
      <c r="YP1" s="1221"/>
      <c r="YQ1" s="1221"/>
      <c r="YR1" s="1221"/>
      <c r="YS1" s="1221"/>
      <c r="YT1" s="1221"/>
      <c r="YU1" s="1221"/>
      <c r="YV1" s="359">
        <f>YM1+1</f>
        <v>69</v>
      </c>
      <c r="YX1" s="1221" t="str">
        <f>YO1</f>
        <v>ENTRADAS DEL MES DE  ABRIL    2022</v>
      </c>
      <c r="YY1" s="1221"/>
      <c r="YZ1" s="1221"/>
      <c r="ZA1" s="1221"/>
      <c r="ZB1" s="1221"/>
      <c r="ZC1" s="1221"/>
      <c r="ZD1" s="1221"/>
      <c r="ZE1" s="359">
        <f>YV1+1</f>
        <v>70</v>
      </c>
      <c r="ZG1" s="1221" t="str">
        <f>YX1</f>
        <v>ENTRADAS DEL MES DE  ABRIL    2022</v>
      </c>
      <c r="ZH1" s="1221"/>
      <c r="ZI1" s="1221"/>
      <c r="ZJ1" s="1221"/>
      <c r="ZK1" s="1221"/>
      <c r="ZL1" s="1221"/>
      <c r="ZM1" s="1221"/>
      <c r="ZN1" s="359">
        <f>ZE1+1</f>
        <v>71</v>
      </c>
      <c r="ZP1" s="1221" t="str">
        <f>ZG1</f>
        <v>ENTRADAS DEL MES DE  ABRIL    2022</v>
      </c>
      <c r="ZQ1" s="1221"/>
      <c r="ZR1" s="1221"/>
      <c r="ZS1" s="1221"/>
      <c r="ZT1" s="1221"/>
      <c r="ZU1" s="1221"/>
      <c r="ZV1" s="1221"/>
      <c r="ZW1" s="359">
        <f>ZN1+1</f>
        <v>72</v>
      </c>
      <c r="ZY1" s="1221" t="str">
        <f>ZP1</f>
        <v>ENTRADAS DEL MES DE  ABRIL    2022</v>
      </c>
      <c r="ZZ1" s="1221"/>
      <c r="AAA1" s="1221"/>
      <c r="AAB1" s="1221"/>
      <c r="AAC1" s="1221"/>
      <c r="AAD1" s="1221"/>
      <c r="AAE1" s="1221"/>
      <c r="AAF1" s="359">
        <f>ZW1+1</f>
        <v>73</v>
      </c>
      <c r="AAH1" s="1221" t="str">
        <f>ZY1</f>
        <v>ENTRADAS DEL MES DE  ABRIL    2022</v>
      </c>
      <c r="AAI1" s="1221"/>
      <c r="AAJ1" s="1221"/>
      <c r="AAK1" s="1221"/>
      <c r="AAL1" s="1221"/>
      <c r="AAM1" s="1221"/>
      <c r="AAN1" s="1221"/>
      <c r="AAO1" s="359">
        <f>AAF1+1</f>
        <v>74</v>
      </c>
      <c r="AAQ1" s="1221" t="str">
        <f>AAH1</f>
        <v>ENTRADAS DEL MES DE  ABRIL    2022</v>
      </c>
      <c r="AAR1" s="1221"/>
      <c r="AAS1" s="1221"/>
      <c r="AAT1" s="1221"/>
      <c r="AAU1" s="1221"/>
      <c r="AAV1" s="1221"/>
      <c r="AAW1" s="1221"/>
      <c r="AAX1" s="359">
        <f>AAO1+1</f>
        <v>75</v>
      </c>
      <c r="AAZ1" s="1221" t="str">
        <f>AAQ1</f>
        <v>ENTRADAS DEL MES DE  ABRIL    2022</v>
      </c>
      <c r="ABA1" s="1221"/>
      <c r="ABB1" s="1221"/>
      <c r="ABC1" s="1221"/>
      <c r="ABD1" s="1221"/>
      <c r="ABE1" s="1221"/>
      <c r="ABF1" s="1221"/>
      <c r="ABG1" s="359">
        <f>AAX1+1</f>
        <v>76</v>
      </c>
      <c r="ABI1" s="1221" t="str">
        <f>AAZ1</f>
        <v>ENTRADAS DEL MES DE  ABRIL    2022</v>
      </c>
      <c r="ABJ1" s="1221"/>
      <c r="ABK1" s="1221"/>
      <c r="ABL1" s="1221"/>
      <c r="ABM1" s="1221"/>
      <c r="ABN1" s="1221"/>
      <c r="ABO1" s="1221"/>
      <c r="ABP1" s="359">
        <f>ABG1+1</f>
        <v>77</v>
      </c>
      <c r="ABR1" s="1221" t="str">
        <f>ABI1</f>
        <v>ENTRADAS DEL MES DE  ABRIL    2022</v>
      </c>
      <c r="ABS1" s="1221"/>
      <c r="ABT1" s="1221"/>
      <c r="ABU1" s="1221"/>
      <c r="ABV1" s="1221"/>
      <c r="ABW1" s="1221"/>
      <c r="ABX1" s="1221"/>
      <c r="ABY1" s="359">
        <f>ABP1+1</f>
        <v>78</v>
      </c>
      <c r="ACA1" s="1221" t="str">
        <f>ABR1</f>
        <v>ENTRADAS DEL MES DE  ABRIL    2022</v>
      </c>
      <c r="ACB1" s="1221"/>
      <c r="ACC1" s="1221"/>
      <c r="ACD1" s="1221"/>
      <c r="ACE1" s="1221"/>
      <c r="ACF1" s="1221"/>
      <c r="ACG1" s="1221"/>
      <c r="ACH1" s="359">
        <f>ABY1+1</f>
        <v>79</v>
      </c>
      <c r="ACJ1" s="1221" t="str">
        <f>ACA1</f>
        <v>ENTRADAS DEL MES DE  ABRIL    2022</v>
      </c>
      <c r="ACK1" s="1221"/>
      <c r="ACL1" s="1221"/>
      <c r="ACM1" s="1221"/>
      <c r="ACN1" s="1221"/>
      <c r="ACO1" s="1221"/>
      <c r="ACP1" s="1221"/>
      <c r="ACQ1" s="359">
        <f>ACH1+1</f>
        <v>80</v>
      </c>
      <c r="ACS1" s="1221" t="str">
        <f>ACJ1</f>
        <v>ENTRADAS DEL MES DE  ABRIL    2022</v>
      </c>
      <c r="ACT1" s="1221"/>
      <c r="ACU1" s="1221"/>
      <c r="ACV1" s="1221"/>
      <c r="ACW1" s="1221"/>
      <c r="ACX1" s="1221"/>
      <c r="ACY1" s="1221"/>
      <c r="ACZ1" s="359">
        <f>ACQ1+1</f>
        <v>81</v>
      </c>
      <c r="ADB1" s="1221" t="str">
        <f>ACS1</f>
        <v>ENTRADAS DEL MES DE  ABRIL    2022</v>
      </c>
      <c r="ADC1" s="1221"/>
      <c r="ADD1" s="1221"/>
      <c r="ADE1" s="1221"/>
      <c r="ADF1" s="1221"/>
      <c r="ADG1" s="1221"/>
      <c r="ADH1" s="1221"/>
      <c r="ADI1" s="359">
        <f>ACZ1+1</f>
        <v>82</v>
      </c>
      <c r="ADK1" s="1221" t="str">
        <f>ADB1</f>
        <v>ENTRADAS DEL MES DE  ABRIL    2022</v>
      </c>
      <c r="ADL1" s="1221"/>
      <c r="ADM1" s="1221"/>
      <c r="ADN1" s="1221"/>
      <c r="ADO1" s="1221"/>
      <c r="ADP1" s="1221"/>
      <c r="ADQ1" s="1221"/>
      <c r="ADR1" s="359">
        <f>ADI1+1</f>
        <v>83</v>
      </c>
      <c r="ADT1" s="1221" t="str">
        <f>ADK1</f>
        <v>ENTRADAS DEL MES DE  ABRIL    2022</v>
      </c>
      <c r="ADU1" s="1221"/>
      <c r="ADV1" s="1221"/>
      <c r="ADW1" s="1221"/>
      <c r="ADX1" s="1221"/>
      <c r="ADY1" s="1221"/>
      <c r="ADZ1" s="1221"/>
      <c r="AEA1" s="359">
        <f>ADR1+1</f>
        <v>84</v>
      </c>
      <c r="AEC1" s="1221" t="str">
        <f>ADT1</f>
        <v>ENTRADAS DEL MES DE  ABRIL    2022</v>
      </c>
      <c r="AED1" s="1221"/>
      <c r="AEE1" s="1221"/>
      <c r="AEF1" s="1221"/>
      <c r="AEG1" s="1221"/>
      <c r="AEH1" s="1221"/>
      <c r="AEI1" s="1221"/>
      <c r="AEJ1" s="359">
        <f>AEA1+1</f>
        <v>85</v>
      </c>
      <c r="AEL1" s="1221" t="str">
        <f>AEC1</f>
        <v>ENTRADAS DEL MES DE  ABRIL    2022</v>
      </c>
      <c r="AEM1" s="1221"/>
      <c r="AEN1" s="1221"/>
      <c r="AEO1" s="1221"/>
      <c r="AEP1" s="1221"/>
      <c r="AEQ1" s="1221"/>
      <c r="AER1" s="1221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234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262</v>
      </c>
      <c r="EM4" s="245"/>
      <c r="EN4" s="245"/>
      <c r="EO4" s="245"/>
      <c r="EP4" s="245"/>
      <c r="EQ4" s="805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220" t="s">
        <v>81</v>
      </c>
      <c r="L5" s="786" t="s">
        <v>82</v>
      </c>
      <c r="M5" s="252" t="s">
        <v>136</v>
      </c>
      <c r="N5" s="251">
        <v>44649</v>
      </c>
      <c r="O5" s="249">
        <v>19059.82</v>
      </c>
      <c r="P5" s="246">
        <v>21</v>
      </c>
      <c r="Q5" s="921">
        <v>19129.7</v>
      </c>
      <c r="R5" s="140">
        <f>O5-Q5</f>
        <v>-69.880000000001019</v>
      </c>
      <c r="S5" s="577"/>
      <c r="T5" s="245"/>
      <c r="U5" s="253" t="s">
        <v>81</v>
      </c>
      <c r="V5" s="786" t="s">
        <v>82</v>
      </c>
      <c r="W5" s="252" t="s">
        <v>137</v>
      </c>
      <c r="X5" s="251">
        <v>44649</v>
      </c>
      <c r="Y5" s="249">
        <v>19101.150000000001</v>
      </c>
      <c r="Z5" s="246">
        <v>21</v>
      </c>
      <c r="AA5" s="921">
        <v>19151.900000000001</v>
      </c>
      <c r="AB5" s="140">
        <f>Y5-AA5</f>
        <v>-50.75</v>
      </c>
      <c r="AC5" s="577"/>
      <c r="AD5" s="245"/>
      <c r="AE5" s="253" t="s">
        <v>108</v>
      </c>
      <c r="AF5" s="897" t="s">
        <v>129</v>
      </c>
      <c r="AG5" s="252" t="s">
        <v>138</v>
      </c>
      <c r="AH5" s="248">
        <v>44649</v>
      </c>
      <c r="AI5" s="249">
        <v>18769.38</v>
      </c>
      <c r="AJ5" s="246">
        <v>20</v>
      </c>
      <c r="AK5" s="921">
        <v>18759.560000000001</v>
      </c>
      <c r="AL5" s="140">
        <f>AI5-AK5</f>
        <v>9.819999999999709</v>
      </c>
      <c r="AM5" s="577"/>
      <c r="AN5" s="245" t="s">
        <v>41</v>
      </c>
      <c r="AO5" s="245" t="s">
        <v>108</v>
      </c>
      <c r="AP5" s="897" t="s">
        <v>129</v>
      </c>
      <c r="AQ5" s="250" t="s">
        <v>139</v>
      </c>
      <c r="AR5" s="251">
        <v>44650</v>
      </c>
      <c r="AS5" s="249">
        <v>18710.88</v>
      </c>
      <c r="AT5" s="246">
        <v>20</v>
      </c>
      <c r="AU5" s="921">
        <v>18761.28</v>
      </c>
      <c r="AV5" s="140">
        <f>AS5-AU5</f>
        <v>-50.399999999997817</v>
      </c>
      <c r="AW5" s="577"/>
      <c r="AY5" s="245" t="s">
        <v>81</v>
      </c>
      <c r="AZ5" s="786" t="s">
        <v>141</v>
      </c>
      <c r="BA5" s="247" t="s">
        <v>142</v>
      </c>
      <c r="BB5" s="251">
        <v>44651</v>
      </c>
      <c r="BC5" s="249">
        <v>18562.5</v>
      </c>
      <c r="BD5" s="246">
        <v>21</v>
      </c>
      <c r="BE5" s="921">
        <v>18599.8</v>
      </c>
      <c r="BF5" s="140">
        <f>BC5-BE5</f>
        <v>-37.299999999999272</v>
      </c>
      <c r="BG5" s="577"/>
      <c r="BH5" s="245"/>
      <c r="BI5" s="1222" t="s">
        <v>81</v>
      </c>
      <c r="BJ5" s="786" t="s">
        <v>82</v>
      </c>
      <c r="BK5" s="247" t="s">
        <v>250</v>
      </c>
      <c r="BL5" s="248">
        <v>44652</v>
      </c>
      <c r="BM5" s="249">
        <v>18637.27</v>
      </c>
      <c r="BN5" s="246">
        <v>21</v>
      </c>
      <c r="BO5" s="921">
        <v>18669.900000000001</v>
      </c>
      <c r="BP5" s="140">
        <f>BM5-BO5</f>
        <v>-32.630000000001019</v>
      </c>
      <c r="BQ5" s="577"/>
      <c r="BR5" s="245"/>
      <c r="BS5" s="1225" t="s">
        <v>81</v>
      </c>
      <c r="BT5" s="940" t="s">
        <v>82</v>
      </c>
      <c r="BU5" s="250" t="s">
        <v>251</v>
      </c>
      <c r="BV5" s="251">
        <v>44652</v>
      </c>
      <c r="BW5" s="249">
        <v>18915.900000000001</v>
      </c>
      <c r="BX5" s="246">
        <v>21</v>
      </c>
      <c r="BY5" s="921">
        <v>18991.099999999999</v>
      </c>
      <c r="BZ5" s="140">
        <f>BW5-BY5</f>
        <v>-75.19999999999709</v>
      </c>
      <c r="CA5" s="325"/>
      <c r="CB5" s="325"/>
      <c r="CC5" s="253" t="s">
        <v>81</v>
      </c>
      <c r="CD5" s="940" t="s">
        <v>82</v>
      </c>
      <c r="CE5" s="250" t="s">
        <v>252</v>
      </c>
      <c r="CF5" s="251">
        <v>44656</v>
      </c>
      <c r="CG5" s="249">
        <v>18930.36</v>
      </c>
      <c r="CH5" s="246">
        <v>21</v>
      </c>
      <c r="CI5" s="921">
        <v>18921.5</v>
      </c>
      <c r="CJ5" s="140">
        <f>CG5-CI5</f>
        <v>8.8600000000005821</v>
      </c>
      <c r="CK5" s="325"/>
      <c r="CL5" s="325"/>
      <c r="CM5" s="1222" t="s">
        <v>81</v>
      </c>
      <c r="CN5" s="940" t="s">
        <v>82</v>
      </c>
      <c r="CO5" s="247" t="s">
        <v>253</v>
      </c>
      <c r="CP5" s="251">
        <v>44656</v>
      </c>
      <c r="CQ5" s="249">
        <v>18404.07</v>
      </c>
      <c r="CR5" s="246">
        <v>21</v>
      </c>
      <c r="CS5" s="921">
        <v>19095.099999999999</v>
      </c>
      <c r="CT5" s="140">
        <f>CQ5-CS5</f>
        <v>-691.02999999999884</v>
      </c>
      <c r="CU5" s="577"/>
      <c r="CV5" s="245"/>
      <c r="CW5" s="253" t="s">
        <v>133</v>
      </c>
      <c r="CX5" s="897" t="s">
        <v>129</v>
      </c>
      <c r="CY5" s="247" t="s">
        <v>254</v>
      </c>
      <c r="CZ5" s="251">
        <v>44657</v>
      </c>
      <c r="DA5" s="249">
        <v>18864.62</v>
      </c>
      <c r="DB5" s="246">
        <v>20</v>
      </c>
      <c r="DC5" s="921">
        <v>18856.18</v>
      </c>
      <c r="DD5" s="140">
        <f>DA5-DC5</f>
        <v>8.4399999999986903</v>
      </c>
      <c r="DE5" s="577"/>
      <c r="DF5" s="245"/>
      <c r="DG5" s="245" t="s">
        <v>255</v>
      </c>
      <c r="DH5" s="940" t="s">
        <v>82</v>
      </c>
      <c r="DI5" s="250" t="s">
        <v>256</v>
      </c>
      <c r="DJ5" s="251">
        <v>44658</v>
      </c>
      <c r="DK5" s="249">
        <v>18877.55</v>
      </c>
      <c r="DL5" s="246">
        <v>21</v>
      </c>
      <c r="DM5" s="921">
        <v>18910.599999999999</v>
      </c>
      <c r="DN5" s="140">
        <f>DK5-DM5</f>
        <v>-33.049999999999272</v>
      </c>
      <c r="DO5" s="577"/>
      <c r="DP5" s="245"/>
      <c r="DQ5" s="1224" t="s">
        <v>133</v>
      </c>
      <c r="DR5" s="941" t="s">
        <v>129</v>
      </c>
      <c r="DS5" s="250" t="s">
        <v>257</v>
      </c>
      <c r="DT5" s="251">
        <v>44658</v>
      </c>
      <c r="DU5" s="249">
        <v>18529.87</v>
      </c>
      <c r="DV5" s="246">
        <v>20</v>
      </c>
      <c r="DW5" s="921">
        <v>18538.68</v>
      </c>
      <c r="DX5" s="140">
        <f>DU5-DW5</f>
        <v>-8.8100000000013097</v>
      </c>
      <c r="DY5" s="325"/>
      <c r="DZ5" s="245"/>
      <c r="EA5" s="245" t="s">
        <v>81</v>
      </c>
      <c r="EB5" s="786" t="s">
        <v>82</v>
      </c>
      <c r="EC5" s="250" t="s">
        <v>261</v>
      </c>
      <c r="ED5" s="251">
        <v>44659</v>
      </c>
      <c r="EE5" s="249">
        <v>18989.32</v>
      </c>
      <c r="EF5" s="246">
        <v>21</v>
      </c>
      <c r="EG5" s="921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6" t="s">
        <v>82</v>
      </c>
      <c r="EM5" s="252" t="s">
        <v>263</v>
      </c>
      <c r="EN5" s="251">
        <v>44659</v>
      </c>
      <c r="EO5" s="249">
        <v>18950.04</v>
      </c>
      <c r="EP5" s="246">
        <v>21</v>
      </c>
      <c r="EQ5" s="1074">
        <v>19029.3</v>
      </c>
      <c r="ER5" s="140">
        <f>EO5-EQ5</f>
        <v>-79.259999999998399</v>
      </c>
      <c r="ES5" s="577"/>
      <c r="ET5" s="245"/>
      <c r="EU5" s="1222" t="s">
        <v>265</v>
      </c>
      <c r="EV5" s="1004" t="s">
        <v>82</v>
      </c>
      <c r="EW5" s="250" t="s">
        <v>266</v>
      </c>
      <c r="EX5" s="251">
        <v>44660</v>
      </c>
      <c r="EY5" s="249">
        <v>18226.29</v>
      </c>
      <c r="EZ5" s="246">
        <v>21</v>
      </c>
      <c r="FA5" s="921">
        <v>18304.7</v>
      </c>
      <c r="FB5" s="140">
        <f>EY5-FA5</f>
        <v>-78.409999999999854</v>
      </c>
      <c r="FC5" s="577"/>
      <c r="FD5" s="245"/>
      <c r="FE5" s="245" t="s">
        <v>108</v>
      </c>
      <c r="FF5" s="897" t="s">
        <v>129</v>
      </c>
      <c r="FG5" s="250" t="s">
        <v>267</v>
      </c>
      <c r="FH5" s="251">
        <v>44664</v>
      </c>
      <c r="FI5" s="249">
        <v>18823.439999999999</v>
      </c>
      <c r="FJ5" s="246">
        <v>20</v>
      </c>
      <c r="FK5" s="1074">
        <v>18855.78</v>
      </c>
      <c r="FL5" s="140">
        <f>FI5-FK5</f>
        <v>-32.340000000000146</v>
      </c>
      <c r="FM5" s="577"/>
      <c r="FN5" s="245"/>
      <c r="FO5" s="515" t="s">
        <v>81</v>
      </c>
      <c r="FP5" s="786" t="s">
        <v>82</v>
      </c>
      <c r="FQ5" s="250" t="s">
        <v>268</v>
      </c>
      <c r="FR5" s="251">
        <v>44664</v>
      </c>
      <c r="FS5" s="249">
        <v>18713.740000000002</v>
      </c>
      <c r="FT5" s="246">
        <v>21</v>
      </c>
      <c r="FU5" s="921">
        <v>18766.8</v>
      </c>
      <c r="FV5" s="140">
        <f>FS5-FU5</f>
        <v>-53.059999999997672</v>
      </c>
      <c r="FW5" s="577"/>
      <c r="FX5" s="245"/>
      <c r="FY5" s="253" t="s">
        <v>81</v>
      </c>
      <c r="FZ5" s="786" t="s">
        <v>82</v>
      </c>
      <c r="GA5" s="252" t="s">
        <v>269</v>
      </c>
      <c r="GB5" s="251">
        <v>44665</v>
      </c>
      <c r="GC5" s="249">
        <v>18846.73</v>
      </c>
      <c r="GD5" s="246">
        <v>21</v>
      </c>
      <c r="GE5" s="921">
        <v>18902.599999999999</v>
      </c>
      <c r="GF5" s="140">
        <f>GC5-GE5</f>
        <v>-55.869999999998981</v>
      </c>
      <c r="GG5" s="577"/>
      <c r="GH5" s="245"/>
      <c r="GI5" s="1220" t="s">
        <v>313</v>
      </c>
      <c r="GJ5" s="1046" t="s">
        <v>314</v>
      </c>
      <c r="GK5" s="250" t="s">
        <v>315</v>
      </c>
      <c r="GL5" s="248">
        <v>44667</v>
      </c>
      <c r="GM5" s="249">
        <v>18754.439999999999</v>
      </c>
      <c r="GN5" s="246">
        <v>20</v>
      </c>
      <c r="GO5" s="921">
        <v>18739.5</v>
      </c>
      <c r="GP5" s="140">
        <f>GM5-GO5</f>
        <v>14.93999999999869</v>
      </c>
      <c r="GQ5" s="577"/>
      <c r="GR5" s="245"/>
      <c r="GS5" s="1222" t="s">
        <v>81</v>
      </c>
      <c r="GT5" s="786" t="s">
        <v>82</v>
      </c>
      <c r="GU5" s="246" t="s">
        <v>318</v>
      </c>
      <c r="GV5" s="248">
        <v>44670</v>
      </c>
      <c r="GW5" s="249">
        <v>18996.04</v>
      </c>
      <c r="GX5" s="246">
        <v>21</v>
      </c>
      <c r="GY5" s="921">
        <v>19071.5</v>
      </c>
      <c r="GZ5" s="140">
        <f>GW5-GY5</f>
        <v>-75.459999999999127</v>
      </c>
      <c r="HA5" s="577"/>
      <c r="HB5" s="245"/>
      <c r="HC5" s="1225" t="s">
        <v>81</v>
      </c>
      <c r="HD5" s="786" t="s">
        <v>82</v>
      </c>
      <c r="HE5" s="250" t="s">
        <v>319</v>
      </c>
      <c r="HF5" s="248">
        <v>44670</v>
      </c>
      <c r="HG5" s="249">
        <v>18881.98</v>
      </c>
      <c r="HH5" s="246">
        <v>21</v>
      </c>
      <c r="HI5" s="921">
        <v>18933</v>
      </c>
      <c r="HJ5" s="140">
        <f>HG5-HI5</f>
        <v>-51.020000000000437</v>
      </c>
      <c r="HK5" s="577"/>
      <c r="HL5" s="245"/>
      <c r="HM5" s="245" t="s">
        <v>108</v>
      </c>
      <c r="HN5" s="897" t="s">
        <v>129</v>
      </c>
      <c r="HO5" s="250" t="s">
        <v>320</v>
      </c>
      <c r="HP5" s="251">
        <v>44670</v>
      </c>
      <c r="HQ5" s="249">
        <v>18858.55</v>
      </c>
      <c r="HR5" s="246">
        <v>20</v>
      </c>
      <c r="HS5" s="1074">
        <v>18880.669999999998</v>
      </c>
      <c r="HT5" s="140">
        <f>HQ5-HS5</f>
        <v>-22.119999999998981</v>
      </c>
      <c r="HU5" s="577"/>
      <c r="HV5" s="245"/>
      <c r="HW5" s="1222" t="s">
        <v>108</v>
      </c>
      <c r="HX5" s="897" t="s">
        <v>129</v>
      </c>
      <c r="HY5" s="250" t="s">
        <v>321</v>
      </c>
      <c r="HZ5" s="251">
        <v>44671</v>
      </c>
      <c r="IA5" s="249">
        <v>18566.34</v>
      </c>
      <c r="IB5" s="246">
        <v>20</v>
      </c>
      <c r="IC5" s="921">
        <v>18685.25</v>
      </c>
      <c r="ID5" s="140">
        <f>IA5-IC5</f>
        <v>-118.90999999999985</v>
      </c>
      <c r="IE5" s="577"/>
      <c r="IF5" s="245"/>
      <c r="IG5" s="1222" t="s">
        <v>81</v>
      </c>
      <c r="IH5" s="786" t="s">
        <v>82</v>
      </c>
      <c r="II5" s="250" t="s">
        <v>498</v>
      </c>
      <c r="IJ5" s="251">
        <v>44672</v>
      </c>
      <c r="IK5" s="249">
        <v>18853.169999999998</v>
      </c>
      <c r="IL5" s="246">
        <v>21</v>
      </c>
      <c r="IM5" s="921">
        <v>18905.2</v>
      </c>
      <c r="IN5" s="140">
        <f>IK5-IM5</f>
        <v>-52.030000000002474</v>
      </c>
      <c r="IO5" s="577"/>
      <c r="IP5" s="245"/>
      <c r="IQ5" s="1222" t="s">
        <v>108</v>
      </c>
      <c r="IR5" s="1084" t="s">
        <v>129</v>
      </c>
      <c r="IS5" s="252" t="s">
        <v>499</v>
      </c>
      <c r="IT5" s="248">
        <v>44672</v>
      </c>
      <c r="IU5" s="249">
        <v>18501.439999999999</v>
      </c>
      <c r="IV5" s="246">
        <v>20</v>
      </c>
      <c r="IW5" s="921">
        <v>18520.03</v>
      </c>
      <c r="IX5" s="140">
        <f>IU5-IW5</f>
        <v>-18.590000000000146</v>
      </c>
      <c r="IY5" s="577"/>
      <c r="IZ5" s="245"/>
      <c r="JA5" s="245" t="s">
        <v>108</v>
      </c>
      <c r="JB5" s="897" t="s">
        <v>129</v>
      </c>
      <c r="JC5" s="252" t="s">
        <v>500</v>
      </c>
      <c r="JD5" s="251">
        <v>44673</v>
      </c>
      <c r="JE5" s="249">
        <v>18799.240000000002</v>
      </c>
      <c r="JF5" s="246">
        <v>20</v>
      </c>
      <c r="JG5" s="921">
        <v>18866.72</v>
      </c>
      <c r="JH5" s="140">
        <f>JE5-JG5</f>
        <v>-67.479999999999563</v>
      </c>
      <c r="JI5" s="577"/>
      <c r="JJ5" s="245"/>
      <c r="JK5" s="1224" t="s">
        <v>501</v>
      </c>
      <c r="JL5" s="1085" t="s">
        <v>82</v>
      </c>
      <c r="JM5" s="250" t="s">
        <v>502</v>
      </c>
      <c r="JN5" s="251">
        <v>44674</v>
      </c>
      <c r="JO5" s="249">
        <v>18794.849999999999</v>
      </c>
      <c r="JP5" s="246">
        <v>21</v>
      </c>
      <c r="JQ5" s="1074">
        <v>18814.2</v>
      </c>
      <c r="JR5" s="140">
        <f>JO5-JQ5</f>
        <v>-19.350000000002183</v>
      </c>
      <c r="JS5" s="577"/>
      <c r="JT5" s="245"/>
      <c r="JU5" s="253" t="s">
        <v>81</v>
      </c>
      <c r="JV5" s="786" t="s">
        <v>82</v>
      </c>
      <c r="JW5" s="252" t="s">
        <v>513</v>
      </c>
      <c r="JX5" s="251">
        <v>44677</v>
      </c>
      <c r="JY5" s="249">
        <v>19065.91</v>
      </c>
      <c r="JZ5" s="246">
        <v>21</v>
      </c>
      <c r="KA5" s="921">
        <v>19133.400000000001</v>
      </c>
      <c r="KB5" s="140">
        <f>JY5-KA5</f>
        <v>-67.490000000001601</v>
      </c>
      <c r="KC5" s="577"/>
      <c r="KD5" s="245"/>
      <c r="KE5" s="1220" t="s">
        <v>81</v>
      </c>
      <c r="KF5" s="786" t="s">
        <v>82</v>
      </c>
      <c r="KG5" s="252" t="s">
        <v>514</v>
      </c>
      <c r="KH5" s="251">
        <v>44678</v>
      </c>
      <c r="KI5" s="249">
        <v>18911.88</v>
      </c>
      <c r="KJ5" s="246">
        <v>21</v>
      </c>
      <c r="KK5" s="921">
        <v>19063.91</v>
      </c>
      <c r="KL5" s="140">
        <f>KI5-KK5</f>
        <v>-152.02999999999884</v>
      </c>
      <c r="KM5" s="577"/>
      <c r="KN5" s="245"/>
      <c r="KO5" s="253" t="s">
        <v>133</v>
      </c>
      <c r="KP5" s="897" t="s">
        <v>129</v>
      </c>
      <c r="KQ5" s="252" t="s">
        <v>515</v>
      </c>
      <c r="KR5" s="251">
        <v>44678</v>
      </c>
      <c r="KS5" s="249">
        <v>18554.240000000002</v>
      </c>
      <c r="KT5" s="246">
        <v>20</v>
      </c>
      <c r="KU5" s="921">
        <v>18558.55</v>
      </c>
      <c r="KV5" s="140">
        <f>KS5-KU5</f>
        <v>-4.3099999999976717</v>
      </c>
      <c r="KW5" s="577"/>
      <c r="KX5" s="245"/>
      <c r="KY5" s="253" t="s">
        <v>133</v>
      </c>
      <c r="KZ5" s="897" t="s">
        <v>129</v>
      </c>
      <c r="LA5" s="252" t="s">
        <v>516</v>
      </c>
      <c r="LB5" s="248">
        <v>44679</v>
      </c>
      <c r="LC5" s="249">
        <v>18745.28</v>
      </c>
      <c r="LD5" s="246">
        <v>20</v>
      </c>
      <c r="LE5" s="921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6" t="s">
        <v>82</v>
      </c>
      <c r="LK5" s="250" t="s">
        <v>517</v>
      </c>
      <c r="LL5" s="251">
        <v>44679</v>
      </c>
      <c r="LM5" s="249">
        <v>18929.88</v>
      </c>
      <c r="LN5" s="246">
        <v>21</v>
      </c>
      <c r="LO5" s="921">
        <v>19057.900000000001</v>
      </c>
      <c r="LP5" s="140">
        <f>LM5-LO5</f>
        <v>-128.02000000000044</v>
      </c>
      <c r="LQ5" s="577"/>
      <c r="LS5" s="245" t="s">
        <v>81</v>
      </c>
      <c r="LT5" s="786" t="s">
        <v>82</v>
      </c>
      <c r="LU5" s="247" t="s">
        <v>518</v>
      </c>
      <c r="LV5" s="251">
        <v>44680</v>
      </c>
      <c r="LW5" s="249">
        <v>18624.72</v>
      </c>
      <c r="LX5" s="246">
        <v>21</v>
      </c>
      <c r="LY5" s="921">
        <v>18710.5</v>
      </c>
      <c r="LZ5" s="140">
        <f>LW5-LY5</f>
        <v>-85.779999999998836</v>
      </c>
      <c r="MA5" s="577"/>
      <c r="MB5" s="325"/>
      <c r="MC5" s="245" t="s">
        <v>519</v>
      </c>
      <c r="MD5" s="1095" t="s">
        <v>520</v>
      </c>
      <c r="ME5" s="247" t="s">
        <v>521</v>
      </c>
      <c r="MF5" s="248">
        <v>44680</v>
      </c>
      <c r="MG5" s="249">
        <v>17884.490000000002</v>
      </c>
      <c r="MH5" s="246">
        <v>20</v>
      </c>
      <c r="MI5" s="921">
        <v>17866.66</v>
      </c>
      <c r="MJ5" s="140">
        <f>MG5-MI5</f>
        <v>17.830000000001746</v>
      </c>
      <c r="MK5" s="140"/>
      <c r="MM5" s="245" t="s">
        <v>108</v>
      </c>
      <c r="MN5" s="897" t="s">
        <v>129</v>
      </c>
      <c r="MO5" s="250" t="s">
        <v>522</v>
      </c>
      <c r="MP5" s="248">
        <v>44680</v>
      </c>
      <c r="MQ5" s="249">
        <v>18396.009999999998</v>
      </c>
      <c r="MR5" s="246">
        <v>20</v>
      </c>
      <c r="MS5" s="921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220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222"/>
      <c r="BJ6" s="936"/>
      <c r="BK6" s="245"/>
      <c r="BL6" s="245"/>
      <c r="BM6" s="245"/>
      <c r="BN6" s="245"/>
      <c r="BO6" s="246"/>
      <c r="BP6" s="245"/>
      <c r="BQ6" s="325"/>
      <c r="BR6" s="245"/>
      <c r="BS6" s="1225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222"/>
      <c r="CN6" s="622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224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222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220"/>
      <c r="GJ6" s="257"/>
      <c r="GK6" s="245"/>
      <c r="GL6" s="245"/>
      <c r="GM6" s="245"/>
      <c r="GN6" s="245"/>
      <c r="GO6" s="246"/>
      <c r="GP6" s="245"/>
      <c r="GQ6" s="325"/>
      <c r="GR6" s="245"/>
      <c r="GS6" s="1222"/>
      <c r="GT6" s="254"/>
      <c r="GU6" s="245"/>
      <c r="GV6" s="245"/>
      <c r="GW6" s="245"/>
      <c r="GX6" s="245"/>
      <c r="GY6" s="246"/>
      <c r="GZ6" s="245"/>
      <c r="HA6" s="325"/>
      <c r="HB6" s="245"/>
      <c r="HC6" s="1225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222"/>
      <c r="HX6" s="245"/>
      <c r="HY6" s="245"/>
      <c r="HZ6" s="245"/>
      <c r="IA6" s="245"/>
      <c r="IB6" s="245"/>
      <c r="IC6" s="246"/>
      <c r="ID6" s="245"/>
      <c r="IE6" s="325"/>
      <c r="IF6" s="245"/>
      <c r="IG6" s="1222"/>
      <c r="IH6" s="245"/>
      <c r="II6" s="245"/>
      <c r="IJ6" s="245"/>
      <c r="IK6" s="245"/>
      <c r="IL6" s="245"/>
      <c r="IM6" s="246"/>
      <c r="IN6" s="245"/>
      <c r="IO6" s="325"/>
      <c r="IP6" s="245"/>
      <c r="IQ6" s="1222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224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220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0"/>
      <c r="OL6" s="257"/>
      <c r="OM6" s="245"/>
      <c r="ON6" s="245"/>
      <c r="OO6" s="245"/>
      <c r="OP6" s="245"/>
      <c r="OQ6" s="246"/>
      <c r="OU6" s="600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83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52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357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337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351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366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379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340</v>
      </c>
      <c r="BP8" s="826">
        <v>38</v>
      </c>
      <c r="BQ8" s="746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383</v>
      </c>
      <c r="BZ8" s="383">
        <v>38</v>
      </c>
      <c r="CA8" s="573">
        <f>BZ8*BX8</f>
        <v>34819.4</v>
      </c>
      <c r="CC8" s="61"/>
      <c r="CD8" s="772"/>
      <c r="CE8" s="15">
        <v>1</v>
      </c>
      <c r="CF8" s="92">
        <v>899.9</v>
      </c>
      <c r="CG8" s="381">
        <v>44656</v>
      </c>
      <c r="CH8" s="1064">
        <v>899.9</v>
      </c>
      <c r="CI8" s="384" t="s">
        <v>389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7" t="s">
        <v>360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400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408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342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420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436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443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460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469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477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474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7">
        <v>897.7</v>
      </c>
      <c r="GY8" s="322" t="s">
        <v>485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492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481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489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>
        <v>44673</v>
      </c>
      <c r="IL8" s="69">
        <v>920.8</v>
      </c>
      <c r="IM8" s="70" t="s">
        <v>553</v>
      </c>
      <c r="IN8" s="71">
        <v>42</v>
      </c>
      <c r="IO8" s="573">
        <f>IN8*IL8</f>
        <v>38673.599999999999</v>
      </c>
      <c r="IQ8" s="755"/>
      <c r="IR8" s="106"/>
      <c r="IS8" s="15">
        <v>1</v>
      </c>
      <c r="IT8" s="282">
        <v>913.8</v>
      </c>
      <c r="IU8" s="248">
        <v>44672</v>
      </c>
      <c r="IV8" s="282">
        <v>913.8</v>
      </c>
      <c r="IW8" s="505" t="s">
        <v>544</v>
      </c>
      <c r="IX8" s="269">
        <v>42</v>
      </c>
      <c r="IY8" s="325">
        <f>IX8*IV8</f>
        <v>38379.599999999999</v>
      </c>
      <c r="IZ8" s="92"/>
      <c r="JA8" s="61"/>
      <c r="JB8" s="106"/>
      <c r="JC8" s="15">
        <v>1</v>
      </c>
      <c r="JD8" s="92">
        <v>972.95</v>
      </c>
      <c r="JE8" s="339">
        <v>44674</v>
      </c>
      <c r="JF8" s="92">
        <v>972.95</v>
      </c>
      <c r="JG8" s="268" t="s">
        <v>555</v>
      </c>
      <c r="JH8" s="71">
        <v>43</v>
      </c>
      <c r="JI8" s="573">
        <f>JH8*JF8</f>
        <v>41836.85</v>
      </c>
      <c r="JJ8" s="387"/>
      <c r="JK8" s="388"/>
      <c r="JL8" s="389"/>
      <c r="JM8" s="15">
        <v>1</v>
      </c>
      <c r="JN8" s="92">
        <v>902.6</v>
      </c>
      <c r="JO8" s="327">
        <v>44674</v>
      </c>
      <c r="JP8" s="92">
        <v>902.6</v>
      </c>
      <c r="JQ8" s="70" t="s">
        <v>562</v>
      </c>
      <c r="JR8" s="71">
        <v>43</v>
      </c>
      <c r="JS8" s="573">
        <f>JR8*JP8</f>
        <v>38811.800000000003</v>
      </c>
      <c r="JU8" s="61"/>
      <c r="JV8" s="106"/>
      <c r="JW8" s="15">
        <v>1</v>
      </c>
      <c r="JX8" s="92">
        <v>902.6</v>
      </c>
      <c r="JY8" s="339">
        <v>44677</v>
      </c>
      <c r="JZ8" s="282">
        <v>902.6</v>
      </c>
      <c r="KA8" s="70" t="s">
        <v>576</v>
      </c>
      <c r="KB8" s="71">
        <v>44</v>
      </c>
      <c r="KC8" s="573">
        <f>KB8*JZ8</f>
        <v>39714.400000000001</v>
      </c>
      <c r="KE8" s="952"/>
      <c r="KF8" s="984"/>
      <c r="KG8" s="15">
        <v>1</v>
      </c>
      <c r="KH8" s="92">
        <v>897.2</v>
      </c>
      <c r="KI8" s="339">
        <v>44678</v>
      </c>
      <c r="KJ8" s="282">
        <v>897.2</v>
      </c>
      <c r="KK8" s="70" t="s">
        <v>586</v>
      </c>
      <c r="KL8" s="71">
        <v>45</v>
      </c>
      <c r="KM8" s="573">
        <f>KL8*KJ8</f>
        <v>40374</v>
      </c>
      <c r="KO8" s="61"/>
      <c r="KP8" s="106"/>
      <c r="KQ8" s="15">
        <v>1</v>
      </c>
      <c r="KR8" s="92">
        <v>930.31</v>
      </c>
      <c r="KS8" s="339">
        <v>44678</v>
      </c>
      <c r="KT8" s="282">
        <v>930.31</v>
      </c>
      <c r="KU8" s="70" t="s">
        <v>577</v>
      </c>
      <c r="KV8" s="71">
        <v>45</v>
      </c>
      <c r="KW8" s="573">
        <f>KV8*KT8</f>
        <v>41863.949999999997</v>
      </c>
      <c r="KY8" s="61"/>
      <c r="KZ8" s="106"/>
      <c r="LA8" s="15">
        <v>1</v>
      </c>
      <c r="LB8" s="92">
        <v>944.37</v>
      </c>
      <c r="LC8" s="327">
        <v>44679</v>
      </c>
      <c r="LD8" s="92">
        <v>944.37</v>
      </c>
      <c r="LE8" s="95" t="s">
        <v>594</v>
      </c>
      <c r="LF8" s="71">
        <v>46</v>
      </c>
      <c r="LG8" s="573">
        <f>LF8*LD8</f>
        <v>43441.02</v>
      </c>
      <c r="LI8" s="61"/>
      <c r="LJ8" s="106"/>
      <c r="LK8" s="15">
        <v>1</v>
      </c>
      <c r="LL8" s="92">
        <v>920.8</v>
      </c>
      <c r="LM8" s="327">
        <v>44679</v>
      </c>
      <c r="LN8" s="282">
        <v>920.8</v>
      </c>
      <c r="LO8" s="95" t="s">
        <v>596</v>
      </c>
      <c r="LP8" s="71">
        <v>46</v>
      </c>
      <c r="LQ8" s="573">
        <f>LP8*LN8</f>
        <v>42356.799999999996</v>
      </c>
      <c r="LS8" s="61"/>
      <c r="LT8" s="106"/>
      <c r="LU8" s="15">
        <v>1</v>
      </c>
      <c r="LV8" s="92">
        <v>930.8</v>
      </c>
      <c r="LW8" s="327">
        <v>44682</v>
      </c>
      <c r="LX8" s="92">
        <v>930.8</v>
      </c>
      <c r="LY8" s="95" t="s">
        <v>608</v>
      </c>
      <c r="LZ8" s="71">
        <v>46</v>
      </c>
      <c r="MA8" s="573">
        <f>LZ8*LX8</f>
        <v>42816.799999999996</v>
      </c>
      <c r="MB8" s="573"/>
      <c r="MC8" s="61"/>
      <c r="MD8" s="106"/>
      <c r="ME8" s="15">
        <v>1</v>
      </c>
      <c r="MF8" s="379">
        <v>922.9</v>
      </c>
      <c r="MG8" s="327">
        <v>44680</v>
      </c>
      <c r="MH8" s="379">
        <v>922.9</v>
      </c>
      <c r="MI8" s="95" t="s">
        <v>566</v>
      </c>
      <c r="MJ8" s="71">
        <v>46</v>
      </c>
      <c r="MK8" s="71">
        <f>MJ8*MH8</f>
        <v>42453.4</v>
      </c>
      <c r="MM8" s="61"/>
      <c r="MN8" s="106"/>
      <c r="MO8" s="15">
        <v>1</v>
      </c>
      <c r="MP8" s="92">
        <v>941.65</v>
      </c>
      <c r="MQ8" s="327">
        <v>44680</v>
      </c>
      <c r="MR8" s="92">
        <v>941.65</v>
      </c>
      <c r="MS8" s="95" t="s">
        <v>600</v>
      </c>
      <c r="MT8" s="71">
        <v>46</v>
      </c>
      <c r="MU8" s="71">
        <f>MT8*MR8</f>
        <v>43315.9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357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337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351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366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379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340</v>
      </c>
      <c r="BP9" s="826">
        <v>38</v>
      </c>
      <c r="BQ9" s="746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383</v>
      </c>
      <c r="BZ9" s="383">
        <v>38</v>
      </c>
      <c r="CA9" s="573">
        <f t="shared" ref="CA9:CA28" si="13">BZ9*BX9</f>
        <v>34747.199999999997</v>
      </c>
      <c r="CD9" s="772"/>
      <c r="CE9" s="15">
        <v>2</v>
      </c>
      <c r="CF9" s="92">
        <v>899.9</v>
      </c>
      <c r="CG9" s="381">
        <v>44656</v>
      </c>
      <c r="CH9" s="1064">
        <v>899.9</v>
      </c>
      <c r="CI9" s="384" t="s">
        <v>389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360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400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343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342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420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429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437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460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469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477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474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485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496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481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423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>
        <v>44673</v>
      </c>
      <c r="IL9" s="69">
        <v>894.5</v>
      </c>
      <c r="IM9" s="70" t="s">
        <v>553</v>
      </c>
      <c r="IN9" s="71">
        <v>42</v>
      </c>
      <c r="IO9" s="573">
        <f t="shared" ref="IO9:IO29" si="28">IN9*IL9</f>
        <v>37569</v>
      </c>
      <c r="IQ9" s="756"/>
      <c r="IR9" s="94"/>
      <c r="IS9" s="15">
        <v>2</v>
      </c>
      <c r="IT9" s="282">
        <v>884.5</v>
      </c>
      <c r="IU9" s="248">
        <v>44672</v>
      </c>
      <c r="IV9" s="282">
        <v>884.5</v>
      </c>
      <c r="IW9" s="505" t="s">
        <v>544</v>
      </c>
      <c r="IX9" s="269">
        <v>42</v>
      </c>
      <c r="IY9" s="325">
        <f t="shared" ref="IY9:IY29" si="29">IX9*IV9</f>
        <v>37149</v>
      </c>
      <c r="IZ9" s="92"/>
      <c r="JA9" s="92"/>
      <c r="JB9" s="94"/>
      <c r="JC9" s="15">
        <v>2</v>
      </c>
      <c r="JD9" s="92">
        <v>966.6</v>
      </c>
      <c r="JE9" s="339">
        <v>44674</v>
      </c>
      <c r="JF9" s="92">
        <v>966.6</v>
      </c>
      <c r="JG9" s="268" t="s">
        <v>559</v>
      </c>
      <c r="JH9" s="71">
        <v>43</v>
      </c>
      <c r="JI9" s="573">
        <f t="shared" ref="JI9:JI29" si="30">JH9*JF9</f>
        <v>41563.800000000003</v>
      </c>
      <c r="JJ9" s="69"/>
      <c r="JL9" s="94"/>
      <c r="JM9" s="15">
        <v>2</v>
      </c>
      <c r="JN9" s="92">
        <v>920.8</v>
      </c>
      <c r="JO9" s="327">
        <v>44674</v>
      </c>
      <c r="JP9" s="92">
        <v>920.8</v>
      </c>
      <c r="JQ9" s="70" t="s">
        <v>562</v>
      </c>
      <c r="JR9" s="71">
        <v>43</v>
      </c>
      <c r="JS9" s="573">
        <f t="shared" ref="JS9:JS27" si="31">JR9*JP9</f>
        <v>39594.400000000001</v>
      </c>
      <c r="JV9" s="106"/>
      <c r="JW9" s="15">
        <v>2</v>
      </c>
      <c r="JX9" s="69">
        <v>906.3</v>
      </c>
      <c r="JY9" s="339">
        <v>44677</v>
      </c>
      <c r="JZ9" s="69">
        <v>906.3</v>
      </c>
      <c r="KA9" s="70" t="s">
        <v>576</v>
      </c>
      <c r="KB9" s="71">
        <v>44</v>
      </c>
      <c r="KC9" s="573">
        <f t="shared" ref="KC9:KC28" si="32">KB9*JZ9</f>
        <v>39877.199999999997</v>
      </c>
      <c r="KE9" s="245"/>
      <c r="KF9" s="984"/>
      <c r="KG9" s="15">
        <v>2</v>
      </c>
      <c r="KH9" s="69">
        <v>898.1</v>
      </c>
      <c r="KI9" s="339">
        <v>44678</v>
      </c>
      <c r="KJ9" s="69">
        <v>898.1</v>
      </c>
      <c r="KK9" s="70" t="s">
        <v>586</v>
      </c>
      <c r="KL9" s="71">
        <v>45</v>
      </c>
      <c r="KM9" s="573">
        <f t="shared" ref="KM9:KM28" si="33">KL9*KJ9</f>
        <v>40414.5</v>
      </c>
      <c r="KP9" s="106"/>
      <c r="KQ9" s="15">
        <v>2</v>
      </c>
      <c r="KR9" s="69">
        <v>930.77</v>
      </c>
      <c r="KS9" s="339">
        <v>44678</v>
      </c>
      <c r="KT9" s="69">
        <v>930.77</v>
      </c>
      <c r="KU9" s="70" t="s">
        <v>577</v>
      </c>
      <c r="KV9" s="71">
        <v>45</v>
      </c>
      <c r="KW9" s="573">
        <f t="shared" ref="KW9:KW28" si="34">KV9*KT9</f>
        <v>41884.65</v>
      </c>
      <c r="KZ9" s="94"/>
      <c r="LA9" s="15">
        <v>2</v>
      </c>
      <c r="LB9" s="92">
        <v>940.29</v>
      </c>
      <c r="LC9" s="327">
        <v>44679</v>
      </c>
      <c r="LD9" s="92">
        <v>940.29</v>
      </c>
      <c r="LE9" s="95" t="s">
        <v>594</v>
      </c>
      <c r="LF9" s="71">
        <v>46</v>
      </c>
      <c r="LG9" s="573">
        <f t="shared" ref="LG9:LG28" si="35">LF9*LD9</f>
        <v>43253.34</v>
      </c>
      <c r="LJ9" s="94"/>
      <c r="LK9" s="15">
        <v>2</v>
      </c>
      <c r="LL9" s="92">
        <v>924.4</v>
      </c>
      <c r="LM9" s="327">
        <v>44679</v>
      </c>
      <c r="LN9" s="92">
        <v>924.4</v>
      </c>
      <c r="LO9" s="95" t="s">
        <v>596</v>
      </c>
      <c r="LP9" s="71">
        <v>46</v>
      </c>
      <c r="LQ9" s="573">
        <f t="shared" ref="LQ9:LQ29" si="36">LP9*LN9</f>
        <v>42522.400000000001</v>
      </c>
      <c r="LT9" s="94"/>
      <c r="LU9" s="15">
        <v>2</v>
      </c>
      <c r="LV9" s="92">
        <v>874.5</v>
      </c>
      <c r="LW9" s="327">
        <v>44682</v>
      </c>
      <c r="LX9" s="92">
        <v>874.5</v>
      </c>
      <c r="LY9" s="95" t="s">
        <v>608</v>
      </c>
      <c r="LZ9" s="71">
        <v>46</v>
      </c>
      <c r="MA9" s="573">
        <f t="shared" ref="MA9:MA29" si="37">LZ9*LX9</f>
        <v>40227</v>
      </c>
      <c r="MB9" s="573"/>
      <c r="MD9" s="94"/>
      <c r="ME9" s="15">
        <v>2</v>
      </c>
      <c r="MF9" s="392">
        <v>876.19</v>
      </c>
      <c r="MG9" s="327">
        <v>44680</v>
      </c>
      <c r="MH9" s="392">
        <v>876.19</v>
      </c>
      <c r="MI9" s="95" t="s">
        <v>566</v>
      </c>
      <c r="MJ9" s="71">
        <v>46</v>
      </c>
      <c r="MK9" s="71">
        <f t="shared" ref="MK9:MK28" si="38">MJ9*MH9</f>
        <v>40304.740000000005</v>
      </c>
      <c r="MN9" s="94"/>
      <c r="MO9" s="15">
        <v>2</v>
      </c>
      <c r="MP9" s="92">
        <v>954.81</v>
      </c>
      <c r="MQ9" s="327">
        <v>44680</v>
      </c>
      <c r="MR9" s="92">
        <v>954.81</v>
      </c>
      <c r="MS9" s="95" t="s">
        <v>600</v>
      </c>
      <c r="MT9" s="71">
        <v>46</v>
      </c>
      <c r="MU9" s="71">
        <f t="shared" ref="MU9:MU28" si="39">MT9*MR9</f>
        <v>43921.259999999995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357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337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351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339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379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340</v>
      </c>
      <c r="BP10" s="826">
        <v>38</v>
      </c>
      <c r="BQ10" s="746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370</v>
      </c>
      <c r="BZ10" s="383">
        <v>38</v>
      </c>
      <c r="CA10" s="573">
        <f t="shared" si="13"/>
        <v>33094.199999999997</v>
      </c>
      <c r="CD10" s="772"/>
      <c r="CE10" s="15">
        <v>3</v>
      </c>
      <c r="CF10" s="92">
        <v>902.6</v>
      </c>
      <c r="CG10" s="381">
        <v>44656</v>
      </c>
      <c r="CH10" s="92">
        <v>902.6</v>
      </c>
      <c r="CI10" s="384" t="s">
        <v>388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395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400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408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403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420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436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439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457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469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477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474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485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493</v>
      </c>
      <c r="HJ10" s="269">
        <v>42</v>
      </c>
      <c r="HK10" s="573">
        <f t="shared" si="26"/>
        <v>36233.4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481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490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>
        <v>44673</v>
      </c>
      <c r="IL10" s="69">
        <v>909</v>
      </c>
      <c r="IM10" s="70" t="s">
        <v>552</v>
      </c>
      <c r="IN10" s="71">
        <v>42</v>
      </c>
      <c r="IO10" s="573">
        <f t="shared" si="28"/>
        <v>38178</v>
      </c>
      <c r="IQ10" s="757"/>
      <c r="IR10" s="94"/>
      <c r="IS10" s="15">
        <v>3</v>
      </c>
      <c r="IT10" s="282">
        <v>892.21</v>
      </c>
      <c r="IU10" s="248">
        <v>44672</v>
      </c>
      <c r="IV10" s="282">
        <v>892.21</v>
      </c>
      <c r="IW10" s="505" t="s">
        <v>544</v>
      </c>
      <c r="IX10" s="269">
        <v>42</v>
      </c>
      <c r="IY10" s="325">
        <f t="shared" si="29"/>
        <v>37472.82</v>
      </c>
      <c r="IZ10" s="92"/>
      <c r="JA10" s="69"/>
      <c r="JB10" s="94"/>
      <c r="JC10" s="15">
        <v>3</v>
      </c>
      <c r="JD10" s="92">
        <v>959.8</v>
      </c>
      <c r="JE10" s="339">
        <v>44674</v>
      </c>
      <c r="JF10" s="92">
        <v>959.8</v>
      </c>
      <c r="JG10" s="268" t="s">
        <v>559</v>
      </c>
      <c r="JH10" s="71">
        <v>43</v>
      </c>
      <c r="JI10" s="573">
        <f t="shared" si="30"/>
        <v>41271.4</v>
      </c>
      <c r="JJ10" s="69"/>
      <c r="JL10" s="94"/>
      <c r="JM10" s="15">
        <v>3</v>
      </c>
      <c r="JN10" s="92">
        <v>870.9</v>
      </c>
      <c r="JO10" s="327">
        <v>44674</v>
      </c>
      <c r="JP10" s="92">
        <v>870.9</v>
      </c>
      <c r="JQ10" s="70" t="s">
        <v>561</v>
      </c>
      <c r="JR10" s="71">
        <v>43</v>
      </c>
      <c r="JS10" s="573">
        <f t="shared" si="31"/>
        <v>37448.699999999997</v>
      </c>
      <c r="JV10" s="106"/>
      <c r="JW10" s="15">
        <v>3</v>
      </c>
      <c r="JX10" s="69">
        <v>907.2</v>
      </c>
      <c r="JY10" s="339">
        <v>44677</v>
      </c>
      <c r="JZ10" s="69">
        <v>907.2</v>
      </c>
      <c r="KA10" s="70" t="s">
        <v>576</v>
      </c>
      <c r="KB10" s="71">
        <v>44</v>
      </c>
      <c r="KC10" s="573">
        <f t="shared" si="32"/>
        <v>39916.800000000003</v>
      </c>
      <c r="KE10" s="245"/>
      <c r="KF10" s="984"/>
      <c r="KG10" s="15">
        <v>3</v>
      </c>
      <c r="KH10" s="69">
        <v>904.5</v>
      </c>
      <c r="KI10" s="339">
        <v>44678</v>
      </c>
      <c r="KJ10" s="69">
        <v>904.5</v>
      </c>
      <c r="KK10" s="70" t="s">
        <v>586</v>
      </c>
      <c r="KL10" s="71">
        <v>45</v>
      </c>
      <c r="KM10" s="573">
        <f t="shared" si="33"/>
        <v>40702.5</v>
      </c>
      <c r="KP10" s="106"/>
      <c r="KQ10" s="15">
        <v>3</v>
      </c>
      <c r="KR10" s="69">
        <v>928.95</v>
      </c>
      <c r="KS10" s="339">
        <v>44678</v>
      </c>
      <c r="KT10" s="69">
        <v>928.95</v>
      </c>
      <c r="KU10" s="70" t="s">
        <v>577</v>
      </c>
      <c r="KV10" s="71">
        <v>45</v>
      </c>
      <c r="KW10" s="573">
        <f t="shared" si="34"/>
        <v>41802.75</v>
      </c>
      <c r="KZ10" s="94"/>
      <c r="LA10" s="15">
        <v>3</v>
      </c>
      <c r="LB10" s="92">
        <v>928.04</v>
      </c>
      <c r="LC10" s="327">
        <v>44679</v>
      </c>
      <c r="LD10" s="92">
        <v>928.04</v>
      </c>
      <c r="LE10" s="95" t="s">
        <v>594</v>
      </c>
      <c r="LF10" s="71">
        <v>46</v>
      </c>
      <c r="LG10" s="573">
        <f t="shared" si="35"/>
        <v>42689.84</v>
      </c>
      <c r="LJ10" s="94"/>
      <c r="LK10" s="15">
        <v>3</v>
      </c>
      <c r="LL10" s="92">
        <v>887.2</v>
      </c>
      <c r="LM10" s="327">
        <v>44679</v>
      </c>
      <c r="LN10" s="92">
        <v>887.2</v>
      </c>
      <c r="LO10" s="95" t="s">
        <v>596</v>
      </c>
      <c r="LP10" s="71">
        <v>46</v>
      </c>
      <c r="LQ10" s="573">
        <f t="shared" si="36"/>
        <v>40811.200000000004</v>
      </c>
      <c r="LT10" s="94"/>
      <c r="LU10" s="15">
        <v>3</v>
      </c>
      <c r="LV10" s="92">
        <v>893.6</v>
      </c>
      <c r="LW10" s="327">
        <v>44682</v>
      </c>
      <c r="LX10" s="92">
        <v>893.6</v>
      </c>
      <c r="LY10" s="95" t="s">
        <v>608</v>
      </c>
      <c r="LZ10" s="71">
        <v>46</v>
      </c>
      <c r="MA10" s="573">
        <f t="shared" si="37"/>
        <v>41105.599999999999</v>
      </c>
      <c r="MB10" s="573"/>
      <c r="MD10" s="94"/>
      <c r="ME10" s="15">
        <v>3</v>
      </c>
      <c r="MF10" s="392">
        <v>912.02</v>
      </c>
      <c r="MG10" s="327">
        <v>44680</v>
      </c>
      <c r="MH10" s="392">
        <v>912.02</v>
      </c>
      <c r="MI10" s="95" t="s">
        <v>566</v>
      </c>
      <c r="MJ10" s="71">
        <v>46</v>
      </c>
      <c r="MK10" s="71">
        <f t="shared" si="38"/>
        <v>41952.92</v>
      </c>
      <c r="MN10" s="94"/>
      <c r="MO10" s="15">
        <v>3</v>
      </c>
      <c r="MP10" s="92">
        <v>928.95</v>
      </c>
      <c r="MQ10" s="327">
        <v>44680</v>
      </c>
      <c r="MR10" s="92">
        <v>928.95</v>
      </c>
      <c r="MS10" s="95" t="s">
        <v>600</v>
      </c>
      <c r="MT10" s="71">
        <v>46</v>
      </c>
      <c r="MU10" s="71">
        <f t="shared" si="39"/>
        <v>42731.700000000004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52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364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337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351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366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379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340</v>
      </c>
      <c r="BP11" s="826">
        <v>38</v>
      </c>
      <c r="BQ11" s="746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383</v>
      </c>
      <c r="BZ11" s="383">
        <v>38</v>
      </c>
      <c r="CA11" s="573">
        <f t="shared" si="13"/>
        <v>34956.199999999997</v>
      </c>
      <c r="CC11" s="61"/>
      <c r="CD11" s="772"/>
      <c r="CE11" s="15">
        <v>4</v>
      </c>
      <c r="CF11" s="92">
        <v>907.2</v>
      </c>
      <c r="CG11" s="381">
        <v>44656</v>
      </c>
      <c r="CH11" s="92">
        <v>907.2</v>
      </c>
      <c r="CI11" s="384" t="s">
        <v>390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394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400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408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342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420</v>
      </c>
      <c r="EH11" s="71">
        <v>38</v>
      </c>
      <c r="EI11" s="573">
        <f t="shared" si="18"/>
        <v>33128.400000000001</v>
      </c>
      <c r="EK11" s="812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429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443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458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469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477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474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484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>
        <v>44673</v>
      </c>
      <c r="HH11" s="282">
        <v>935.3</v>
      </c>
      <c r="HI11" s="322" t="s">
        <v>545</v>
      </c>
      <c r="HJ11" s="269">
        <v>42</v>
      </c>
      <c r="HK11" s="573">
        <f t="shared" si="26"/>
        <v>39282.6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481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489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>
        <v>44673</v>
      </c>
      <c r="IL11" s="69">
        <v>897.2</v>
      </c>
      <c r="IM11" s="70" t="s">
        <v>553</v>
      </c>
      <c r="IN11" s="71">
        <v>42</v>
      </c>
      <c r="IO11" s="573">
        <f t="shared" si="28"/>
        <v>37682.400000000001</v>
      </c>
      <c r="IQ11" s="758"/>
      <c r="IR11" s="106"/>
      <c r="IS11" s="15">
        <v>4</v>
      </c>
      <c r="IT11" s="282">
        <v>891.3</v>
      </c>
      <c r="IU11" s="248">
        <v>44672</v>
      </c>
      <c r="IV11" s="282">
        <v>891.3</v>
      </c>
      <c r="IW11" s="505" t="s">
        <v>544</v>
      </c>
      <c r="IX11" s="269">
        <v>42</v>
      </c>
      <c r="IY11" s="325">
        <f t="shared" si="29"/>
        <v>37434.6</v>
      </c>
      <c r="IZ11" s="92"/>
      <c r="JA11" s="69"/>
      <c r="JB11" s="106"/>
      <c r="JC11" s="15">
        <v>4</v>
      </c>
      <c r="JD11" s="92">
        <v>974.31</v>
      </c>
      <c r="JE11" s="339">
        <v>44674</v>
      </c>
      <c r="JF11" s="92">
        <v>974.31</v>
      </c>
      <c r="JG11" s="268" t="s">
        <v>554</v>
      </c>
      <c r="JH11" s="71">
        <v>43</v>
      </c>
      <c r="JI11" s="573">
        <f t="shared" si="30"/>
        <v>41895.329999999994</v>
      </c>
      <c r="JJ11" s="69"/>
      <c r="JK11" s="61"/>
      <c r="JL11" s="106"/>
      <c r="JM11" s="15">
        <v>4</v>
      </c>
      <c r="JN11" s="92">
        <v>870.9</v>
      </c>
      <c r="JO11" s="327">
        <v>44674</v>
      </c>
      <c r="JP11" s="92">
        <v>870.9</v>
      </c>
      <c r="JQ11" s="70" t="s">
        <v>561</v>
      </c>
      <c r="JR11" s="71">
        <v>43</v>
      </c>
      <c r="JS11" s="573">
        <f t="shared" si="31"/>
        <v>37448.699999999997</v>
      </c>
      <c r="JU11" s="61"/>
      <c r="JV11" s="106"/>
      <c r="JW11" s="15">
        <v>4</v>
      </c>
      <c r="JX11" s="69">
        <v>938.9</v>
      </c>
      <c r="JY11" s="339">
        <v>44677</v>
      </c>
      <c r="JZ11" s="69">
        <v>938.9</v>
      </c>
      <c r="KA11" s="70" t="s">
        <v>576</v>
      </c>
      <c r="KB11" s="71">
        <v>44</v>
      </c>
      <c r="KC11" s="573">
        <f t="shared" si="32"/>
        <v>41311.599999999999</v>
      </c>
      <c r="KE11" s="952"/>
      <c r="KF11" s="984"/>
      <c r="KG11" s="15">
        <v>4</v>
      </c>
      <c r="KH11" s="69">
        <v>928.5</v>
      </c>
      <c r="KI11" s="339">
        <v>44678</v>
      </c>
      <c r="KJ11" s="69">
        <v>928.5</v>
      </c>
      <c r="KK11" s="70" t="s">
        <v>586</v>
      </c>
      <c r="KL11" s="71">
        <v>45</v>
      </c>
      <c r="KM11" s="573">
        <f t="shared" si="33"/>
        <v>41782.5</v>
      </c>
      <c r="KO11" s="61"/>
      <c r="KP11" s="106"/>
      <c r="KQ11" s="15">
        <v>4</v>
      </c>
      <c r="KR11" s="69">
        <v>944.83</v>
      </c>
      <c r="KS11" s="339">
        <v>44678</v>
      </c>
      <c r="KT11" s="69">
        <v>944.83</v>
      </c>
      <c r="KU11" s="70" t="s">
        <v>577</v>
      </c>
      <c r="KV11" s="71">
        <v>45</v>
      </c>
      <c r="KW11" s="573">
        <f t="shared" si="34"/>
        <v>42517.35</v>
      </c>
      <c r="KY11" s="61"/>
      <c r="KZ11" s="106"/>
      <c r="LA11" s="15">
        <v>4</v>
      </c>
      <c r="LB11" s="92">
        <v>937.57</v>
      </c>
      <c r="LC11" s="327">
        <v>44679</v>
      </c>
      <c r="LD11" s="92">
        <v>937.57</v>
      </c>
      <c r="LE11" s="95" t="s">
        <v>594</v>
      </c>
      <c r="LF11" s="71">
        <v>46</v>
      </c>
      <c r="LG11" s="573">
        <f t="shared" si="35"/>
        <v>43128.22</v>
      </c>
      <c r="LI11" s="61"/>
      <c r="LJ11" s="106"/>
      <c r="LK11" s="15">
        <v>4</v>
      </c>
      <c r="LL11" s="92">
        <v>909.9</v>
      </c>
      <c r="LM11" s="327">
        <v>44679</v>
      </c>
      <c r="LN11" s="92">
        <v>909.9</v>
      </c>
      <c r="LO11" s="95" t="s">
        <v>596</v>
      </c>
      <c r="LP11" s="71">
        <v>46</v>
      </c>
      <c r="LQ11" s="573">
        <f t="shared" si="36"/>
        <v>41855.4</v>
      </c>
      <c r="LS11" s="61"/>
      <c r="LT11" s="106"/>
      <c r="LU11" s="15">
        <v>4</v>
      </c>
      <c r="LV11" s="92">
        <v>870</v>
      </c>
      <c r="LW11" s="327">
        <v>44682</v>
      </c>
      <c r="LX11" s="92">
        <v>870</v>
      </c>
      <c r="LY11" s="95" t="s">
        <v>609</v>
      </c>
      <c r="LZ11" s="71">
        <v>46</v>
      </c>
      <c r="MA11" s="573">
        <f t="shared" si="37"/>
        <v>40020</v>
      </c>
      <c r="MB11" s="573"/>
      <c r="MC11" s="61"/>
      <c r="MD11" s="106"/>
      <c r="ME11" s="15">
        <v>4</v>
      </c>
      <c r="MF11" s="392">
        <v>880.73</v>
      </c>
      <c r="MG11" s="327">
        <v>44680</v>
      </c>
      <c r="MH11" s="392">
        <v>880.73</v>
      </c>
      <c r="MI11" s="95" t="s">
        <v>566</v>
      </c>
      <c r="MJ11" s="71">
        <v>46</v>
      </c>
      <c r="MK11" s="71">
        <f t="shared" si="38"/>
        <v>40513.58</v>
      </c>
      <c r="MM11" s="61"/>
      <c r="MN11" s="106"/>
      <c r="MO11" s="15">
        <v>4</v>
      </c>
      <c r="MP11" s="92">
        <v>924.42</v>
      </c>
      <c r="MQ11" s="327">
        <v>44680</v>
      </c>
      <c r="MR11" s="92">
        <v>924.42</v>
      </c>
      <c r="MS11" s="95" t="s">
        <v>600</v>
      </c>
      <c r="MT11" s="71">
        <v>46</v>
      </c>
      <c r="MU11" s="71">
        <f t="shared" si="39"/>
        <v>42523.32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357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337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351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339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379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340</v>
      </c>
      <c r="BP12" s="826">
        <v>38</v>
      </c>
      <c r="BQ12" s="746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383</v>
      </c>
      <c r="BZ12" s="383">
        <v>38</v>
      </c>
      <c r="CA12" s="573">
        <f t="shared" si="13"/>
        <v>33162.6</v>
      </c>
      <c r="CD12" s="772"/>
      <c r="CE12" s="15">
        <v>5</v>
      </c>
      <c r="CF12" s="92">
        <v>887.2</v>
      </c>
      <c r="CG12" s="381">
        <v>44656</v>
      </c>
      <c r="CH12" s="1064">
        <v>887.2</v>
      </c>
      <c r="CI12" s="384" t="s">
        <v>389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393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400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408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342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419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436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443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452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469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477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474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485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493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481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488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>
        <v>44673</v>
      </c>
      <c r="IL12" s="69">
        <v>929.9</v>
      </c>
      <c r="IM12" s="70" t="s">
        <v>552</v>
      </c>
      <c r="IN12" s="71">
        <v>42</v>
      </c>
      <c r="IO12" s="573">
        <f t="shared" si="28"/>
        <v>39055.799999999996</v>
      </c>
      <c r="IQ12" s="757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544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>
        <v>44674</v>
      </c>
      <c r="JF12" s="282">
        <v>932.13</v>
      </c>
      <c r="JG12" s="268" t="s">
        <v>555</v>
      </c>
      <c r="JH12" s="71">
        <v>43</v>
      </c>
      <c r="JI12" s="573">
        <f t="shared" si="30"/>
        <v>40081.589999999997</v>
      </c>
      <c r="JJ12" s="69"/>
      <c r="JL12" s="106"/>
      <c r="JM12" s="15">
        <v>5</v>
      </c>
      <c r="JN12" s="92">
        <v>894.5</v>
      </c>
      <c r="JO12" s="327">
        <v>44674</v>
      </c>
      <c r="JP12" s="92">
        <v>894.5</v>
      </c>
      <c r="JQ12" s="70" t="s">
        <v>562</v>
      </c>
      <c r="JR12" s="71">
        <v>43</v>
      </c>
      <c r="JS12" s="573">
        <f t="shared" si="31"/>
        <v>38463.5</v>
      </c>
      <c r="JV12" s="106"/>
      <c r="JW12" s="15">
        <v>5</v>
      </c>
      <c r="JX12" s="69">
        <v>886.3</v>
      </c>
      <c r="JY12" s="339">
        <v>44677</v>
      </c>
      <c r="JZ12" s="69">
        <v>886.3</v>
      </c>
      <c r="KA12" s="70" t="s">
        <v>576</v>
      </c>
      <c r="KB12" s="71">
        <v>44</v>
      </c>
      <c r="KC12" s="573">
        <f t="shared" si="32"/>
        <v>38997.199999999997</v>
      </c>
      <c r="KE12" s="245"/>
      <c r="KF12" s="984"/>
      <c r="KG12" s="15">
        <v>5</v>
      </c>
      <c r="KH12" s="69">
        <v>885.4</v>
      </c>
      <c r="KI12" s="339">
        <v>44678</v>
      </c>
      <c r="KJ12" s="69">
        <v>885.4</v>
      </c>
      <c r="KK12" s="70" t="s">
        <v>586</v>
      </c>
      <c r="KL12" s="71">
        <v>45</v>
      </c>
      <c r="KM12" s="573">
        <f t="shared" si="33"/>
        <v>39843</v>
      </c>
      <c r="KP12" s="106"/>
      <c r="KQ12" s="15">
        <v>5</v>
      </c>
      <c r="KR12" s="69">
        <v>940.75</v>
      </c>
      <c r="KS12" s="339">
        <v>44678</v>
      </c>
      <c r="KT12" s="69">
        <v>940.75</v>
      </c>
      <c r="KU12" s="70" t="s">
        <v>577</v>
      </c>
      <c r="KV12" s="71">
        <v>45</v>
      </c>
      <c r="KW12" s="573">
        <f t="shared" si="34"/>
        <v>42333.75</v>
      </c>
      <c r="KZ12" s="106"/>
      <c r="LA12" s="15">
        <v>5</v>
      </c>
      <c r="LB12" s="92">
        <v>938.48</v>
      </c>
      <c r="LC12" s="327">
        <v>44679</v>
      </c>
      <c r="LD12" s="92">
        <v>938.48</v>
      </c>
      <c r="LE12" s="95" t="s">
        <v>594</v>
      </c>
      <c r="LF12" s="71">
        <v>46</v>
      </c>
      <c r="LG12" s="573">
        <f t="shared" si="35"/>
        <v>43170.080000000002</v>
      </c>
      <c r="LJ12" s="106"/>
      <c r="LK12" s="15">
        <v>5</v>
      </c>
      <c r="LL12" s="92">
        <v>889</v>
      </c>
      <c r="LM12" s="327">
        <v>44679</v>
      </c>
      <c r="LN12" s="92">
        <v>889</v>
      </c>
      <c r="LO12" s="95" t="s">
        <v>596</v>
      </c>
      <c r="LP12" s="71">
        <v>46</v>
      </c>
      <c r="LQ12" s="573">
        <f t="shared" si="36"/>
        <v>40894</v>
      </c>
      <c r="LT12" s="106"/>
      <c r="LU12" s="15">
        <v>5</v>
      </c>
      <c r="LV12" s="92">
        <v>930.8</v>
      </c>
      <c r="LW12" s="327">
        <v>44682</v>
      </c>
      <c r="LX12" s="92">
        <v>930.8</v>
      </c>
      <c r="LY12" s="95" t="s">
        <v>609</v>
      </c>
      <c r="LZ12" s="71">
        <v>46</v>
      </c>
      <c r="MA12" s="573">
        <f t="shared" si="37"/>
        <v>42816.799999999996</v>
      </c>
      <c r="MB12" s="573"/>
      <c r="MD12" s="106"/>
      <c r="ME12" s="15">
        <v>5</v>
      </c>
      <c r="MF12" s="392">
        <v>924.26</v>
      </c>
      <c r="MG12" s="327">
        <v>44680</v>
      </c>
      <c r="MH12" s="392">
        <v>924.26</v>
      </c>
      <c r="MI12" s="95" t="s">
        <v>566</v>
      </c>
      <c r="MJ12" s="71">
        <v>46</v>
      </c>
      <c r="MK12" s="71">
        <f t="shared" si="38"/>
        <v>42515.96</v>
      </c>
      <c r="MN12" s="106"/>
      <c r="MO12" s="15">
        <v>5</v>
      </c>
      <c r="MP12" s="92">
        <v>899.47</v>
      </c>
      <c r="MQ12" s="327">
        <v>44680</v>
      </c>
      <c r="MR12" s="92">
        <v>899.47</v>
      </c>
      <c r="MS12" s="95" t="s">
        <v>600</v>
      </c>
      <c r="MT12" s="71">
        <v>46</v>
      </c>
      <c r="MU12" s="71">
        <f t="shared" si="39"/>
        <v>41375.620000000003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364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337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346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339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379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340</v>
      </c>
      <c r="BP13" s="826">
        <v>38</v>
      </c>
      <c r="BQ13" s="746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383</v>
      </c>
      <c r="BZ13" s="383">
        <v>38</v>
      </c>
      <c r="CA13" s="573">
        <f t="shared" si="13"/>
        <v>34336.800000000003</v>
      </c>
      <c r="CD13" s="772"/>
      <c r="CE13" s="15">
        <v>6</v>
      </c>
      <c r="CF13" s="92">
        <v>884.5</v>
      </c>
      <c r="CG13" s="381">
        <v>44656</v>
      </c>
      <c r="CH13" s="1064">
        <v>884.5</v>
      </c>
      <c r="CI13" s="384" t="s">
        <v>389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395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400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415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342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420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436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434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457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468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477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474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485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493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481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488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>
        <v>44673</v>
      </c>
      <c r="IL13" s="69">
        <v>891.8</v>
      </c>
      <c r="IM13" s="70" t="s">
        <v>552</v>
      </c>
      <c r="IN13" s="71">
        <v>42</v>
      </c>
      <c r="IO13" s="573">
        <f t="shared" si="28"/>
        <v>37455.599999999999</v>
      </c>
      <c r="IQ13" s="757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544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>
        <v>44674</v>
      </c>
      <c r="JF13" s="282">
        <v>907.63</v>
      </c>
      <c r="JG13" s="268" t="s">
        <v>555</v>
      </c>
      <c r="JH13" s="71">
        <v>43</v>
      </c>
      <c r="JI13" s="573">
        <f t="shared" si="30"/>
        <v>39028.089999999997</v>
      </c>
      <c r="JJ13" s="69"/>
      <c r="JL13" s="106"/>
      <c r="JM13" s="15">
        <v>6</v>
      </c>
      <c r="JN13" s="92">
        <v>894.5</v>
      </c>
      <c r="JO13" s="327">
        <v>44674</v>
      </c>
      <c r="JP13" s="92">
        <v>894.5</v>
      </c>
      <c r="JQ13" s="70" t="s">
        <v>562</v>
      </c>
      <c r="JR13" s="71">
        <v>43</v>
      </c>
      <c r="JS13" s="573">
        <f t="shared" si="31"/>
        <v>38463.5</v>
      </c>
      <c r="JV13" s="106"/>
      <c r="JW13" s="15">
        <v>6</v>
      </c>
      <c r="JX13" s="69">
        <v>880</v>
      </c>
      <c r="JY13" s="339">
        <v>44677</v>
      </c>
      <c r="JZ13" s="69">
        <v>880</v>
      </c>
      <c r="KA13" s="70" t="s">
        <v>576</v>
      </c>
      <c r="KB13" s="71">
        <v>44</v>
      </c>
      <c r="KC13" s="573">
        <f t="shared" si="32"/>
        <v>38720</v>
      </c>
      <c r="KE13" s="245"/>
      <c r="KF13" s="984"/>
      <c r="KG13" s="15">
        <v>6</v>
      </c>
      <c r="KH13" s="69">
        <v>911.7</v>
      </c>
      <c r="KI13" s="339">
        <v>44678</v>
      </c>
      <c r="KJ13" s="69">
        <v>911.7</v>
      </c>
      <c r="KK13" s="70" t="s">
        <v>586</v>
      </c>
      <c r="KL13" s="71">
        <v>45</v>
      </c>
      <c r="KM13" s="573">
        <f t="shared" si="33"/>
        <v>41026.5</v>
      </c>
      <c r="KP13" s="106"/>
      <c r="KQ13" s="15">
        <v>6</v>
      </c>
      <c r="KR13" s="69">
        <v>916.71</v>
      </c>
      <c r="KS13" s="339">
        <v>44678</v>
      </c>
      <c r="KT13" s="69">
        <v>916.71</v>
      </c>
      <c r="KU13" s="70" t="s">
        <v>577</v>
      </c>
      <c r="KV13" s="71">
        <v>45</v>
      </c>
      <c r="KW13" s="573">
        <f t="shared" si="34"/>
        <v>41251.950000000004</v>
      </c>
      <c r="KZ13" s="106"/>
      <c r="LA13" s="15">
        <v>6</v>
      </c>
      <c r="LB13" s="92">
        <v>975.22</v>
      </c>
      <c r="LC13" s="327">
        <v>44679</v>
      </c>
      <c r="LD13" s="92">
        <v>975.22</v>
      </c>
      <c r="LE13" s="95" t="s">
        <v>594</v>
      </c>
      <c r="LF13" s="71">
        <v>46</v>
      </c>
      <c r="LG13" s="573">
        <f t="shared" si="35"/>
        <v>44860.12</v>
      </c>
      <c r="LJ13" s="106"/>
      <c r="LK13" s="15">
        <v>6</v>
      </c>
      <c r="LL13" s="92">
        <v>889</v>
      </c>
      <c r="LM13" s="327">
        <v>44679</v>
      </c>
      <c r="LN13" s="92">
        <v>889</v>
      </c>
      <c r="LO13" s="95" t="s">
        <v>596</v>
      </c>
      <c r="LP13" s="71">
        <v>46</v>
      </c>
      <c r="LQ13" s="573">
        <f t="shared" si="36"/>
        <v>40894</v>
      </c>
      <c r="LT13" s="106"/>
      <c r="LU13" s="15">
        <v>6</v>
      </c>
      <c r="LV13" s="92">
        <v>894.5</v>
      </c>
      <c r="LW13" s="327">
        <v>44682</v>
      </c>
      <c r="LX13" s="92">
        <v>894.5</v>
      </c>
      <c r="LY13" s="95" t="s">
        <v>609</v>
      </c>
      <c r="LZ13" s="71">
        <v>46</v>
      </c>
      <c r="MA13" s="573">
        <f t="shared" si="37"/>
        <v>41147</v>
      </c>
      <c r="MB13" s="573"/>
      <c r="MD13" s="106"/>
      <c r="ME13" s="15">
        <v>6</v>
      </c>
      <c r="MF13" s="392">
        <v>853.06</v>
      </c>
      <c r="MG13" s="327">
        <v>44680</v>
      </c>
      <c r="MH13" s="392">
        <v>853.06</v>
      </c>
      <c r="MI13" s="95" t="s">
        <v>566</v>
      </c>
      <c r="MJ13" s="71">
        <v>46</v>
      </c>
      <c r="MK13" s="71">
        <f t="shared" si="38"/>
        <v>39240.759999999995</v>
      </c>
      <c r="MN13" s="106"/>
      <c r="MO13" s="15">
        <v>6</v>
      </c>
      <c r="MP13" s="92">
        <v>896.29</v>
      </c>
      <c r="MQ13" s="327">
        <v>44680</v>
      </c>
      <c r="MR13" s="92">
        <v>896.29</v>
      </c>
      <c r="MS13" s="95" t="s">
        <v>600</v>
      </c>
      <c r="MT13" s="71">
        <v>46</v>
      </c>
      <c r="MU13" s="71">
        <f t="shared" si="39"/>
        <v>41229.339999999997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364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337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347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339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379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340</v>
      </c>
      <c r="BP14" s="826">
        <v>38</v>
      </c>
      <c r="BQ14" s="746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382</v>
      </c>
      <c r="BZ14" s="383">
        <v>38</v>
      </c>
      <c r="CA14" s="573">
        <f t="shared" si="13"/>
        <v>34819.4</v>
      </c>
      <c r="CD14" s="772"/>
      <c r="CE14" s="15">
        <v>7</v>
      </c>
      <c r="CF14" s="92">
        <v>888.1</v>
      </c>
      <c r="CG14" s="381">
        <v>44656</v>
      </c>
      <c r="CH14" s="92">
        <v>888.1</v>
      </c>
      <c r="CI14" s="384" t="s">
        <v>388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395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400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362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403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420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429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443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460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468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477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474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485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496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481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488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>
        <v>44673</v>
      </c>
      <c r="IL14" s="69">
        <v>925.3</v>
      </c>
      <c r="IM14" s="70" t="s">
        <v>552</v>
      </c>
      <c r="IN14" s="71">
        <v>42</v>
      </c>
      <c r="IO14" s="573">
        <f t="shared" si="28"/>
        <v>38862.6</v>
      </c>
      <c r="IQ14" s="754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544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>
        <v>44674</v>
      </c>
      <c r="JF14" s="282">
        <v>958.89</v>
      </c>
      <c r="JG14" s="268" t="s">
        <v>565</v>
      </c>
      <c r="JH14" s="71">
        <v>43</v>
      </c>
      <c r="JI14" s="573">
        <f t="shared" si="30"/>
        <v>41232.269999999997</v>
      </c>
      <c r="JJ14" s="69"/>
      <c r="JL14" s="106"/>
      <c r="JM14" s="15">
        <v>7</v>
      </c>
      <c r="JN14" s="92">
        <v>929.9</v>
      </c>
      <c r="JO14" s="327">
        <v>44674</v>
      </c>
      <c r="JP14" s="92">
        <v>929.9</v>
      </c>
      <c r="JQ14" s="70" t="s">
        <v>562</v>
      </c>
      <c r="JR14" s="71">
        <v>43</v>
      </c>
      <c r="JS14" s="573">
        <f t="shared" si="31"/>
        <v>39985.699999999997</v>
      </c>
      <c r="JV14" s="106"/>
      <c r="JW14" s="15">
        <v>7</v>
      </c>
      <c r="JX14" s="69">
        <v>897.2</v>
      </c>
      <c r="JY14" s="339">
        <v>44677</v>
      </c>
      <c r="JZ14" s="69">
        <v>897.2</v>
      </c>
      <c r="KA14" s="70" t="s">
        <v>576</v>
      </c>
      <c r="KB14" s="71">
        <v>44</v>
      </c>
      <c r="KC14" s="573">
        <f t="shared" si="32"/>
        <v>39476.800000000003</v>
      </c>
      <c r="KE14" s="245"/>
      <c r="KF14" s="984"/>
      <c r="KG14" s="15">
        <v>7</v>
      </c>
      <c r="KH14" s="69">
        <v>925.3</v>
      </c>
      <c r="KI14" s="339">
        <v>44678</v>
      </c>
      <c r="KJ14" s="69">
        <v>925.3</v>
      </c>
      <c r="KK14" s="70" t="s">
        <v>586</v>
      </c>
      <c r="KL14" s="71">
        <v>45</v>
      </c>
      <c r="KM14" s="573">
        <f t="shared" si="33"/>
        <v>41638.5</v>
      </c>
      <c r="KP14" s="106"/>
      <c r="KQ14" s="15">
        <v>7</v>
      </c>
      <c r="KR14" s="69">
        <v>952</v>
      </c>
      <c r="KS14" s="339">
        <v>44678</v>
      </c>
      <c r="KT14" s="69">
        <v>952</v>
      </c>
      <c r="KU14" s="70" t="s">
        <v>577</v>
      </c>
      <c r="KV14" s="71">
        <v>45</v>
      </c>
      <c r="KW14" s="573">
        <f t="shared" si="34"/>
        <v>42840</v>
      </c>
      <c r="KZ14" s="106"/>
      <c r="LA14" s="15">
        <v>7</v>
      </c>
      <c r="LB14" s="92">
        <v>951.63</v>
      </c>
      <c r="LC14" s="327">
        <v>44679</v>
      </c>
      <c r="LD14" s="92">
        <v>951.63</v>
      </c>
      <c r="LE14" s="95" t="s">
        <v>594</v>
      </c>
      <c r="LF14" s="71">
        <v>46</v>
      </c>
      <c r="LG14" s="573">
        <f t="shared" si="35"/>
        <v>43774.98</v>
      </c>
      <c r="LJ14" s="106"/>
      <c r="LK14" s="15">
        <v>7</v>
      </c>
      <c r="LL14" s="92">
        <v>934.4</v>
      </c>
      <c r="LM14" s="327">
        <v>44679</v>
      </c>
      <c r="LN14" s="92">
        <v>934.4</v>
      </c>
      <c r="LO14" s="95" t="s">
        <v>596</v>
      </c>
      <c r="LP14" s="71">
        <v>46</v>
      </c>
      <c r="LQ14" s="573">
        <f t="shared" si="36"/>
        <v>42982.400000000001</v>
      </c>
      <c r="LT14" s="106"/>
      <c r="LU14" s="15">
        <v>7</v>
      </c>
      <c r="LV14" s="92">
        <v>872.7</v>
      </c>
      <c r="LW14" s="327">
        <v>44682</v>
      </c>
      <c r="LX14" s="92">
        <v>872.7</v>
      </c>
      <c r="LY14" s="95" t="s">
        <v>608</v>
      </c>
      <c r="LZ14" s="71">
        <v>46</v>
      </c>
      <c r="MA14" s="573">
        <f t="shared" si="37"/>
        <v>40144.200000000004</v>
      </c>
      <c r="MB14" s="573"/>
      <c r="MD14" s="106"/>
      <c r="ME14" s="15">
        <v>7</v>
      </c>
      <c r="MF14" s="392">
        <v>882.54</v>
      </c>
      <c r="MG14" s="327">
        <v>44680</v>
      </c>
      <c r="MH14" s="392">
        <v>882.54</v>
      </c>
      <c r="MI14" s="95" t="s">
        <v>566</v>
      </c>
      <c r="MJ14" s="71">
        <v>46</v>
      </c>
      <c r="MK14" s="71">
        <f t="shared" si="38"/>
        <v>40596.839999999997</v>
      </c>
      <c r="MN14" s="106"/>
      <c r="MO14" s="15">
        <v>7</v>
      </c>
      <c r="MP14" s="92">
        <v>901.74</v>
      </c>
      <c r="MQ14" s="327">
        <v>44680</v>
      </c>
      <c r="MR14" s="92">
        <v>901.74</v>
      </c>
      <c r="MS14" s="95" t="s">
        <v>600</v>
      </c>
      <c r="MT14" s="71">
        <v>46</v>
      </c>
      <c r="MU14" s="71">
        <f t="shared" si="39"/>
        <v>41480.04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364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337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351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366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379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340</v>
      </c>
      <c r="BP15" s="826">
        <v>38</v>
      </c>
      <c r="BQ15" s="746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383</v>
      </c>
      <c r="BZ15" s="383">
        <v>38</v>
      </c>
      <c r="CA15" s="573">
        <f t="shared" si="13"/>
        <v>34127.800000000003</v>
      </c>
      <c r="CD15" s="772"/>
      <c r="CE15" s="15">
        <v>8</v>
      </c>
      <c r="CF15" s="92">
        <v>913.5</v>
      </c>
      <c r="CG15" s="381">
        <v>44656</v>
      </c>
      <c r="CH15" s="92">
        <v>913.5</v>
      </c>
      <c r="CI15" s="384" t="s">
        <v>388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360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400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343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342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420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429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440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458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468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476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474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485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493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481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423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>
        <v>44673</v>
      </c>
      <c r="IL15" s="69">
        <v>883.6</v>
      </c>
      <c r="IM15" s="70" t="s">
        <v>552</v>
      </c>
      <c r="IN15" s="71">
        <v>42</v>
      </c>
      <c r="IO15" s="573">
        <f t="shared" si="28"/>
        <v>37111.200000000004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544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>
        <v>44674</v>
      </c>
      <c r="JF15" s="282">
        <v>929.41</v>
      </c>
      <c r="JG15" s="268" t="s">
        <v>555</v>
      </c>
      <c r="JH15" s="71">
        <v>43</v>
      </c>
      <c r="JI15" s="573">
        <f t="shared" si="30"/>
        <v>39964.629999999997</v>
      </c>
      <c r="JJ15" s="69"/>
      <c r="JL15" s="106"/>
      <c r="JM15" s="15">
        <v>8</v>
      </c>
      <c r="JN15" s="92">
        <v>922.6</v>
      </c>
      <c r="JO15" s="327">
        <v>44674</v>
      </c>
      <c r="JP15" s="92">
        <v>922.6</v>
      </c>
      <c r="JQ15" s="70" t="s">
        <v>561</v>
      </c>
      <c r="JR15" s="71">
        <v>43</v>
      </c>
      <c r="JS15" s="573">
        <f t="shared" si="31"/>
        <v>39671.800000000003</v>
      </c>
      <c r="JV15" s="106"/>
      <c r="JW15" s="15">
        <v>8</v>
      </c>
      <c r="JX15" s="69">
        <v>905.4</v>
      </c>
      <c r="JY15" s="339">
        <v>44677</v>
      </c>
      <c r="JZ15" s="69">
        <v>905.4</v>
      </c>
      <c r="KA15" s="70" t="s">
        <v>576</v>
      </c>
      <c r="KB15" s="71">
        <v>44</v>
      </c>
      <c r="KC15" s="573">
        <f t="shared" si="32"/>
        <v>39837.599999999999</v>
      </c>
      <c r="KE15" s="245"/>
      <c r="KF15" s="984"/>
      <c r="KG15" s="15">
        <v>8</v>
      </c>
      <c r="KH15" s="69">
        <v>922.6</v>
      </c>
      <c r="KI15" s="339">
        <v>44678</v>
      </c>
      <c r="KJ15" s="69">
        <v>922.6</v>
      </c>
      <c r="KK15" s="70" t="s">
        <v>586</v>
      </c>
      <c r="KL15" s="71">
        <v>45</v>
      </c>
      <c r="KM15" s="573">
        <f t="shared" si="33"/>
        <v>41517</v>
      </c>
      <c r="KP15" s="106"/>
      <c r="KQ15" s="15">
        <v>8</v>
      </c>
      <c r="KR15" s="69">
        <v>928.95</v>
      </c>
      <c r="KS15" s="339">
        <v>44678</v>
      </c>
      <c r="KT15" s="69">
        <v>928.95</v>
      </c>
      <c r="KU15" s="70" t="s">
        <v>577</v>
      </c>
      <c r="KV15" s="71">
        <v>45</v>
      </c>
      <c r="KW15" s="573">
        <f t="shared" si="34"/>
        <v>41802.75</v>
      </c>
      <c r="KZ15" s="106"/>
      <c r="LA15" s="15">
        <v>8</v>
      </c>
      <c r="LB15" s="92">
        <v>921.69</v>
      </c>
      <c r="LC15" s="327">
        <v>44679</v>
      </c>
      <c r="LD15" s="92">
        <v>921.69</v>
      </c>
      <c r="LE15" s="95" t="s">
        <v>594</v>
      </c>
      <c r="LF15" s="71">
        <v>46</v>
      </c>
      <c r="LG15" s="573">
        <f t="shared" si="35"/>
        <v>42397.740000000005</v>
      </c>
      <c r="LJ15" s="106"/>
      <c r="LK15" s="15">
        <v>8</v>
      </c>
      <c r="LL15" s="92">
        <v>934.4</v>
      </c>
      <c r="LM15" s="327">
        <v>44679</v>
      </c>
      <c r="LN15" s="92">
        <v>934.4</v>
      </c>
      <c r="LO15" s="95" t="s">
        <v>596</v>
      </c>
      <c r="LP15" s="71">
        <v>46</v>
      </c>
      <c r="LQ15" s="573">
        <f t="shared" si="36"/>
        <v>42982.400000000001</v>
      </c>
      <c r="LT15" s="106"/>
      <c r="LU15" s="15">
        <v>8</v>
      </c>
      <c r="LV15" s="92">
        <v>865.4</v>
      </c>
      <c r="LW15" s="327">
        <v>44682</v>
      </c>
      <c r="LX15" s="92">
        <v>865.4</v>
      </c>
      <c r="LY15" s="95" t="s">
        <v>608</v>
      </c>
      <c r="LZ15" s="71">
        <v>46</v>
      </c>
      <c r="MA15" s="573">
        <f t="shared" si="37"/>
        <v>39808.400000000001</v>
      </c>
      <c r="MB15" s="573"/>
      <c r="MD15" s="106"/>
      <c r="ME15" s="15">
        <v>8</v>
      </c>
      <c r="MF15" s="392">
        <v>887.53</v>
      </c>
      <c r="MG15" s="327">
        <v>44680</v>
      </c>
      <c r="MH15" s="392">
        <v>887.53</v>
      </c>
      <c r="MI15" s="95" t="s">
        <v>566</v>
      </c>
      <c r="MJ15" s="71">
        <v>46</v>
      </c>
      <c r="MK15" s="71">
        <f t="shared" si="38"/>
        <v>40826.379999999997</v>
      </c>
      <c r="MN15" s="106"/>
      <c r="MO15" s="15">
        <v>8</v>
      </c>
      <c r="MP15" s="92">
        <v>948.46</v>
      </c>
      <c r="MQ15" s="327">
        <v>44680</v>
      </c>
      <c r="MR15" s="92">
        <v>948.46</v>
      </c>
      <c r="MS15" s="95" t="s">
        <v>600</v>
      </c>
      <c r="MT15" s="71">
        <v>46</v>
      </c>
      <c r="MU15" s="71">
        <f t="shared" si="39"/>
        <v>43629.16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364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337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351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339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376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340</v>
      </c>
      <c r="BP16" s="826">
        <v>38</v>
      </c>
      <c r="BQ16" s="746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370</v>
      </c>
      <c r="BZ16" s="383">
        <v>38</v>
      </c>
      <c r="CA16" s="573">
        <f t="shared" si="13"/>
        <v>34162</v>
      </c>
      <c r="CD16" s="772"/>
      <c r="CE16" s="15">
        <v>9</v>
      </c>
      <c r="CF16" s="92">
        <v>882.7</v>
      </c>
      <c r="CG16" s="381">
        <v>44656</v>
      </c>
      <c r="CH16" s="1064">
        <v>882.7</v>
      </c>
      <c r="CI16" s="384" t="s">
        <v>389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360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400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415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342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420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436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435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458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467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471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474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485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493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481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453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>
        <v>44673</v>
      </c>
      <c r="IL16" s="69">
        <v>923.5</v>
      </c>
      <c r="IM16" s="70" t="s">
        <v>550</v>
      </c>
      <c r="IN16" s="71">
        <v>42</v>
      </c>
      <c r="IO16" s="573">
        <f t="shared" si="28"/>
        <v>38787</v>
      </c>
      <c r="IR16" s="106"/>
      <c r="IS16" s="15">
        <v>9</v>
      </c>
      <c r="IT16" s="282">
        <v>942.11</v>
      </c>
      <c r="IU16" s="248">
        <v>44673</v>
      </c>
      <c r="IV16" s="282">
        <v>942.11</v>
      </c>
      <c r="IW16" s="505" t="s">
        <v>545</v>
      </c>
      <c r="IX16" s="269">
        <v>42</v>
      </c>
      <c r="IY16" s="325">
        <f t="shared" si="29"/>
        <v>39568.620000000003</v>
      </c>
      <c r="IZ16" s="92"/>
      <c r="JA16" s="69"/>
      <c r="JB16" s="106"/>
      <c r="JC16" s="15">
        <v>9</v>
      </c>
      <c r="JD16" s="92">
        <v>956.62</v>
      </c>
      <c r="JE16" s="339">
        <v>44674</v>
      </c>
      <c r="JF16" s="282">
        <v>956.62</v>
      </c>
      <c r="JG16" s="268" t="s">
        <v>555</v>
      </c>
      <c r="JH16" s="71">
        <v>43</v>
      </c>
      <c r="JI16" s="573">
        <f t="shared" si="30"/>
        <v>41134.660000000003</v>
      </c>
      <c r="JJ16" s="69"/>
      <c r="JL16" s="106"/>
      <c r="JM16" s="15">
        <v>9</v>
      </c>
      <c r="JN16" s="92">
        <v>877.2</v>
      </c>
      <c r="JO16" s="327">
        <v>44674</v>
      </c>
      <c r="JP16" s="92">
        <v>877.2</v>
      </c>
      <c r="JQ16" s="70" t="s">
        <v>562</v>
      </c>
      <c r="JR16" s="71">
        <v>43</v>
      </c>
      <c r="JS16" s="573">
        <f t="shared" si="31"/>
        <v>37719.599999999999</v>
      </c>
      <c r="JV16" s="106"/>
      <c r="JW16" s="15">
        <v>9</v>
      </c>
      <c r="JX16" s="69">
        <v>930.8</v>
      </c>
      <c r="JY16" s="339">
        <v>44677</v>
      </c>
      <c r="JZ16" s="69">
        <v>930.8</v>
      </c>
      <c r="KA16" s="70" t="s">
        <v>576</v>
      </c>
      <c r="KB16" s="71">
        <v>44</v>
      </c>
      <c r="KC16" s="573">
        <f t="shared" si="32"/>
        <v>40955.199999999997</v>
      </c>
      <c r="KE16" s="245"/>
      <c r="KF16" s="984"/>
      <c r="KG16" s="15">
        <v>9</v>
      </c>
      <c r="KH16" s="69">
        <v>917.2</v>
      </c>
      <c r="KI16" s="339">
        <v>44678</v>
      </c>
      <c r="KJ16" s="69">
        <v>917.2</v>
      </c>
      <c r="KK16" s="70" t="s">
        <v>586</v>
      </c>
      <c r="KL16" s="71">
        <v>45</v>
      </c>
      <c r="KM16" s="573">
        <f t="shared" si="33"/>
        <v>41274</v>
      </c>
      <c r="KP16" s="106"/>
      <c r="KQ16" s="15">
        <v>9</v>
      </c>
      <c r="KR16" s="69">
        <v>930.31</v>
      </c>
      <c r="KS16" s="339">
        <v>44678</v>
      </c>
      <c r="KT16" s="69">
        <v>930.31</v>
      </c>
      <c r="KU16" s="70" t="s">
        <v>577</v>
      </c>
      <c r="KV16" s="71">
        <v>45</v>
      </c>
      <c r="KW16" s="573">
        <f t="shared" si="34"/>
        <v>41863.949999999997</v>
      </c>
      <c r="KZ16" s="106"/>
      <c r="LA16" s="15">
        <v>9</v>
      </c>
      <c r="LB16" s="92">
        <v>940.75</v>
      </c>
      <c r="LC16" s="327">
        <v>44679</v>
      </c>
      <c r="LD16" s="92">
        <v>940.75</v>
      </c>
      <c r="LE16" s="95" t="s">
        <v>594</v>
      </c>
      <c r="LF16" s="71">
        <v>46</v>
      </c>
      <c r="LG16" s="573">
        <f t="shared" si="35"/>
        <v>43274.5</v>
      </c>
      <c r="LJ16" s="106"/>
      <c r="LK16" s="15">
        <v>9</v>
      </c>
      <c r="LL16" s="92">
        <v>938</v>
      </c>
      <c r="LM16" s="327">
        <v>44679</v>
      </c>
      <c r="LN16" s="92">
        <v>938</v>
      </c>
      <c r="LO16" s="95" t="s">
        <v>596</v>
      </c>
      <c r="LP16" s="71">
        <v>46</v>
      </c>
      <c r="LQ16" s="573">
        <f t="shared" si="36"/>
        <v>43148</v>
      </c>
      <c r="LT16" s="106"/>
      <c r="LU16" s="15">
        <v>9</v>
      </c>
      <c r="LV16" s="92">
        <v>903.6</v>
      </c>
      <c r="LW16" s="327">
        <v>44682</v>
      </c>
      <c r="LX16" s="92">
        <v>903.6</v>
      </c>
      <c r="LY16" s="95" t="s">
        <v>608</v>
      </c>
      <c r="LZ16" s="71">
        <v>46</v>
      </c>
      <c r="MA16" s="573">
        <f t="shared" si="37"/>
        <v>41565.599999999999</v>
      </c>
      <c r="MB16" s="573"/>
      <c r="MD16" s="106"/>
      <c r="ME16" s="15">
        <v>9</v>
      </c>
      <c r="MF16" s="392">
        <v>931.52</v>
      </c>
      <c r="MG16" s="327">
        <v>44680</v>
      </c>
      <c r="MH16" s="1116">
        <v>931.52</v>
      </c>
      <c r="MI16" s="322" t="s">
        <v>599</v>
      </c>
      <c r="MJ16" s="71">
        <v>46</v>
      </c>
      <c r="MK16" s="71">
        <f t="shared" si="38"/>
        <v>42849.919999999998</v>
      </c>
      <c r="MN16" s="106"/>
      <c r="MO16" s="15">
        <v>9</v>
      </c>
      <c r="MP16" s="92">
        <v>883.59</v>
      </c>
      <c r="MQ16" s="327">
        <v>44680</v>
      </c>
      <c r="MR16" s="92">
        <v>883.59</v>
      </c>
      <c r="MS16" s="95" t="s">
        <v>600</v>
      </c>
      <c r="MT16" s="71">
        <v>46</v>
      </c>
      <c r="MU16" s="71">
        <f t="shared" si="39"/>
        <v>40645.14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356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337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349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366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379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340</v>
      </c>
      <c r="BP17" s="826">
        <v>38</v>
      </c>
      <c r="BQ17" s="746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383</v>
      </c>
      <c r="BZ17" s="383">
        <v>38</v>
      </c>
      <c r="CA17" s="573">
        <f t="shared" si="13"/>
        <v>33508.400000000001</v>
      </c>
      <c r="CD17" s="772"/>
      <c r="CE17" s="15">
        <v>10</v>
      </c>
      <c r="CF17" s="92">
        <v>909.9</v>
      </c>
      <c r="CG17" s="381">
        <v>44656</v>
      </c>
      <c r="CH17" s="1064">
        <v>909.9</v>
      </c>
      <c r="CI17" s="384" t="s">
        <v>389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360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401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415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403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419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436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426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452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468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471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472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485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493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481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423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>
        <v>44673</v>
      </c>
      <c r="IL17" s="69">
        <v>915.3</v>
      </c>
      <c r="IM17" s="70" t="s">
        <v>552</v>
      </c>
      <c r="IN17" s="71">
        <v>42</v>
      </c>
      <c r="IO17" s="573">
        <f t="shared" si="28"/>
        <v>38442.6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544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>
        <v>44674</v>
      </c>
      <c r="JF17" s="282">
        <v>918.07</v>
      </c>
      <c r="JG17" s="268" t="s">
        <v>562</v>
      </c>
      <c r="JH17" s="71">
        <v>43</v>
      </c>
      <c r="JI17" s="573">
        <f t="shared" si="30"/>
        <v>39477.01</v>
      </c>
      <c r="JJ17" s="69"/>
      <c r="JL17" s="106"/>
      <c r="JM17" s="15">
        <v>10</v>
      </c>
      <c r="JN17" s="92">
        <v>874.5</v>
      </c>
      <c r="JO17" s="327">
        <v>44674</v>
      </c>
      <c r="JP17" s="92">
        <v>874.5</v>
      </c>
      <c r="JQ17" s="70" t="s">
        <v>561</v>
      </c>
      <c r="JR17" s="71">
        <v>43</v>
      </c>
      <c r="JS17" s="573">
        <f t="shared" si="31"/>
        <v>37603.5</v>
      </c>
      <c r="JV17" s="106"/>
      <c r="JW17" s="15">
        <v>10</v>
      </c>
      <c r="JX17" s="69">
        <v>865.4</v>
      </c>
      <c r="JY17" s="339">
        <v>44677</v>
      </c>
      <c r="JZ17" s="69">
        <v>865.4</v>
      </c>
      <c r="KA17" s="70" t="s">
        <v>576</v>
      </c>
      <c r="KB17" s="71">
        <v>44</v>
      </c>
      <c r="KC17" s="573">
        <f t="shared" si="32"/>
        <v>38077.599999999999</v>
      </c>
      <c r="KE17" s="245"/>
      <c r="KF17" s="984"/>
      <c r="KG17" s="15">
        <v>10</v>
      </c>
      <c r="KH17" s="69">
        <v>869.1</v>
      </c>
      <c r="KI17" s="339">
        <v>44678</v>
      </c>
      <c r="KJ17" s="69">
        <v>869.1</v>
      </c>
      <c r="KK17" s="70" t="s">
        <v>586</v>
      </c>
      <c r="KL17" s="71">
        <v>45</v>
      </c>
      <c r="KM17" s="573">
        <f t="shared" si="33"/>
        <v>39109.5</v>
      </c>
      <c r="KP17" s="106"/>
      <c r="KQ17" s="15">
        <v>10</v>
      </c>
      <c r="KR17" s="69">
        <v>940.29</v>
      </c>
      <c r="KS17" s="339">
        <v>44678</v>
      </c>
      <c r="KT17" s="69">
        <v>940.29</v>
      </c>
      <c r="KU17" s="70" t="s">
        <v>577</v>
      </c>
      <c r="KV17" s="71">
        <v>45</v>
      </c>
      <c r="KW17" s="573">
        <f t="shared" si="34"/>
        <v>42313.049999999996</v>
      </c>
      <c r="KZ17" s="106"/>
      <c r="LA17" s="15">
        <v>10</v>
      </c>
      <c r="LB17" s="92">
        <v>961.16</v>
      </c>
      <c r="LC17" s="327">
        <v>44679</v>
      </c>
      <c r="LD17" s="92">
        <v>961.16</v>
      </c>
      <c r="LE17" s="95" t="s">
        <v>594</v>
      </c>
      <c r="LF17" s="71">
        <v>46</v>
      </c>
      <c r="LG17" s="573">
        <f t="shared" si="35"/>
        <v>44213.36</v>
      </c>
      <c r="LJ17" s="106"/>
      <c r="LK17" s="15">
        <v>10</v>
      </c>
      <c r="LL17" s="92">
        <v>902.6</v>
      </c>
      <c r="LM17" s="327">
        <v>44679</v>
      </c>
      <c r="LN17" s="92">
        <v>902.6</v>
      </c>
      <c r="LO17" s="95" t="s">
        <v>596</v>
      </c>
      <c r="LP17" s="71">
        <v>46</v>
      </c>
      <c r="LQ17" s="573">
        <f t="shared" si="36"/>
        <v>41519.599999999999</v>
      </c>
      <c r="LT17" s="106"/>
      <c r="LU17" s="15">
        <v>10</v>
      </c>
      <c r="LV17" s="69">
        <v>907.2</v>
      </c>
      <c r="LW17" s="327">
        <v>44682</v>
      </c>
      <c r="LX17" s="69">
        <v>907.2</v>
      </c>
      <c r="LY17" s="95" t="s">
        <v>608</v>
      </c>
      <c r="LZ17" s="71">
        <v>46</v>
      </c>
      <c r="MA17" s="573">
        <f t="shared" si="37"/>
        <v>41731.200000000004</v>
      </c>
      <c r="MB17" s="573"/>
      <c r="MD17" s="106"/>
      <c r="ME17" s="15">
        <v>10</v>
      </c>
      <c r="MF17" s="392">
        <v>871.66</v>
      </c>
      <c r="MG17" s="327">
        <v>44677</v>
      </c>
      <c r="MH17" s="1116">
        <v>871.66</v>
      </c>
      <c r="MI17" s="322" t="s">
        <v>566</v>
      </c>
      <c r="MJ17" s="71">
        <v>46</v>
      </c>
      <c r="MK17" s="71">
        <f t="shared" si="38"/>
        <v>40096.36</v>
      </c>
      <c r="MN17" s="106"/>
      <c r="MO17" s="15">
        <v>10</v>
      </c>
      <c r="MP17" s="69">
        <v>957.07</v>
      </c>
      <c r="MQ17" s="327">
        <v>44680</v>
      </c>
      <c r="MR17" s="69">
        <v>957.07</v>
      </c>
      <c r="MS17" s="95" t="s">
        <v>600</v>
      </c>
      <c r="MT17" s="71">
        <v>46</v>
      </c>
      <c r="MU17" s="71">
        <f t="shared" si="39"/>
        <v>44025.22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352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344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347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339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379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375</v>
      </c>
      <c r="BP18" s="826">
        <v>38</v>
      </c>
      <c r="BQ18" s="746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383</v>
      </c>
      <c r="BZ18" s="383">
        <v>38</v>
      </c>
      <c r="CA18" s="573">
        <f t="shared" si="13"/>
        <v>34439.4</v>
      </c>
      <c r="CD18" s="772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390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360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401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406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403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419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436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443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457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467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471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472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485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496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482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453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>
        <v>44673</v>
      </c>
      <c r="IL18" s="69">
        <v>909</v>
      </c>
      <c r="IM18" s="70" t="s">
        <v>552</v>
      </c>
      <c r="IN18" s="71">
        <v>42</v>
      </c>
      <c r="IO18" s="573">
        <f t="shared" si="28"/>
        <v>38178</v>
      </c>
      <c r="IR18" s="106"/>
      <c r="IS18" s="15">
        <v>11</v>
      </c>
      <c r="IT18" s="282">
        <v>902.64</v>
      </c>
      <c r="IU18" s="248">
        <v>44673</v>
      </c>
      <c r="IV18" s="282">
        <v>902.64</v>
      </c>
      <c r="IW18" s="505" t="s">
        <v>545</v>
      </c>
      <c r="IX18" s="269">
        <v>42</v>
      </c>
      <c r="IY18" s="325">
        <f t="shared" si="29"/>
        <v>37910.879999999997</v>
      </c>
      <c r="IZ18" s="92"/>
      <c r="JA18" s="69"/>
      <c r="JB18" s="106"/>
      <c r="JC18" s="15">
        <v>11</v>
      </c>
      <c r="JD18" s="92">
        <v>967.05</v>
      </c>
      <c r="JE18" s="339">
        <v>44674</v>
      </c>
      <c r="JF18" s="282">
        <v>967.05</v>
      </c>
      <c r="JG18" s="268" t="s">
        <v>562</v>
      </c>
      <c r="JH18" s="71">
        <v>43</v>
      </c>
      <c r="JI18" s="573">
        <f t="shared" si="30"/>
        <v>41583.15</v>
      </c>
      <c r="JJ18" s="105"/>
      <c r="JL18" s="106"/>
      <c r="JM18" s="15">
        <v>11</v>
      </c>
      <c r="JN18" s="92">
        <v>923.5</v>
      </c>
      <c r="JO18" s="327">
        <v>44674</v>
      </c>
      <c r="JP18" s="92">
        <v>923.5</v>
      </c>
      <c r="JQ18" s="70" t="s">
        <v>562</v>
      </c>
      <c r="JR18" s="71">
        <v>43</v>
      </c>
      <c r="JS18" s="573">
        <f t="shared" si="31"/>
        <v>39710.5</v>
      </c>
      <c r="JV18" s="106"/>
      <c r="JW18" s="15">
        <v>11</v>
      </c>
      <c r="JX18" s="69">
        <v>904.5</v>
      </c>
      <c r="JY18" s="339">
        <v>44677</v>
      </c>
      <c r="JZ18" s="69">
        <v>904.5</v>
      </c>
      <c r="KA18" s="70" t="s">
        <v>576</v>
      </c>
      <c r="KB18" s="71">
        <v>44</v>
      </c>
      <c r="KC18" s="573">
        <f t="shared" si="32"/>
        <v>39798</v>
      </c>
      <c r="KE18" s="245"/>
      <c r="KF18" s="984"/>
      <c r="KG18" s="15">
        <v>11</v>
      </c>
      <c r="KH18" s="69">
        <v>870</v>
      </c>
      <c r="KI18" s="339">
        <v>44678</v>
      </c>
      <c r="KJ18" s="69">
        <v>870</v>
      </c>
      <c r="KK18" s="70" t="s">
        <v>585</v>
      </c>
      <c r="KL18" s="71">
        <v>45</v>
      </c>
      <c r="KM18" s="573">
        <f t="shared" si="33"/>
        <v>39150</v>
      </c>
      <c r="KP18" s="106"/>
      <c r="KQ18" s="15">
        <v>11</v>
      </c>
      <c r="KR18" s="69">
        <v>932.13</v>
      </c>
      <c r="KS18" s="339">
        <v>44678</v>
      </c>
      <c r="KT18" s="69">
        <v>932.13</v>
      </c>
      <c r="KU18" s="70" t="s">
        <v>588</v>
      </c>
      <c r="KV18" s="71">
        <v>45</v>
      </c>
      <c r="KW18" s="573">
        <f t="shared" si="34"/>
        <v>41945.85</v>
      </c>
      <c r="KZ18" s="106"/>
      <c r="LA18" s="15">
        <v>11</v>
      </c>
      <c r="LB18" s="92">
        <v>935.76</v>
      </c>
      <c r="LC18" s="327">
        <v>44679</v>
      </c>
      <c r="LD18" s="92">
        <v>935.76</v>
      </c>
      <c r="LE18" s="95" t="s">
        <v>595</v>
      </c>
      <c r="LF18" s="71">
        <v>46</v>
      </c>
      <c r="LG18" s="573">
        <f t="shared" si="35"/>
        <v>43044.959999999999</v>
      </c>
      <c r="LJ18" s="106"/>
      <c r="LK18" s="15">
        <v>11</v>
      </c>
      <c r="LL18" s="282">
        <v>891.8</v>
      </c>
      <c r="LM18" s="327">
        <v>44679</v>
      </c>
      <c r="LN18" s="282">
        <v>891.8</v>
      </c>
      <c r="LO18" s="95" t="s">
        <v>578</v>
      </c>
      <c r="LP18" s="71">
        <v>46</v>
      </c>
      <c r="LQ18" s="573">
        <f t="shared" si="36"/>
        <v>41022.799999999996</v>
      </c>
      <c r="LT18" s="106"/>
      <c r="LU18" s="15">
        <v>11</v>
      </c>
      <c r="LV18" s="92">
        <v>909.9</v>
      </c>
      <c r="LW18" s="327">
        <v>44682</v>
      </c>
      <c r="LX18" s="92">
        <v>909.9</v>
      </c>
      <c r="LY18" s="95" t="s">
        <v>609</v>
      </c>
      <c r="LZ18" s="71">
        <v>46</v>
      </c>
      <c r="MA18" s="573">
        <f t="shared" si="37"/>
        <v>41855.4</v>
      </c>
      <c r="MB18" s="573"/>
      <c r="MD18" s="106"/>
      <c r="ME18" s="15">
        <v>11</v>
      </c>
      <c r="MF18" s="392">
        <v>939.68</v>
      </c>
      <c r="MG18" s="327">
        <v>44680</v>
      </c>
      <c r="MH18" s="1116">
        <v>939.68</v>
      </c>
      <c r="MI18" s="322" t="s">
        <v>599</v>
      </c>
      <c r="MJ18" s="71">
        <v>46</v>
      </c>
      <c r="MK18" s="71">
        <f t="shared" si="38"/>
        <v>43225.279999999999</v>
      </c>
      <c r="MN18" s="106"/>
      <c r="MO18" s="15">
        <v>11</v>
      </c>
      <c r="MP18" s="92">
        <v>897.65</v>
      </c>
      <c r="MQ18" s="327">
        <v>44680</v>
      </c>
      <c r="MR18" s="92">
        <v>897.65</v>
      </c>
      <c r="MS18" s="95" t="s">
        <v>558</v>
      </c>
      <c r="MT18" s="71">
        <v>46</v>
      </c>
      <c r="MU18" s="71">
        <f t="shared" si="39"/>
        <v>41291.9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353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344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346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339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379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375</v>
      </c>
      <c r="BP19" s="826">
        <v>38</v>
      </c>
      <c r="BQ19" s="746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383</v>
      </c>
      <c r="BZ19" s="383">
        <v>38</v>
      </c>
      <c r="CA19" s="573">
        <f t="shared" si="13"/>
        <v>34127.800000000003</v>
      </c>
      <c r="CD19" s="772"/>
      <c r="CE19" s="15">
        <v>12</v>
      </c>
      <c r="CF19" s="92">
        <v>894.5</v>
      </c>
      <c r="CG19" s="381">
        <v>44656</v>
      </c>
      <c r="CH19" s="1064">
        <v>894.5</v>
      </c>
      <c r="CI19" s="384" t="s">
        <v>389</v>
      </c>
      <c r="CJ19" s="699">
        <v>38</v>
      </c>
      <c r="CK19" s="325">
        <f t="shared" si="14"/>
        <v>33991</v>
      </c>
      <c r="CN19" s="608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360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401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417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403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419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429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443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458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467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477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472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485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>
        <v>44673</v>
      </c>
      <c r="HH19" s="282">
        <v>877.2</v>
      </c>
      <c r="HI19" s="322" t="s">
        <v>545</v>
      </c>
      <c r="HJ19" s="269">
        <v>42</v>
      </c>
      <c r="HK19" s="573">
        <f t="shared" si="26"/>
        <v>36842.400000000001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482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489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>
        <v>44673</v>
      </c>
      <c r="IL19" s="69">
        <v>886.3</v>
      </c>
      <c r="IM19" s="70" t="s">
        <v>550</v>
      </c>
      <c r="IN19" s="71">
        <v>42</v>
      </c>
      <c r="IO19" s="573">
        <f t="shared" si="28"/>
        <v>37224.6</v>
      </c>
      <c r="IR19" s="106"/>
      <c r="IS19" s="15">
        <v>12</v>
      </c>
      <c r="IT19" s="282">
        <v>904.91</v>
      </c>
      <c r="IU19" s="248">
        <v>44673</v>
      </c>
      <c r="IV19" s="282">
        <v>904.91</v>
      </c>
      <c r="IW19" s="505" t="s">
        <v>545</v>
      </c>
      <c r="IX19" s="269">
        <v>42</v>
      </c>
      <c r="IY19" s="325">
        <f t="shared" si="29"/>
        <v>38006.22</v>
      </c>
      <c r="IZ19" s="92"/>
      <c r="JA19" s="105"/>
      <c r="JB19" s="106"/>
      <c r="JC19" s="15">
        <v>12</v>
      </c>
      <c r="JD19" s="92">
        <v>956.62</v>
      </c>
      <c r="JE19" s="339">
        <v>44674</v>
      </c>
      <c r="JF19" s="282">
        <v>956.62</v>
      </c>
      <c r="JG19" s="268" t="s">
        <v>555</v>
      </c>
      <c r="JH19" s="71">
        <v>43</v>
      </c>
      <c r="JI19" s="573">
        <f t="shared" si="30"/>
        <v>41134.660000000003</v>
      </c>
      <c r="JL19" s="106"/>
      <c r="JM19" s="15">
        <v>12</v>
      </c>
      <c r="JN19" s="92">
        <v>874.5</v>
      </c>
      <c r="JO19" s="327">
        <v>44674</v>
      </c>
      <c r="JP19" s="92">
        <v>874.5</v>
      </c>
      <c r="JQ19" s="70" t="s">
        <v>568</v>
      </c>
      <c r="JR19" s="71">
        <v>43</v>
      </c>
      <c r="JS19" s="573">
        <f t="shared" si="31"/>
        <v>37603.5</v>
      </c>
      <c r="JV19" s="94"/>
      <c r="JW19" s="15">
        <v>12</v>
      </c>
      <c r="JX19" s="69">
        <v>916.3</v>
      </c>
      <c r="JY19" s="339">
        <v>44677</v>
      </c>
      <c r="JZ19" s="69">
        <v>916.3</v>
      </c>
      <c r="KA19" s="70" t="s">
        <v>575</v>
      </c>
      <c r="KB19" s="71">
        <v>44</v>
      </c>
      <c r="KC19" s="573">
        <f t="shared" si="32"/>
        <v>40317.199999999997</v>
      </c>
      <c r="KE19" s="245"/>
      <c r="KF19" s="460"/>
      <c r="KG19" s="15">
        <v>12</v>
      </c>
      <c r="KH19" s="69">
        <v>909</v>
      </c>
      <c r="KI19" s="339">
        <v>44678</v>
      </c>
      <c r="KJ19" s="69">
        <v>909</v>
      </c>
      <c r="KK19" s="70" t="s">
        <v>585</v>
      </c>
      <c r="KL19" s="71">
        <v>45</v>
      </c>
      <c r="KM19" s="573">
        <f t="shared" si="33"/>
        <v>40905</v>
      </c>
      <c r="KP19" s="94"/>
      <c r="KQ19" s="15">
        <v>12</v>
      </c>
      <c r="KR19" s="69">
        <v>919.88</v>
      </c>
      <c r="KS19" s="339">
        <v>44678</v>
      </c>
      <c r="KT19" s="69">
        <v>919.88</v>
      </c>
      <c r="KU19" s="70" t="s">
        <v>588</v>
      </c>
      <c r="KV19" s="71">
        <v>45</v>
      </c>
      <c r="KW19" s="573">
        <f t="shared" si="34"/>
        <v>41394.6</v>
      </c>
      <c r="KZ19" s="106"/>
      <c r="LA19" s="15">
        <v>12</v>
      </c>
      <c r="LB19" s="69">
        <v>920.79</v>
      </c>
      <c r="LC19" s="327">
        <v>44679</v>
      </c>
      <c r="LD19" s="69">
        <v>920.79</v>
      </c>
      <c r="LE19" s="95" t="s">
        <v>595</v>
      </c>
      <c r="LF19" s="71">
        <v>46</v>
      </c>
      <c r="LG19" s="573">
        <f t="shared" si="35"/>
        <v>42356.34</v>
      </c>
      <c r="LJ19" s="106"/>
      <c r="LK19" s="15">
        <v>12</v>
      </c>
      <c r="LL19" s="282">
        <v>893.6</v>
      </c>
      <c r="LM19" s="327">
        <v>44679</v>
      </c>
      <c r="LN19" s="282">
        <v>893.6</v>
      </c>
      <c r="LO19" s="95" t="s">
        <v>578</v>
      </c>
      <c r="LP19" s="71">
        <v>46</v>
      </c>
      <c r="LQ19" s="573">
        <f t="shared" si="36"/>
        <v>41105.599999999999</v>
      </c>
      <c r="LT19" s="106"/>
      <c r="LU19" s="15">
        <v>12</v>
      </c>
      <c r="LV19" s="92">
        <v>886.3</v>
      </c>
      <c r="LW19" s="327">
        <v>44682</v>
      </c>
      <c r="LX19" s="92">
        <v>886.3</v>
      </c>
      <c r="LY19" s="95" t="s">
        <v>609</v>
      </c>
      <c r="LZ19" s="71">
        <v>46</v>
      </c>
      <c r="MA19" s="573">
        <f t="shared" si="37"/>
        <v>40769.799999999996</v>
      </c>
      <c r="MB19" s="573"/>
      <c r="MD19" s="106"/>
      <c r="ME19" s="15">
        <v>12</v>
      </c>
      <c r="MF19" s="392">
        <v>866.21</v>
      </c>
      <c r="MG19" s="327">
        <v>44680</v>
      </c>
      <c r="MH19" s="1116">
        <v>866.21</v>
      </c>
      <c r="MI19" s="322" t="s">
        <v>566</v>
      </c>
      <c r="MJ19" s="71">
        <v>46</v>
      </c>
      <c r="MK19" s="71">
        <f t="shared" si="38"/>
        <v>39845.660000000003</v>
      </c>
      <c r="MN19" s="106"/>
      <c r="MO19" s="15">
        <v>12</v>
      </c>
      <c r="MP19" s="92">
        <v>924.87</v>
      </c>
      <c r="MQ19" s="327">
        <v>44680</v>
      </c>
      <c r="MR19" s="92">
        <v>924.87</v>
      </c>
      <c r="MS19" s="95" t="s">
        <v>558</v>
      </c>
      <c r="MT19" s="71">
        <v>46</v>
      </c>
      <c r="MU19" s="71">
        <f t="shared" si="39"/>
        <v>42544.02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352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344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346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366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376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375</v>
      </c>
      <c r="BP20" s="826">
        <v>38</v>
      </c>
      <c r="BQ20" s="746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383</v>
      </c>
      <c r="BZ20" s="383">
        <v>38</v>
      </c>
      <c r="CA20" s="573">
        <f t="shared" si="13"/>
        <v>33196.800000000003</v>
      </c>
      <c r="CD20" s="772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390</v>
      </c>
      <c r="CJ20" s="699">
        <v>38</v>
      </c>
      <c r="CK20" s="325">
        <f t="shared" si="14"/>
        <v>34371</v>
      </c>
      <c r="CN20" s="608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360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401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406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403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420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436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443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458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466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471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472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484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493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482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423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>
        <v>44673</v>
      </c>
      <c r="IL20" s="69">
        <v>885</v>
      </c>
      <c r="IM20" s="70" t="s">
        <v>550</v>
      </c>
      <c r="IN20" s="71">
        <v>42</v>
      </c>
      <c r="IO20" s="573">
        <f t="shared" si="28"/>
        <v>37170</v>
      </c>
      <c r="IR20" s="106"/>
      <c r="IS20" s="15">
        <v>13</v>
      </c>
      <c r="IT20" s="282">
        <v>923.06</v>
      </c>
      <c r="IU20" s="248">
        <v>44673</v>
      </c>
      <c r="IV20" s="282">
        <v>923.06</v>
      </c>
      <c r="IW20" s="505" t="s">
        <v>545</v>
      </c>
      <c r="IX20" s="269">
        <v>42</v>
      </c>
      <c r="IY20" s="325">
        <f t="shared" si="29"/>
        <v>38768.519999999997</v>
      </c>
      <c r="IZ20" s="92"/>
      <c r="JB20" s="106"/>
      <c r="JC20" s="15">
        <v>13</v>
      </c>
      <c r="JD20" s="92">
        <v>913.98</v>
      </c>
      <c r="JE20" s="339">
        <v>44674</v>
      </c>
      <c r="JF20" s="282">
        <v>913.98</v>
      </c>
      <c r="JG20" s="268" t="s">
        <v>555</v>
      </c>
      <c r="JH20" s="71">
        <v>43</v>
      </c>
      <c r="JI20" s="573">
        <f t="shared" si="30"/>
        <v>39301.14</v>
      </c>
      <c r="JL20" s="106"/>
      <c r="JM20" s="15">
        <v>13</v>
      </c>
      <c r="JN20" s="92">
        <v>917.2</v>
      </c>
      <c r="JO20" s="327">
        <v>44674</v>
      </c>
      <c r="JP20" s="92">
        <v>917.2</v>
      </c>
      <c r="JQ20" s="70" t="s">
        <v>563</v>
      </c>
      <c r="JR20" s="71">
        <v>43</v>
      </c>
      <c r="JS20" s="573">
        <f t="shared" si="31"/>
        <v>39439.599999999999</v>
      </c>
      <c r="JV20" s="94"/>
      <c r="JW20" s="15">
        <v>13</v>
      </c>
      <c r="JX20" s="69">
        <v>938.9</v>
      </c>
      <c r="JY20" s="339">
        <v>44677</v>
      </c>
      <c r="JZ20" s="69">
        <v>938.9</v>
      </c>
      <c r="KA20" s="70" t="s">
        <v>575</v>
      </c>
      <c r="KB20" s="71">
        <v>44</v>
      </c>
      <c r="KC20" s="573">
        <f t="shared" si="32"/>
        <v>41311.599999999999</v>
      </c>
      <c r="KE20" s="245"/>
      <c r="KF20" s="460"/>
      <c r="KG20" s="15">
        <v>13</v>
      </c>
      <c r="KH20" s="69">
        <v>898.1</v>
      </c>
      <c r="KI20" s="339">
        <v>44678</v>
      </c>
      <c r="KJ20" s="69">
        <v>898.1</v>
      </c>
      <c r="KK20" s="70" t="s">
        <v>585</v>
      </c>
      <c r="KL20" s="71">
        <v>45</v>
      </c>
      <c r="KM20" s="573">
        <f t="shared" si="33"/>
        <v>40414.5</v>
      </c>
      <c r="KP20" s="94"/>
      <c r="KQ20" s="15">
        <v>13</v>
      </c>
      <c r="KR20" s="69">
        <v>959.8</v>
      </c>
      <c r="KS20" s="339">
        <v>44678</v>
      </c>
      <c r="KT20" s="69">
        <v>959.8</v>
      </c>
      <c r="KU20" s="70" t="s">
        <v>588</v>
      </c>
      <c r="KV20" s="71">
        <v>45</v>
      </c>
      <c r="KW20" s="573">
        <f t="shared" si="34"/>
        <v>43191</v>
      </c>
      <c r="KZ20" s="106"/>
      <c r="LA20" s="15">
        <v>13</v>
      </c>
      <c r="LB20" s="92">
        <v>935.3</v>
      </c>
      <c r="LC20" s="327">
        <v>44679</v>
      </c>
      <c r="LD20" s="92">
        <v>935.3</v>
      </c>
      <c r="LE20" s="95" t="s">
        <v>595</v>
      </c>
      <c r="LF20" s="71">
        <v>46</v>
      </c>
      <c r="LG20" s="573">
        <f t="shared" si="35"/>
        <v>43023.799999999996</v>
      </c>
      <c r="LJ20" s="106"/>
      <c r="LK20" s="15">
        <v>13</v>
      </c>
      <c r="LL20" s="282">
        <v>876.3</v>
      </c>
      <c r="LM20" s="327">
        <v>44679</v>
      </c>
      <c r="LN20" s="282">
        <v>876.3</v>
      </c>
      <c r="LO20" s="95" t="s">
        <v>578</v>
      </c>
      <c r="LP20" s="71">
        <v>46</v>
      </c>
      <c r="LQ20" s="573">
        <f t="shared" si="36"/>
        <v>40309.799999999996</v>
      </c>
      <c r="LT20" s="106"/>
      <c r="LU20" s="15">
        <v>13</v>
      </c>
      <c r="LV20" s="92">
        <v>883.6</v>
      </c>
      <c r="LW20" s="327">
        <v>44682</v>
      </c>
      <c r="LX20" s="92">
        <v>883.6</v>
      </c>
      <c r="LY20" s="95" t="s">
        <v>608</v>
      </c>
      <c r="LZ20" s="71">
        <v>46</v>
      </c>
      <c r="MA20" s="573">
        <f t="shared" si="37"/>
        <v>40645.599999999999</v>
      </c>
      <c r="MB20" s="573"/>
      <c r="MD20" s="106"/>
      <c r="ME20" s="15">
        <v>13</v>
      </c>
      <c r="MF20" s="392">
        <v>853.06</v>
      </c>
      <c r="MG20" s="327">
        <v>44680</v>
      </c>
      <c r="MH20" s="1116">
        <v>853.06</v>
      </c>
      <c r="MI20" s="322" t="s">
        <v>599</v>
      </c>
      <c r="MJ20" s="71">
        <v>46</v>
      </c>
      <c r="MK20" s="71">
        <f t="shared" si="38"/>
        <v>39240.759999999995</v>
      </c>
      <c r="MN20" s="106"/>
      <c r="MO20" s="15">
        <v>13</v>
      </c>
      <c r="MP20" s="92">
        <v>969.32</v>
      </c>
      <c r="MQ20" s="327">
        <v>44680</v>
      </c>
      <c r="MR20" s="92">
        <v>969.32</v>
      </c>
      <c r="MS20" s="95" t="s">
        <v>558</v>
      </c>
      <c r="MT20" s="71">
        <v>46</v>
      </c>
      <c r="MU20" s="71">
        <f t="shared" si="39"/>
        <v>44588.72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352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344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346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366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379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375</v>
      </c>
      <c r="BP21" s="826">
        <v>38</v>
      </c>
      <c r="BQ21" s="746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383</v>
      </c>
      <c r="BZ21" s="383">
        <v>38</v>
      </c>
      <c r="CA21" s="573">
        <f t="shared" si="13"/>
        <v>33299.4</v>
      </c>
      <c r="CD21" s="772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388</v>
      </c>
      <c r="CJ21" s="699">
        <v>38</v>
      </c>
      <c r="CK21" s="325">
        <f t="shared" si="14"/>
        <v>34371</v>
      </c>
      <c r="CN21" s="608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396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401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417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403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420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429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443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458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466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471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472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484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455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482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487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>
        <v>44673</v>
      </c>
      <c r="IL21" s="69">
        <v>893.6</v>
      </c>
      <c r="IM21" s="70" t="s">
        <v>551</v>
      </c>
      <c r="IN21" s="71">
        <v>42</v>
      </c>
      <c r="IO21" s="573">
        <f t="shared" si="28"/>
        <v>37531.200000000004</v>
      </c>
      <c r="IR21" s="106"/>
      <c r="IS21" s="15">
        <v>14</v>
      </c>
      <c r="IT21" s="282">
        <v>971.14</v>
      </c>
      <c r="IU21" s="248">
        <v>44673</v>
      </c>
      <c r="IV21" s="282">
        <v>971.14</v>
      </c>
      <c r="IW21" s="505" t="s">
        <v>545</v>
      </c>
      <c r="IX21" s="269">
        <v>42</v>
      </c>
      <c r="IY21" s="325">
        <f t="shared" si="29"/>
        <v>40787.879999999997</v>
      </c>
      <c r="IZ21" s="92"/>
      <c r="JB21" s="106"/>
      <c r="JC21" s="15">
        <v>14</v>
      </c>
      <c r="JD21" s="92">
        <v>928.5</v>
      </c>
      <c r="JE21" s="339">
        <v>44674</v>
      </c>
      <c r="JF21" s="282">
        <v>928.5</v>
      </c>
      <c r="JG21" s="268" t="s">
        <v>559</v>
      </c>
      <c r="JH21" s="71">
        <v>43</v>
      </c>
      <c r="JI21" s="573">
        <f t="shared" si="30"/>
        <v>39925.5</v>
      </c>
      <c r="JL21" s="106"/>
      <c r="JM21" s="15">
        <v>14</v>
      </c>
      <c r="JN21" s="92">
        <v>870.9</v>
      </c>
      <c r="JO21" s="327">
        <v>44674</v>
      </c>
      <c r="JP21" s="92">
        <v>870.9</v>
      </c>
      <c r="JQ21" s="70" t="s">
        <v>568</v>
      </c>
      <c r="JR21" s="71">
        <v>43</v>
      </c>
      <c r="JS21" s="573">
        <f t="shared" si="31"/>
        <v>37448.699999999997</v>
      </c>
      <c r="JV21" s="94"/>
      <c r="JW21" s="15">
        <v>14</v>
      </c>
      <c r="JX21" s="69">
        <v>940.7</v>
      </c>
      <c r="JY21" s="339">
        <v>44677</v>
      </c>
      <c r="JZ21" s="69">
        <v>940.7</v>
      </c>
      <c r="KA21" s="70" t="s">
        <v>575</v>
      </c>
      <c r="KB21" s="71">
        <v>44</v>
      </c>
      <c r="KC21" s="573">
        <f t="shared" si="32"/>
        <v>41390.800000000003</v>
      </c>
      <c r="KE21" s="245"/>
      <c r="KF21" s="460"/>
      <c r="KG21" s="15">
        <v>14</v>
      </c>
      <c r="KH21" s="69">
        <v>925.3</v>
      </c>
      <c r="KI21" s="339">
        <v>44678</v>
      </c>
      <c r="KJ21" s="69">
        <v>925.3</v>
      </c>
      <c r="KK21" s="70" t="s">
        <v>585</v>
      </c>
      <c r="KL21" s="71">
        <v>45</v>
      </c>
      <c r="KM21" s="573">
        <f t="shared" si="33"/>
        <v>41638.5</v>
      </c>
      <c r="KP21" s="94"/>
      <c r="KQ21" s="15">
        <v>14</v>
      </c>
      <c r="KR21" s="69">
        <v>917.16</v>
      </c>
      <c r="KS21" s="339">
        <v>44678</v>
      </c>
      <c r="KT21" s="69">
        <v>917.16</v>
      </c>
      <c r="KU21" s="70" t="s">
        <v>588</v>
      </c>
      <c r="KV21" s="71">
        <v>45</v>
      </c>
      <c r="KW21" s="573">
        <f t="shared" si="34"/>
        <v>41272.199999999997</v>
      </c>
      <c r="KZ21" s="106"/>
      <c r="LA21" s="15">
        <v>14</v>
      </c>
      <c r="LB21" s="92">
        <v>950.27</v>
      </c>
      <c r="LC21" s="327">
        <v>44679</v>
      </c>
      <c r="LD21" s="92">
        <v>950.27</v>
      </c>
      <c r="LE21" s="95" t="s">
        <v>595</v>
      </c>
      <c r="LF21" s="71">
        <v>46</v>
      </c>
      <c r="LG21" s="573">
        <f t="shared" si="35"/>
        <v>43712.42</v>
      </c>
      <c r="LJ21" s="106"/>
      <c r="LK21" s="15">
        <v>14</v>
      </c>
      <c r="LL21" s="282">
        <v>861.8</v>
      </c>
      <c r="LM21" s="327">
        <v>44679</v>
      </c>
      <c r="LN21" s="282">
        <v>861.8</v>
      </c>
      <c r="LO21" s="95" t="s">
        <v>578</v>
      </c>
      <c r="LP21" s="71">
        <v>46</v>
      </c>
      <c r="LQ21" s="573">
        <f t="shared" si="36"/>
        <v>39642.799999999996</v>
      </c>
      <c r="LT21" s="106"/>
      <c r="LU21" s="15">
        <v>14</v>
      </c>
      <c r="LV21" s="92">
        <v>915.3</v>
      </c>
      <c r="LW21" s="327">
        <v>44682</v>
      </c>
      <c r="LX21" s="92">
        <v>915.3</v>
      </c>
      <c r="LY21" s="95" t="s">
        <v>609</v>
      </c>
      <c r="LZ21" s="71">
        <v>46</v>
      </c>
      <c r="MA21" s="573">
        <f t="shared" si="37"/>
        <v>42103.799999999996</v>
      </c>
      <c r="MB21" s="573"/>
      <c r="MD21" s="106"/>
      <c r="ME21" s="15">
        <v>14</v>
      </c>
      <c r="MF21" s="392">
        <v>913.83</v>
      </c>
      <c r="MG21" s="327">
        <v>44680</v>
      </c>
      <c r="MH21" s="1116">
        <v>913.83</v>
      </c>
      <c r="MI21" s="322" t="s">
        <v>599</v>
      </c>
      <c r="MJ21" s="71">
        <v>46</v>
      </c>
      <c r="MK21" s="71">
        <f t="shared" si="38"/>
        <v>42036.18</v>
      </c>
      <c r="MN21" s="106"/>
      <c r="MO21" s="15">
        <v>14</v>
      </c>
      <c r="MP21" s="92">
        <v>969.32</v>
      </c>
      <c r="MQ21" s="327">
        <v>44680</v>
      </c>
      <c r="MR21" s="92">
        <v>969.32</v>
      </c>
      <c r="MS21" s="95" t="s">
        <v>558</v>
      </c>
      <c r="MT21" s="71">
        <v>46</v>
      </c>
      <c r="MU21" s="71">
        <f t="shared" si="39"/>
        <v>44588.72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352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344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346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339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377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375</v>
      </c>
      <c r="BP22" s="826">
        <v>38</v>
      </c>
      <c r="BQ22" s="746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383</v>
      </c>
      <c r="BZ22" s="383">
        <v>38</v>
      </c>
      <c r="CA22" s="573">
        <f t="shared" si="13"/>
        <v>35609.800000000003</v>
      </c>
      <c r="CD22" s="772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388</v>
      </c>
      <c r="CJ22" s="699">
        <v>38</v>
      </c>
      <c r="CK22" s="325">
        <f t="shared" si="14"/>
        <v>33713.599999999999</v>
      </c>
      <c r="CN22" s="608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393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401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417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403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419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436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439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458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465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471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472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484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493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482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453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>
        <v>44673</v>
      </c>
      <c r="IL22" s="69">
        <v>931.7</v>
      </c>
      <c r="IM22" s="70" t="s">
        <v>550</v>
      </c>
      <c r="IN22" s="71">
        <v>42</v>
      </c>
      <c r="IO22" s="573">
        <f t="shared" si="28"/>
        <v>39131.4</v>
      </c>
      <c r="IR22" s="106"/>
      <c r="IS22" s="15">
        <v>15</v>
      </c>
      <c r="IT22" s="282">
        <v>922.15</v>
      </c>
      <c r="IU22" s="248">
        <v>44673</v>
      </c>
      <c r="IV22" s="282">
        <v>922.15</v>
      </c>
      <c r="IW22" s="505" t="s">
        <v>545</v>
      </c>
      <c r="IX22" s="269">
        <v>42</v>
      </c>
      <c r="IY22" s="325">
        <f t="shared" si="29"/>
        <v>38730.299999999996</v>
      </c>
      <c r="IZ22" s="92"/>
      <c r="JB22" s="106"/>
      <c r="JC22" s="15">
        <v>15</v>
      </c>
      <c r="JD22" s="92">
        <v>972.95</v>
      </c>
      <c r="JE22" s="339">
        <v>44674</v>
      </c>
      <c r="JF22" s="282">
        <v>972.95</v>
      </c>
      <c r="JG22" s="268" t="s">
        <v>554</v>
      </c>
      <c r="JH22" s="71">
        <v>43</v>
      </c>
      <c r="JI22" s="573">
        <f t="shared" si="30"/>
        <v>41836.85</v>
      </c>
      <c r="JL22" s="106"/>
      <c r="JM22" s="15">
        <v>15</v>
      </c>
      <c r="JN22" s="92">
        <v>904.5</v>
      </c>
      <c r="JO22" s="327">
        <v>44674</v>
      </c>
      <c r="JP22" s="92">
        <v>904.5</v>
      </c>
      <c r="JQ22" s="70" t="s">
        <v>568</v>
      </c>
      <c r="JR22" s="71">
        <v>43</v>
      </c>
      <c r="JS22" s="573">
        <f t="shared" si="31"/>
        <v>38893.5</v>
      </c>
      <c r="JV22" s="94"/>
      <c r="JW22" s="15">
        <v>15</v>
      </c>
      <c r="JX22" s="69">
        <v>919.9</v>
      </c>
      <c r="JY22" s="339">
        <v>44677</v>
      </c>
      <c r="JZ22" s="69">
        <v>919.9</v>
      </c>
      <c r="KA22" s="70" t="s">
        <v>575</v>
      </c>
      <c r="KB22" s="71">
        <v>44</v>
      </c>
      <c r="KC22" s="573">
        <f t="shared" si="32"/>
        <v>40475.599999999999</v>
      </c>
      <c r="KE22" s="245"/>
      <c r="KF22" s="460"/>
      <c r="KG22" s="15">
        <v>15</v>
      </c>
      <c r="KH22" s="69">
        <v>870.9</v>
      </c>
      <c r="KI22" s="339">
        <v>44678</v>
      </c>
      <c r="KJ22" s="69">
        <v>870.9</v>
      </c>
      <c r="KK22" s="70" t="s">
        <v>585</v>
      </c>
      <c r="KL22" s="71">
        <v>45</v>
      </c>
      <c r="KM22" s="573">
        <f t="shared" si="33"/>
        <v>39190.5</v>
      </c>
      <c r="KP22" s="94"/>
      <c r="KQ22" s="15">
        <v>15</v>
      </c>
      <c r="KR22" s="69">
        <v>902.19</v>
      </c>
      <c r="KS22" s="339">
        <v>44678</v>
      </c>
      <c r="KT22" s="69">
        <v>902.19</v>
      </c>
      <c r="KU22" s="70" t="s">
        <v>588</v>
      </c>
      <c r="KV22" s="71">
        <v>45</v>
      </c>
      <c r="KW22" s="573">
        <f t="shared" si="34"/>
        <v>40598.550000000003</v>
      </c>
      <c r="KZ22" s="106"/>
      <c r="LA22" s="15">
        <v>15</v>
      </c>
      <c r="LB22" s="92">
        <v>942.56</v>
      </c>
      <c r="LC22" s="327">
        <v>44679</v>
      </c>
      <c r="LD22" s="92">
        <v>942.56</v>
      </c>
      <c r="LE22" s="95" t="s">
        <v>595</v>
      </c>
      <c r="LF22" s="71">
        <v>46</v>
      </c>
      <c r="LG22" s="573">
        <f t="shared" si="35"/>
        <v>43357.759999999995</v>
      </c>
      <c r="LJ22" s="106"/>
      <c r="LK22" s="15">
        <v>15</v>
      </c>
      <c r="LL22" s="282">
        <v>870.9</v>
      </c>
      <c r="LM22" s="327">
        <v>44679</v>
      </c>
      <c r="LN22" s="282">
        <v>870.9</v>
      </c>
      <c r="LO22" s="95" t="s">
        <v>578</v>
      </c>
      <c r="LP22" s="71">
        <v>46</v>
      </c>
      <c r="LQ22" s="573">
        <f t="shared" si="36"/>
        <v>40061.4</v>
      </c>
      <c r="LT22" s="106"/>
      <c r="LU22" s="15">
        <v>15</v>
      </c>
      <c r="LV22" s="92">
        <v>864.5</v>
      </c>
      <c r="LW22" s="327">
        <v>44682</v>
      </c>
      <c r="LX22" s="92">
        <v>864.5</v>
      </c>
      <c r="LY22" s="95" t="s">
        <v>609</v>
      </c>
      <c r="LZ22" s="71">
        <v>46</v>
      </c>
      <c r="MA22" s="573">
        <f t="shared" si="37"/>
        <v>39767</v>
      </c>
      <c r="MB22" s="573"/>
      <c r="MD22" s="106"/>
      <c r="ME22" s="15">
        <v>15</v>
      </c>
      <c r="MF22" s="392">
        <v>903.85</v>
      </c>
      <c r="MG22" s="327">
        <v>44680</v>
      </c>
      <c r="MH22" s="1116">
        <v>903.85</v>
      </c>
      <c r="MI22" s="322" t="s">
        <v>599</v>
      </c>
      <c r="MJ22" s="71">
        <v>46</v>
      </c>
      <c r="MK22" s="71">
        <f t="shared" si="38"/>
        <v>41577.1</v>
      </c>
      <c r="MN22" s="106"/>
      <c r="MO22" s="15">
        <v>15</v>
      </c>
      <c r="MP22" s="92">
        <v>935.76</v>
      </c>
      <c r="MQ22" s="327">
        <v>44680</v>
      </c>
      <c r="MR22" s="92">
        <v>935.76</v>
      </c>
      <c r="MS22" s="95" t="s">
        <v>558</v>
      </c>
      <c r="MT22" s="71">
        <v>46</v>
      </c>
      <c r="MU22" s="71">
        <f t="shared" si="39"/>
        <v>43044.959999999999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352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344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346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339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379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375</v>
      </c>
      <c r="BP23" s="826">
        <v>38</v>
      </c>
      <c r="BQ23" s="746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383</v>
      </c>
      <c r="BZ23" s="383">
        <v>38</v>
      </c>
      <c r="CA23" s="573">
        <f t="shared" si="13"/>
        <v>34576.199999999997</v>
      </c>
      <c r="CD23" s="772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387</v>
      </c>
      <c r="CJ23" s="699">
        <v>38</v>
      </c>
      <c r="CK23" s="325">
        <f t="shared" si="14"/>
        <v>34405.199999999997</v>
      </c>
      <c r="CN23" s="608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360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401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408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403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420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436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443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458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460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471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472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484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492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482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487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>
        <v>44673</v>
      </c>
      <c r="IL23" s="69">
        <v>879.1</v>
      </c>
      <c r="IM23" s="70" t="s">
        <v>547</v>
      </c>
      <c r="IN23" s="71">
        <v>42</v>
      </c>
      <c r="IO23" s="573">
        <f t="shared" si="28"/>
        <v>36922.200000000004</v>
      </c>
      <c r="IR23" s="106"/>
      <c r="IS23" s="15">
        <v>16</v>
      </c>
      <c r="IT23" s="282">
        <v>947.55</v>
      </c>
      <c r="IU23" s="248">
        <v>44673</v>
      </c>
      <c r="IV23" s="282">
        <v>947.55</v>
      </c>
      <c r="IW23" s="505" t="s">
        <v>545</v>
      </c>
      <c r="IX23" s="269">
        <v>42</v>
      </c>
      <c r="IY23" s="325">
        <f t="shared" si="29"/>
        <v>39797.1</v>
      </c>
      <c r="IZ23" s="105"/>
      <c r="JA23" s="69"/>
      <c r="JB23" s="106"/>
      <c r="JC23" s="15">
        <v>16</v>
      </c>
      <c r="JD23" s="92">
        <v>908.19</v>
      </c>
      <c r="JE23" s="339">
        <v>44674</v>
      </c>
      <c r="JF23" s="282">
        <v>908.19</v>
      </c>
      <c r="JG23" s="268" t="s">
        <v>555</v>
      </c>
      <c r="JH23" s="71">
        <v>43</v>
      </c>
      <c r="JI23" s="573">
        <f t="shared" si="30"/>
        <v>39052.170000000006</v>
      </c>
      <c r="JL23" s="106"/>
      <c r="JM23" s="15">
        <v>16</v>
      </c>
      <c r="JN23" s="92">
        <v>916.3</v>
      </c>
      <c r="JO23" s="327">
        <v>44674</v>
      </c>
      <c r="JP23" s="92">
        <v>916.3</v>
      </c>
      <c r="JQ23" s="70" t="s">
        <v>561</v>
      </c>
      <c r="JR23" s="71">
        <v>43</v>
      </c>
      <c r="JS23" s="573">
        <f t="shared" si="31"/>
        <v>39400.9</v>
      </c>
      <c r="JV23" s="94"/>
      <c r="JW23" s="15">
        <v>16</v>
      </c>
      <c r="JX23" s="69">
        <v>934.4</v>
      </c>
      <c r="JY23" s="339">
        <v>44677</v>
      </c>
      <c r="JZ23" s="69">
        <v>934.4</v>
      </c>
      <c r="KA23" s="70" t="s">
        <v>575</v>
      </c>
      <c r="KB23" s="71">
        <v>44</v>
      </c>
      <c r="KC23" s="573">
        <f t="shared" si="32"/>
        <v>41113.599999999999</v>
      </c>
      <c r="KE23" s="245"/>
      <c r="KF23" s="460"/>
      <c r="KG23" s="15">
        <v>16</v>
      </c>
      <c r="KH23" s="69">
        <v>940.7</v>
      </c>
      <c r="KI23" s="339">
        <v>44678</v>
      </c>
      <c r="KJ23" s="69">
        <v>940.7</v>
      </c>
      <c r="KK23" s="70" t="s">
        <v>585</v>
      </c>
      <c r="KL23" s="71">
        <v>45</v>
      </c>
      <c r="KM23" s="573">
        <f t="shared" si="33"/>
        <v>42331.5</v>
      </c>
      <c r="KP23" s="94"/>
      <c r="KQ23" s="15">
        <v>16</v>
      </c>
      <c r="KR23" s="69">
        <v>918.52</v>
      </c>
      <c r="KS23" s="339">
        <v>44678</v>
      </c>
      <c r="KT23" s="69">
        <v>918.52</v>
      </c>
      <c r="KU23" s="70" t="s">
        <v>588</v>
      </c>
      <c r="KV23" s="71">
        <v>45</v>
      </c>
      <c r="KW23" s="573">
        <f t="shared" si="34"/>
        <v>41333.4</v>
      </c>
      <c r="KZ23" s="106"/>
      <c r="LA23" s="15">
        <v>16</v>
      </c>
      <c r="LB23" s="92">
        <v>968.41</v>
      </c>
      <c r="LC23" s="327">
        <v>44679</v>
      </c>
      <c r="LD23" s="92">
        <v>968.41</v>
      </c>
      <c r="LE23" s="95" t="s">
        <v>595</v>
      </c>
      <c r="LF23" s="71">
        <v>46</v>
      </c>
      <c r="LG23" s="573">
        <f t="shared" si="35"/>
        <v>44546.86</v>
      </c>
      <c r="LJ23" s="106"/>
      <c r="LK23" s="15">
        <v>16</v>
      </c>
      <c r="LL23" s="282">
        <v>924.4</v>
      </c>
      <c r="LM23" s="327">
        <v>44679</v>
      </c>
      <c r="LN23" s="282">
        <v>924.4</v>
      </c>
      <c r="LO23" s="95" t="s">
        <v>578</v>
      </c>
      <c r="LP23" s="71">
        <v>46</v>
      </c>
      <c r="LQ23" s="573">
        <f t="shared" si="36"/>
        <v>42522.400000000001</v>
      </c>
      <c r="LT23" s="106"/>
      <c r="LU23" s="15">
        <v>16</v>
      </c>
      <c r="LV23" s="92">
        <v>885.4</v>
      </c>
      <c r="LW23" s="327">
        <v>44682</v>
      </c>
      <c r="LX23" s="92">
        <v>885.4</v>
      </c>
      <c r="LY23" s="95" t="s">
        <v>608</v>
      </c>
      <c r="LZ23" s="71">
        <v>46</v>
      </c>
      <c r="MA23" s="573">
        <f t="shared" si="37"/>
        <v>40728.400000000001</v>
      </c>
      <c r="MB23" s="573"/>
      <c r="MD23" s="106"/>
      <c r="ME23" s="15">
        <v>16</v>
      </c>
      <c r="MF23" s="392">
        <v>877.55</v>
      </c>
      <c r="MG23" s="327">
        <v>44680</v>
      </c>
      <c r="MH23" s="1116">
        <v>877.55</v>
      </c>
      <c r="MI23" s="322" t="s">
        <v>566</v>
      </c>
      <c r="MJ23" s="71">
        <v>46</v>
      </c>
      <c r="MK23" s="71">
        <f t="shared" si="38"/>
        <v>40367.299999999996</v>
      </c>
      <c r="MN23" s="106"/>
      <c r="MO23" s="15">
        <v>16</v>
      </c>
      <c r="MP23" s="92">
        <v>912.17</v>
      </c>
      <c r="MQ23" s="327">
        <v>44680</v>
      </c>
      <c r="MR23" s="92">
        <v>912.17</v>
      </c>
      <c r="MS23" s="95" t="s">
        <v>558</v>
      </c>
      <c r="MT23" s="71">
        <v>46</v>
      </c>
      <c r="MU23" s="71">
        <f t="shared" si="39"/>
        <v>41959.82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352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344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346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366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376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375</v>
      </c>
      <c r="BP24" s="826">
        <v>38</v>
      </c>
      <c r="BQ24" s="746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383</v>
      </c>
      <c r="BZ24" s="383">
        <v>38</v>
      </c>
      <c r="CA24" s="573">
        <f t="shared" si="13"/>
        <v>34853.599999999999</v>
      </c>
      <c r="CD24" s="772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390</v>
      </c>
      <c r="CJ24" s="699">
        <v>38</v>
      </c>
      <c r="CK24" s="325">
        <f t="shared" si="14"/>
        <v>35024.6</v>
      </c>
      <c r="CN24" s="608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360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401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408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342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420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436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443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458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465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471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472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484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493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482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487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>
        <v>44673</v>
      </c>
      <c r="IL24" s="69">
        <v>864.5</v>
      </c>
      <c r="IM24" s="70" t="s">
        <v>547</v>
      </c>
      <c r="IN24" s="71">
        <v>42</v>
      </c>
      <c r="IO24" s="573">
        <f t="shared" si="28"/>
        <v>36309</v>
      </c>
      <c r="IR24" s="106"/>
      <c r="IS24" s="15">
        <v>17</v>
      </c>
      <c r="IT24" s="282">
        <v>972.95</v>
      </c>
      <c r="IU24" s="248">
        <v>44673</v>
      </c>
      <c r="IV24" s="282">
        <v>972.95</v>
      </c>
      <c r="IW24" s="505" t="s">
        <v>545</v>
      </c>
      <c r="IX24" s="269">
        <v>42</v>
      </c>
      <c r="IY24" s="325">
        <f t="shared" si="29"/>
        <v>40863.9</v>
      </c>
      <c r="JA24" s="69"/>
      <c r="JB24" s="106"/>
      <c r="JC24" s="15">
        <v>17</v>
      </c>
      <c r="JD24" s="92">
        <v>950.27</v>
      </c>
      <c r="JE24" s="339">
        <v>44674</v>
      </c>
      <c r="JF24" s="282">
        <v>950.27</v>
      </c>
      <c r="JG24" s="268" t="s">
        <v>562</v>
      </c>
      <c r="JH24" s="71">
        <v>43</v>
      </c>
      <c r="JI24" s="325">
        <f t="shared" si="30"/>
        <v>40861.61</v>
      </c>
      <c r="JL24" s="106"/>
      <c r="JM24" s="15">
        <v>17</v>
      </c>
      <c r="JN24" s="92">
        <v>904.5</v>
      </c>
      <c r="JO24" s="327">
        <v>44674</v>
      </c>
      <c r="JP24" s="92">
        <v>904.5</v>
      </c>
      <c r="JQ24" s="70" t="s">
        <v>568</v>
      </c>
      <c r="JR24" s="71">
        <v>43</v>
      </c>
      <c r="JS24" s="573">
        <f t="shared" si="31"/>
        <v>38893.5</v>
      </c>
      <c r="JV24" s="94"/>
      <c r="JW24" s="15">
        <v>17</v>
      </c>
      <c r="JX24" s="69">
        <v>909.9</v>
      </c>
      <c r="JY24" s="339">
        <v>44677</v>
      </c>
      <c r="JZ24" s="69">
        <v>909.9</v>
      </c>
      <c r="KA24" s="70" t="s">
        <v>575</v>
      </c>
      <c r="KB24" s="71">
        <v>44</v>
      </c>
      <c r="KC24" s="573">
        <f t="shared" si="32"/>
        <v>40035.599999999999</v>
      </c>
      <c r="KE24" s="245"/>
      <c r="KF24" s="460"/>
      <c r="KG24" s="15">
        <v>17</v>
      </c>
      <c r="KH24" s="69">
        <v>925.3</v>
      </c>
      <c r="KI24" s="339">
        <v>44678</v>
      </c>
      <c r="KJ24" s="69">
        <v>925.3</v>
      </c>
      <c r="KK24" s="70" t="s">
        <v>585</v>
      </c>
      <c r="KL24" s="71">
        <v>45</v>
      </c>
      <c r="KM24" s="573">
        <f t="shared" si="33"/>
        <v>41638.5</v>
      </c>
      <c r="KP24" s="94"/>
      <c r="KQ24" s="15">
        <v>17</v>
      </c>
      <c r="KR24" s="69">
        <v>933.49</v>
      </c>
      <c r="KS24" s="339">
        <v>44678</v>
      </c>
      <c r="KT24" s="69">
        <v>933.49</v>
      </c>
      <c r="KU24" s="70" t="s">
        <v>588</v>
      </c>
      <c r="KV24" s="71">
        <v>45</v>
      </c>
      <c r="KW24" s="573">
        <f t="shared" si="34"/>
        <v>42007.05</v>
      </c>
      <c r="KZ24" s="106"/>
      <c r="LA24" s="15">
        <v>17</v>
      </c>
      <c r="LB24" s="92">
        <v>971.59</v>
      </c>
      <c r="LC24" s="327">
        <v>44679</v>
      </c>
      <c r="LD24" s="92">
        <v>971.59</v>
      </c>
      <c r="LE24" s="95" t="s">
        <v>595</v>
      </c>
      <c r="LF24" s="71">
        <v>46</v>
      </c>
      <c r="LG24" s="573">
        <f t="shared" si="35"/>
        <v>44693.14</v>
      </c>
      <c r="LJ24" s="106"/>
      <c r="LK24" s="15">
        <v>17</v>
      </c>
      <c r="LL24" s="282">
        <v>939.8</v>
      </c>
      <c r="LM24" s="327">
        <v>44679</v>
      </c>
      <c r="LN24" s="282">
        <v>939.8</v>
      </c>
      <c r="LO24" s="95" t="s">
        <v>578</v>
      </c>
      <c r="LP24" s="71">
        <v>46</v>
      </c>
      <c r="LQ24" s="573">
        <f t="shared" si="36"/>
        <v>43230.799999999996</v>
      </c>
      <c r="LT24" s="106"/>
      <c r="LU24" s="15">
        <v>17</v>
      </c>
      <c r="LV24" s="92">
        <v>875.4</v>
      </c>
      <c r="LW24" s="327">
        <v>44682</v>
      </c>
      <c r="LX24" s="92">
        <v>875.4</v>
      </c>
      <c r="LY24" s="95" t="s">
        <v>609</v>
      </c>
      <c r="LZ24" s="71">
        <v>46</v>
      </c>
      <c r="MA24" s="573">
        <f t="shared" si="37"/>
        <v>40268.400000000001</v>
      </c>
      <c r="MB24" s="573"/>
      <c r="MD24" s="106"/>
      <c r="ME24" s="15">
        <v>17</v>
      </c>
      <c r="MF24" s="392">
        <v>875.28</v>
      </c>
      <c r="MG24" s="327">
        <v>44680</v>
      </c>
      <c r="MH24" s="1116">
        <v>875.28</v>
      </c>
      <c r="MI24" s="322" t="s">
        <v>599</v>
      </c>
      <c r="MJ24" s="71">
        <v>46</v>
      </c>
      <c r="MK24" s="71">
        <f t="shared" si="38"/>
        <v>40262.879999999997</v>
      </c>
      <c r="MN24" s="106"/>
      <c r="MO24" s="15">
        <v>17</v>
      </c>
      <c r="MP24" s="92">
        <v>931.67</v>
      </c>
      <c r="MQ24" s="327">
        <v>44680</v>
      </c>
      <c r="MR24" s="92">
        <v>931.67</v>
      </c>
      <c r="MS24" s="95" t="s">
        <v>558</v>
      </c>
      <c r="MT24" s="71">
        <v>46</v>
      </c>
      <c r="MU24" s="71">
        <f t="shared" si="39"/>
        <v>42856.82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352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344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346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366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371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375</v>
      </c>
      <c r="BP25" s="826">
        <v>38</v>
      </c>
      <c r="BQ25" s="746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383</v>
      </c>
      <c r="BZ25" s="383">
        <v>38</v>
      </c>
      <c r="CA25" s="573">
        <f t="shared" si="13"/>
        <v>35541.4</v>
      </c>
      <c r="CD25" s="772"/>
      <c r="CE25" s="15">
        <v>18</v>
      </c>
      <c r="CF25" s="92">
        <v>888.1</v>
      </c>
      <c r="CG25" s="381">
        <v>44656</v>
      </c>
      <c r="CH25" s="1064">
        <v>888.1</v>
      </c>
      <c r="CI25" s="384" t="s">
        <v>389</v>
      </c>
      <c r="CJ25" s="383">
        <v>38</v>
      </c>
      <c r="CK25" s="573">
        <f t="shared" si="14"/>
        <v>33747.800000000003</v>
      </c>
      <c r="CN25" s="608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395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401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408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361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420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436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428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458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467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470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472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484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493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482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487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>
        <v>44673</v>
      </c>
      <c r="IL25" s="69">
        <v>877.2</v>
      </c>
      <c r="IM25" s="70" t="s">
        <v>547</v>
      </c>
      <c r="IN25" s="71">
        <v>42</v>
      </c>
      <c r="IO25" s="573">
        <f t="shared" si="28"/>
        <v>36842.400000000001</v>
      </c>
      <c r="IR25" s="94"/>
      <c r="IS25" s="15">
        <v>18</v>
      </c>
      <c r="IT25" s="282">
        <v>917.61</v>
      </c>
      <c r="IU25" s="248">
        <v>44673</v>
      </c>
      <c r="IV25" s="282">
        <v>917.61</v>
      </c>
      <c r="IW25" s="505" t="s">
        <v>545</v>
      </c>
      <c r="IX25" s="269">
        <v>42</v>
      </c>
      <c r="IY25" s="325">
        <f t="shared" si="29"/>
        <v>38539.620000000003</v>
      </c>
      <c r="JA25" s="69"/>
      <c r="JB25" s="94"/>
      <c r="JC25" s="15">
        <v>18</v>
      </c>
      <c r="JD25" s="92">
        <v>928.04</v>
      </c>
      <c r="JE25" s="339">
        <v>44674</v>
      </c>
      <c r="JF25" s="282">
        <v>928.04</v>
      </c>
      <c r="JG25" s="268" t="s">
        <v>555</v>
      </c>
      <c r="JH25" s="71">
        <v>43</v>
      </c>
      <c r="JI25" s="573">
        <f t="shared" si="30"/>
        <v>39905.72</v>
      </c>
      <c r="JL25" s="94"/>
      <c r="JM25" s="15">
        <v>18</v>
      </c>
      <c r="JN25" s="92">
        <v>873.6</v>
      </c>
      <c r="JO25" s="327">
        <v>44674</v>
      </c>
      <c r="JP25" s="92">
        <v>873.6</v>
      </c>
      <c r="JQ25" s="70" t="s">
        <v>562</v>
      </c>
      <c r="JR25" s="71">
        <v>43</v>
      </c>
      <c r="JS25" s="573">
        <f t="shared" si="31"/>
        <v>37564.800000000003</v>
      </c>
      <c r="JV25" s="94"/>
      <c r="JW25" s="15">
        <v>18</v>
      </c>
      <c r="JX25" s="69">
        <v>929.9</v>
      </c>
      <c r="JY25" s="339">
        <v>44677</v>
      </c>
      <c r="JZ25" s="69">
        <v>929.9</v>
      </c>
      <c r="KA25" s="70" t="s">
        <v>575</v>
      </c>
      <c r="KB25" s="71">
        <v>44</v>
      </c>
      <c r="KC25" s="573">
        <f t="shared" si="32"/>
        <v>40915.599999999999</v>
      </c>
      <c r="KE25" s="245"/>
      <c r="KF25" s="460"/>
      <c r="KG25" s="15">
        <v>18</v>
      </c>
      <c r="KH25" s="69">
        <v>927.11</v>
      </c>
      <c r="KI25" s="339">
        <v>44678</v>
      </c>
      <c r="KJ25" s="69">
        <v>927.11</v>
      </c>
      <c r="KK25" s="70" t="s">
        <v>585</v>
      </c>
      <c r="KL25" s="71">
        <v>45</v>
      </c>
      <c r="KM25" s="573">
        <f t="shared" si="33"/>
        <v>41719.949999999997</v>
      </c>
      <c r="KP25" s="94"/>
      <c r="KQ25" s="15">
        <v>18</v>
      </c>
      <c r="KR25" s="69">
        <v>890.85</v>
      </c>
      <c r="KS25" s="339">
        <v>44678</v>
      </c>
      <c r="KT25" s="69">
        <v>890.85</v>
      </c>
      <c r="KU25" s="70" t="s">
        <v>588</v>
      </c>
      <c r="KV25" s="71">
        <v>45</v>
      </c>
      <c r="KW25" s="573">
        <f t="shared" si="34"/>
        <v>40088.25</v>
      </c>
      <c r="KZ25" s="94"/>
      <c r="LA25" s="15">
        <v>18</v>
      </c>
      <c r="LB25" s="92">
        <v>954.81</v>
      </c>
      <c r="LC25" s="327">
        <v>44679</v>
      </c>
      <c r="LD25" s="92">
        <v>954.81</v>
      </c>
      <c r="LE25" s="95" t="s">
        <v>595</v>
      </c>
      <c r="LF25" s="71">
        <v>46</v>
      </c>
      <c r="LG25" s="573">
        <f t="shared" si="35"/>
        <v>43921.259999999995</v>
      </c>
      <c r="LJ25" s="94"/>
      <c r="LK25" s="15">
        <v>18</v>
      </c>
      <c r="LL25" s="282">
        <v>893.6</v>
      </c>
      <c r="LM25" s="327">
        <v>44679</v>
      </c>
      <c r="LN25" s="282">
        <v>893.6</v>
      </c>
      <c r="LO25" s="95" t="s">
        <v>578</v>
      </c>
      <c r="LP25" s="71">
        <v>46</v>
      </c>
      <c r="LQ25" s="573">
        <f t="shared" si="36"/>
        <v>41105.599999999999</v>
      </c>
      <c r="LT25" s="94"/>
      <c r="LU25" s="15">
        <v>18</v>
      </c>
      <c r="LV25" s="92">
        <v>889</v>
      </c>
      <c r="LW25" s="327">
        <v>44682</v>
      </c>
      <c r="LX25" s="92">
        <v>889</v>
      </c>
      <c r="LY25" s="95" t="s">
        <v>609</v>
      </c>
      <c r="LZ25" s="71">
        <v>46</v>
      </c>
      <c r="MA25" s="573">
        <f t="shared" si="37"/>
        <v>40894</v>
      </c>
      <c r="MB25" s="573"/>
      <c r="MD25" s="94"/>
      <c r="ME25" s="15">
        <v>18</v>
      </c>
      <c r="MF25" s="392">
        <v>899.32</v>
      </c>
      <c r="MG25" s="327">
        <v>44680</v>
      </c>
      <c r="MH25" s="1116">
        <v>899.32</v>
      </c>
      <c r="MI25" s="322" t="s">
        <v>566</v>
      </c>
      <c r="MJ25" s="71">
        <v>46</v>
      </c>
      <c r="MK25" s="71">
        <f t="shared" si="38"/>
        <v>41368.720000000001</v>
      </c>
      <c r="MN25" s="94"/>
      <c r="MO25" s="15">
        <v>18</v>
      </c>
      <c r="MP25" s="92">
        <v>948</v>
      </c>
      <c r="MQ25" s="327">
        <v>44680</v>
      </c>
      <c r="MR25" s="92">
        <v>948</v>
      </c>
      <c r="MS25" s="95" t="s">
        <v>558</v>
      </c>
      <c r="MT25" s="71">
        <v>46</v>
      </c>
      <c r="MU25" s="71">
        <f t="shared" si="39"/>
        <v>43608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352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344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346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366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371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375</v>
      </c>
      <c r="BP26" s="826">
        <v>38</v>
      </c>
      <c r="BQ26" s="746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383</v>
      </c>
      <c r="BZ26" s="383">
        <v>38</v>
      </c>
      <c r="CA26" s="573">
        <f t="shared" si="13"/>
        <v>35370.400000000001</v>
      </c>
      <c r="CD26" s="772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390</v>
      </c>
      <c r="CJ26" s="383">
        <v>38</v>
      </c>
      <c r="CK26" s="573">
        <f t="shared" si="14"/>
        <v>34956.199999999997</v>
      </c>
      <c r="CN26" s="608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360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401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408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403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419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429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428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447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465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471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472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484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455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482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453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>
        <v>44673</v>
      </c>
      <c r="IL26" s="69">
        <v>927.1</v>
      </c>
      <c r="IM26" s="70" t="s">
        <v>546</v>
      </c>
      <c r="IN26" s="71">
        <v>42</v>
      </c>
      <c r="IO26" s="573">
        <f t="shared" si="28"/>
        <v>38938.200000000004</v>
      </c>
      <c r="IR26" s="106"/>
      <c r="IS26" s="15">
        <v>19</v>
      </c>
      <c r="IT26" s="282">
        <v>962.97</v>
      </c>
      <c r="IU26" s="248">
        <v>44673</v>
      </c>
      <c r="IV26" s="282">
        <v>962.97</v>
      </c>
      <c r="IW26" s="505" t="s">
        <v>545</v>
      </c>
      <c r="IX26" s="269">
        <v>42</v>
      </c>
      <c r="IY26" s="325">
        <f t="shared" si="29"/>
        <v>40444.74</v>
      </c>
      <c r="JA26" s="69"/>
      <c r="JB26" s="106"/>
      <c r="JC26" s="15">
        <v>19</v>
      </c>
      <c r="JD26" s="92">
        <v>919.88</v>
      </c>
      <c r="JE26" s="339">
        <v>44674</v>
      </c>
      <c r="JF26" s="282">
        <v>919.88</v>
      </c>
      <c r="JG26" s="268" t="s">
        <v>555</v>
      </c>
      <c r="JH26" s="71">
        <v>43</v>
      </c>
      <c r="JI26" s="573">
        <f t="shared" si="30"/>
        <v>39554.839999999997</v>
      </c>
      <c r="JL26" s="106"/>
      <c r="JM26" s="15">
        <v>19</v>
      </c>
      <c r="JN26" s="92">
        <v>880</v>
      </c>
      <c r="JO26" s="327">
        <v>44674</v>
      </c>
      <c r="JP26" s="92">
        <v>880</v>
      </c>
      <c r="JQ26" s="70" t="s">
        <v>568</v>
      </c>
      <c r="JR26" s="71">
        <v>43</v>
      </c>
      <c r="JS26" s="573">
        <f t="shared" si="31"/>
        <v>37840</v>
      </c>
      <c r="JV26" s="94"/>
      <c r="JW26" s="15">
        <v>19</v>
      </c>
      <c r="JX26" s="69">
        <v>924.4</v>
      </c>
      <c r="JY26" s="339">
        <v>44677</v>
      </c>
      <c r="JZ26" s="69">
        <v>924.4</v>
      </c>
      <c r="KA26" s="70" t="s">
        <v>575</v>
      </c>
      <c r="KB26" s="71">
        <v>44</v>
      </c>
      <c r="KC26" s="573">
        <f t="shared" si="32"/>
        <v>40673.599999999999</v>
      </c>
      <c r="KE26" s="245"/>
      <c r="KF26" s="460"/>
      <c r="KG26" s="15">
        <v>19</v>
      </c>
      <c r="KH26" s="69">
        <v>897.2</v>
      </c>
      <c r="KI26" s="339">
        <v>44678</v>
      </c>
      <c r="KJ26" s="69">
        <v>897.2</v>
      </c>
      <c r="KK26" s="70" t="s">
        <v>585</v>
      </c>
      <c r="KL26" s="71">
        <v>45</v>
      </c>
      <c r="KM26" s="573">
        <f t="shared" si="33"/>
        <v>40374</v>
      </c>
      <c r="KP26" s="94"/>
      <c r="KQ26" s="15">
        <v>19</v>
      </c>
      <c r="KR26" s="69">
        <v>892.66</v>
      </c>
      <c r="KS26" s="339">
        <v>44678</v>
      </c>
      <c r="KT26" s="69">
        <v>892.66</v>
      </c>
      <c r="KU26" s="70" t="s">
        <v>588</v>
      </c>
      <c r="KV26" s="71">
        <v>45</v>
      </c>
      <c r="KW26" s="573">
        <f t="shared" si="34"/>
        <v>40169.699999999997</v>
      </c>
      <c r="KZ26" s="106"/>
      <c r="LA26" s="15">
        <v>19</v>
      </c>
      <c r="LB26" s="92">
        <v>965.24</v>
      </c>
      <c r="LC26" s="327">
        <v>44679</v>
      </c>
      <c r="LD26" s="92">
        <v>965.24</v>
      </c>
      <c r="LE26" s="95" t="s">
        <v>595</v>
      </c>
      <c r="LF26" s="71">
        <v>46</v>
      </c>
      <c r="LG26" s="573">
        <f t="shared" si="35"/>
        <v>44401.04</v>
      </c>
      <c r="LJ26" s="106"/>
      <c r="LK26" s="15">
        <v>19</v>
      </c>
      <c r="LL26" s="282">
        <v>936.2</v>
      </c>
      <c r="LM26" s="327">
        <v>44679</v>
      </c>
      <c r="LN26" s="282">
        <v>936.2</v>
      </c>
      <c r="LO26" s="95" t="s">
        <v>578</v>
      </c>
      <c r="LP26" s="71">
        <v>46</v>
      </c>
      <c r="LQ26" s="573">
        <f t="shared" si="36"/>
        <v>43065.200000000004</v>
      </c>
      <c r="LT26" s="106"/>
      <c r="LU26" s="15">
        <v>19</v>
      </c>
      <c r="LV26" s="92">
        <v>902.6</v>
      </c>
      <c r="LW26" s="327">
        <v>44682</v>
      </c>
      <c r="LX26" s="92">
        <v>902.6</v>
      </c>
      <c r="LY26" s="95" t="s">
        <v>608</v>
      </c>
      <c r="LZ26" s="71">
        <v>46</v>
      </c>
      <c r="MA26" s="573">
        <f t="shared" si="37"/>
        <v>41519.599999999999</v>
      </c>
      <c r="MB26" s="573"/>
      <c r="MD26" s="106"/>
      <c r="ME26" s="15">
        <v>19</v>
      </c>
      <c r="MF26" s="392">
        <v>923.81</v>
      </c>
      <c r="MG26" s="327">
        <v>44680</v>
      </c>
      <c r="MH26" s="1116">
        <v>923.81</v>
      </c>
      <c r="MI26" s="322" t="s">
        <v>599</v>
      </c>
      <c r="MJ26" s="71">
        <v>46</v>
      </c>
      <c r="MK26" s="71">
        <f t="shared" si="38"/>
        <v>42495.259999999995</v>
      </c>
      <c r="MN26" s="106"/>
      <c r="MO26" s="15">
        <v>19</v>
      </c>
      <c r="MP26" s="92">
        <v>955.26</v>
      </c>
      <c r="MQ26" s="327">
        <v>44680</v>
      </c>
      <c r="MR26" s="92">
        <v>955.26</v>
      </c>
      <c r="MS26" s="95" t="s">
        <v>558</v>
      </c>
      <c r="MT26" s="71">
        <v>46</v>
      </c>
      <c r="MU26" s="71">
        <f t="shared" si="39"/>
        <v>43941.96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352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344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346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339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377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375</v>
      </c>
      <c r="BP27" s="826">
        <v>38</v>
      </c>
      <c r="BQ27" s="746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380</v>
      </c>
      <c r="BZ27" s="383">
        <v>38</v>
      </c>
      <c r="CA27" s="573">
        <f t="shared" si="13"/>
        <v>34473.599999999999</v>
      </c>
      <c r="CD27" s="772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390</v>
      </c>
      <c r="CJ27" s="383">
        <v>38</v>
      </c>
      <c r="CK27" s="573">
        <f t="shared" si="14"/>
        <v>34025.199999999997</v>
      </c>
      <c r="CN27" s="608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360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400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408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361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419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436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425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447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466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470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472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484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491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482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488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>
        <v>44673</v>
      </c>
      <c r="IL27" s="69">
        <v>885.4</v>
      </c>
      <c r="IM27" s="70" t="s">
        <v>546</v>
      </c>
      <c r="IN27" s="71">
        <v>42</v>
      </c>
      <c r="IO27" s="573">
        <f t="shared" si="28"/>
        <v>37186.799999999996</v>
      </c>
      <c r="IR27" s="106"/>
      <c r="IS27" s="15">
        <v>20</v>
      </c>
      <c r="IT27" s="282">
        <v>891.3</v>
      </c>
      <c r="IU27" s="248">
        <v>44673</v>
      </c>
      <c r="IV27" s="282">
        <v>891.3</v>
      </c>
      <c r="IW27" s="505" t="s">
        <v>545</v>
      </c>
      <c r="IX27" s="269">
        <v>42</v>
      </c>
      <c r="IY27" s="325">
        <f t="shared" si="29"/>
        <v>37434.6</v>
      </c>
      <c r="JA27" s="69"/>
      <c r="JB27" s="106"/>
      <c r="JC27" s="15">
        <v>20</v>
      </c>
      <c r="JD27" s="92">
        <v>944.83</v>
      </c>
      <c r="JE27" s="339">
        <v>44674</v>
      </c>
      <c r="JF27" s="92">
        <v>944.83</v>
      </c>
      <c r="JG27" s="268" t="s">
        <v>562</v>
      </c>
      <c r="JH27" s="71">
        <v>43</v>
      </c>
      <c r="JI27" s="573">
        <f t="shared" si="30"/>
        <v>40627.69</v>
      </c>
      <c r="JL27" s="106"/>
      <c r="JM27" s="15">
        <v>20</v>
      </c>
      <c r="JN27" s="92">
        <v>867.3</v>
      </c>
      <c r="JO27" s="327">
        <v>44674</v>
      </c>
      <c r="JP27" s="92">
        <v>867.3</v>
      </c>
      <c r="JQ27" s="70" t="s">
        <v>562</v>
      </c>
      <c r="JR27" s="71">
        <v>43</v>
      </c>
      <c r="JS27" s="573">
        <f t="shared" si="31"/>
        <v>37293.9</v>
      </c>
      <c r="JV27" s="94"/>
      <c r="JW27" s="15">
        <v>20</v>
      </c>
      <c r="JX27" s="69">
        <v>870.9</v>
      </c>
      <c r="JY27" s="339">
        <v>44677</v>
      </c>
      <c r="JZ27" s="69">
        <v>870.9</v>
      </c>
      <c r="KA27" s="70" t="s">
        <v>575</v>
      </c>
      <c r="KB27" s="71">
        <v>44</v>
      </c>
      <c r="KC27" s="573">
        <f t="shared" si="32"/>
        <v>38319.599999999999</v>
      </c>
      <c r="KE27" s="245"/>
      <c r="KF27" s="460"/>
      <c r="KG27" s="15">
        <v>20</v>
      </c>
      <c r="KH27" s="69">
        <v>916.3</v>
      </c>
      <c r="KI27" s="339">
        <v>44678</v>
      </c>
      <c r="KJ27" s="69">
        <v>916.3</v>
      </c>
      <c r="KK27" s="70" t="s">
        <v>585</v>
      </c>
      <c r="KL27" s="71">
        <v>45</v>
      </c>
      <c r="KM27" s="573">
        <f t="shared" si="33"/>
        <v>41233.5</v>
      </c>
      <c r="KP27" s="94"/>
      <c r="KQ27" s="15">
        <v>20</v>
      </c>
      <c r="KR27" s="69">
        <v>948</v>
      </c>
      <c r="KS27" s="339">
        <v>44678</v>
      </c>
      <c r="KT27" s="69">
        <v>948</v>
      </c>
      <c r="KU27" s="70" t="s">
        <v>588</v>
      </c>
      <c r="KV27" s="71">
        <v>45</v>
      </c>
      <c r="KW27" s="573">
        <f t="shared" si="34"/>
        <v>42660</v>
      </c>
      <c r="KZ27" s="106"/>
      <c r="LA27" s="15">
        <v>20</v>
      </c>
      <c r="LB27" s="92">
        <v>924.87</v>
      </c>
      <c r="LC27" s="327">
        <v>44679</v>
      </c>
      <c r="LD27" s="92">
        <v>924.87</v>
      </c>
      <c r="LE27" s="95" t="s">
        <v>595</v>
      </c>
      <c r="LF27" s="71">
        <v>46</v>
      </c>
      <c r="LG27" s="573">
        <f t="shared" si="35"/>
        <v>42544.02</v>
      </c>
      <c r="LJ27" s="106"/>
      <c r="LK27" s="15">
        <v>20</v>
      </c>
      <c r="LL27" s="282">
        <v>903.6</v>
      </c>
      <c r="LM27" s="327">
        <v>44679</v>
      </c>
      <c r="LN27" s="282">
        <v>903.6</v>
      </c>
      <c r="LO27" s="95" t="s">
        <v>578</v>
      </c>
      <c r="LP27" s="71">
        <v>46</v>
      </c>
      <c r="LQ27" s="573">
        <f t="shared" si="36"/>
        <v>41565.599999999999</v>
      </c>
      <c r="LT27" s="106"/>
      <c r="LU27" s="15">
        <v>20</v>
      </c>
      <c r="LV27" s="92">
        <v>866.4</v>
      </c>
      <c r="LW27" s="327">
        <v>44682</v>
      </c>
      <c r="LX27" s="92">
        <v>866.4</v>
      </c>
      <c r="LY27" s="95" t="s">
        <v>609</v>
      </c>
      <c r="LZ27" s="71">
        <v>46</v>
      </c>
      <c r="MA27" s="573">
        <f t="shared" si="37"/>
        <v>39854.400000000001</v>
      </c>
      <c r="MB27" s="573"/>
      <c r="MD27" s="106"/>
      <c r="ME27" s="15">
        <v>20</v>
      </c>
      <c r="MF27" s="392">
        <v>871.66</v>
      </c>
      <c r="MG27" s="327">
        <v>44680</v>
      </c>
      <c r="MH27" s="1116">
        <v>871.66</v>
      </c>
      <c r="MI27" s="322" t="s">
        <v>599</v>
      </c>
      <c r="MJ27" s="71">
        <v>46</v>
      </c>
      <c r="MK27" s="71">
        <f t="shared" si="38"/>
        <v>40096.36</v>
      </c>
      <c r="MN27" s="106"/>
      <c r="MO27" s="15">
        <v>20</v>
      </c>
      <c r="MP27" s="92">
        <v>939.84</v>
      </c>
      <c r="MQ27" s="327">
        <v>44680</v>
      </c>
      <c r="MR27" s="92">
        <v>939.84</v>
      </c>
      <c r="MS27" s="95" t="s">
        <v>558</v>
      </c>
      <c r="MT27" s="71">
        <v>46</v>
      </c>
      <c r="MU27" s="71">
        <f t="shared" si="39"/>
        <v>43232.639999999999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352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344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373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375</v>
      </c>
      <c r="BP28" s="826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380</v>
      </c>
      <c r="BZ28" s="383">
        <v>38</v>
      </c>
      <c r="CA28" s="573">
        <f t="shared" si="13"/>
        <v>34439.4</v>
      </c>
      <c r="CD28" s="773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387</v>
      </c>
      <c r="CJ28" s="383">
        <v>38</v>
      </c>
      <c r="CK28" s="573">
        <f t="shared" si="14"/>
        <v>34473.599999999999</v>
      </c>
      <c r="CN28" s="608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360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408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419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429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428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466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471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484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455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>
        <v>44673</v>
      </c>
      <c r="IL28" s="69">
        <v>875.4</v>
      </c>
      <c r="IM28" s="70" t="s">
        <v>547</v>
      </c>
      <c r="IN28" s="71">
        <v>42</v>
      </c>
      <c r="IO28" s="573">
        <f t="shared" si="28"/>
        <v>36766.799999999996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>
        <v>44674</v>
      </c>
      <c r="JP28" s="92">
        <v>923.5</v>
      </c>
      <c r="JQ28" s="70" t="s">
        <v>562</v>
      </c>
      <c r="JR28" s="71">
        <v>43</v>
      </c>
      <c r="JS28" s="573">
        <f>JR28*JP28</f>
        <v>39710.5</v>
      </c>
      <c r="JV28" s="94"/>
      <c r="JW28" s="15">
        <v>21</v>
      </c>
      <c r="JX28" s="69">
        <v>923.5</v>
      </c>
      <c r="JY28" s="339">
        <v>44677</v>
      </c>
      <c r="JZ28" s="69">
        <v>923.5</v>
      </c>
      <c r="KA28" s="70" t="s">
        <v>575</v>
      </c>
      <c r="KB28" s="71">
        <v>44</v>
      </c>
      <c r="KC28" s="573">
        <f t="shared" si="32"/>
        <v>40634</v>
      </c>
      <c r="KF28" s="94"/>
      <c r="KG28" s="15">
        <v>21</v>
      </c>
      <c r="KH28" s="69">
        <v>924.4</v>
      </c>
      <c r="KI28" s="339">
        <v>44678</v>
      </c>
      <c r="KJ28" s="69">
        <v>924.4</v>
      </c>
      <c r="KK28" s="70" t="s">
        <v>585</v>
      </c>
      <c r="KL28" s="71">
        <v>45</v>
      </c>
      <c r="KM28" s="573">
        <f t="shared" si="33"/>
        <v>41598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>
        <v>44679</v>
      </c>
      <c r="LN28" s="92">
        <v>936.2</v>
      </c>
      <c r="LO28" s="95" t="s">
        <v>578</v>
      </c>
      <c r="LP28" s="71">
        <v>46</v>
      </c>
      <c r="LQ28" s="573">
        <f t="shared" si="36"/>
        <v>43065.200000000004</v>
      </c>
      <c r="LT28" s="106"/>
      <c r="LU28" s="15">
        <v>21</v>
      </c>
      <c r="LV28" s="92">
        <v>889</v>
      </c>
      <c r="LW28" s="327">
        <v>44682</v>
      </c>
      <c r="LX28" s="92">
        <v>889</v>
      </c>
      <c r="LY28" s="95" t="s">
        <v>609</v>
      </c>
      <c r="LZ28" s="71">
        <v>46</v>
      </c>
      <c r="MA28" s="573">
        <f t="shared" si="37"/>
        <v>40894</v>
      </c>
      <c r="MB28" s="573"/>
      <c r="MD28" s="106"/>
      <c r="ME28" s="15">
        <v>21</v>
      </c>
      <c r="MF28" s="392"/>
      <c r="MG28" s="327"/>
      <c r="MH28" s="1116"/>
      <c r="MI28" s="322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6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8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>
        <f>SUM(HK8:HK28)</f>
        <v>795186.00000000012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809010.6</v>
      </c>
      <c r="JV29" s="106"/>
      <c r="JW29" s="15"/>
      <c r="JX29" s="69"/>
      <c r="JY29" s="339"/>
      <c r="JZ29" s="69"/>
      <c r="KA29" s="70"/>
      <c r="KB29" s="71"/>
      <c r="KC29" s="573">
        <f>SUM(KC8:KC28)</f>
        <v>841869.59999999986</v>
      </c>
      <c r="KF29" s="106"/>
      <c r="KG29" s="15"/>
      <c r="KH29" s="69"/>
      <c r="KI29" s="339"/>
      <c r="KJ29" s="69"/>
      <c r="KK29" s="70"/>
      <c r="KL29" s="71"/>
      <c r="KM29" s="573">
        <f>SUM(KM8:KM28)</f>
        <v>857875.95</v>
      </c>
      <c r="KP29" s="106"/>
      <c r="KQ29" s="15"/>
      <c r="KR29" s="69"/>
      <c r="KS29" s="339"/>
      <c r="KT29" s="69"/>
      <c r="KU29" s="70"/>
      <c r="KV29" s="71"/>
      <c r="KW29" s="573">
        <f>SUM(KW8:KW28)</f>
        <v>835134.75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1116"/>
      <c r="MI29" s="322"/>
      <c r="MJ29" s="71"/>
      <c r="MK29" s="71">
        <f>SUM(MK8:MK28)</f>
        <v>821866.36</v>
      </c>
      <c r="MN29" s="94"/>
      <c r="MO29" s="15"/>
      <c r="MP29" s="92"/>
      <c r="MQ29" s="327"/>
      <c r="MR29" s="92"/>
      <c r="MS29" s="95"/>
      <c r="MT29" s="71"/>
      <c r="MU29" s="71">
        <f>SUM(MU8:MU28)</f>
        <v>856534.25999999978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794018.4</v>
      </c>
      <c r="IR30" s="106"/>
      <c r="IS30" s="15"/>
      <c r="IT30" s="69"/>
      <c r="IU30" s="79"/>
      <c r="IV30" s="69"/>
      <c r="IW30" s="95"/>
      <c r="IX30" s="71"/>
      <c r="IY30" s="573">
        <f>SUM(IY8:IY29)</f>
        <v>777815.64</v>
      </c>
      <c r="JB30" s="106"/>
      <c r="JC30" s="15"/>
      <c r="JD30" s="69"/>
      <c r="JE30" s="339"/>
      <c r="JF30" s="105"/>
      <c r="JG30" s="70"/>
      <c r="JH30" s="71"/>
      <c r="JI30" s="573">
        <f>SUM(JI8:JI29)</f>
        <v>811268.96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869804.80000000016</v>
      </c>
      <c r="LJ30" s="106"/>
      <c r="LK30" s="15"/>
      <c r="LL30" s="92"/>
      <c r="LM30" s="327"/>
      <c r="LN30" s="92"/>
      <c r="LO30" s="95"/>
      <c r="LP30" s="71"/>
      <c r="LQ30" s="573">
        <f>SUM(LQ8:LQ29)</f>
        <v>876663.4</v>
      </c>
      <c r="LT30" s="106"/>
      <c r="LU30" s="15"/>
      <c r="LV30" s="69"/>
      <c r="LW30" s="327"/>
      <c r="LX30" s="69"/>
      <c r="LY30" s="95"/>
      <c r="LZ30" s="71"/>
      <c r="MA30" s="573">
        <f>SUM(MA8:MA29)</f>
        <v>860683.00000000012</v>
      </c>
      <c r="MB30" s="573"/>
      <c r="MD30" s="106"/>
      <c r="ME30" s="15"/>
      <c r="MF30" s="392"/>
      <c r="MG30" s="327"/>
      <c r="MH30" s="267"/>
      <c r="MI30" s="322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8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8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8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58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18933.000000000004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18905.200000000004</v>
      </c>
      <c r="IT32" s="105">
        <f>SUM(IT8:IT31)</f>
        <v>18520.03</v>
      </c>
      <c r="IV32" s="105">
        <f>SUM(IV8:IV31)</f>
        <v>18519.419999999998</v>
      </c>
      <c r="JD32" s="105">
        <f>SUM(JD8:JD31)</f>
        <v>18866.720000000005</v>
      </c>
      <c r="JF32" s="105">
        <f>SUM(JF8:JF31)</f>
        <v>18866.720000000005</v>
      </c>
      <c r="JN32" s="105">
        <f>SUM(JN8:JN31)</f>
        <v>18814.2</v>
      </c>
      <c r="JP32" s="105">
        <f>SUM(JP8:JP31)</f>
        <v>18814.2</v>
      </c>
      <c r="JX32" s="105">
        <f>SUM(JX8:JX31)</f>
        <v>19133.400000000001</v>
      </c>
      <c r="JZ32" s="105">
        <f>SUM(JZ8:JZ31)</f>
        <v>19133.400000000001</v>
      </c>
      <c r="KH32" s="105">
        <f>SUM(KH8:KH31)</f>
        <v>19063.91</v>
      </c>
      <c r="KJ32" s="105">
        <f>SUM(KJ8:KJ31)</f>
        <v>19063.91</v>
      </c>
      <c r="KR32" s="105">
        <f>SUM(KR8:KR31)</f>
        <v>18558.549999999996</v>
      </c>
      <c r="KT32" s="105">
        <f>SUM(KT8:KT31)</f>
        <v>18558.549999999996</v>
      </c>
      <c r="LB32" s="105">
        <f>SUM(LB8:LB31)</f>
        <v>18908.8</v>
      </c>
      <c r="LD32" s="105">
        <f>SUM(LD8:LD31)</f>
        <v>18908.8</v>
      </c>
      <c r="LL32" s="86">
        <f>SUM(LL8:LL31)</f>
        <v>19057.899999999994</v>
      </c>
      <c r="LN32" s="105">
        <f>SUM(LN8:LN31)</f>
        <v>19057.899999999994</v>
      </c>
      <c r="LU32" s="142"/>
      <c r="LV32" s="86">
        <f>SUM(LV8:LV31)</f>
        <v>18710.5</v>
      </c>
      <c r="LW32" s="86"/>
      <c r="LX32" s="86">
        <f>SUM(LX8:LX31)</f>
        <v>18710.5</v>
      </c>
      <c r="MA32" s="573"/>
      <c r="MB32" s="573"/>
      <c r="MF32" s="105">
        <f>SUM(MF8:MF31)</f>
        <v>17866.66</v>
      </c>
      <c r="MH32" s="105">
        <f>SUM(MH8:MH31)</f>
        <v>17866.66</v>
      </c>
      <c r="MP32" s="86">
        <f>SUM(MP8:MP31)</f>
        <v>18620.309999999998</v>
      </c>
      <c r="MR32" s="86">
        <f>SUM(MR8:MR31)</f>
        <v>18620.309999999998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58"/>
      <c r="N33" s="975" t="s">
        <v>21</v>
      </c>
      <c r="O33" s="976"/>
      <c r="P33" s="307">
        <f>Q5-P32</f>
        <v>0</v>
      </c>
      <c r="Q33" s="245"/>
      <c r="S33" s="573"/>
      <c r="X33" s="975" t="s">
        <v>21</v>
      </c>
      <c r="Y33" s="976"/>
      <c r="Z33" s="307">
        <f>AA5-Z32</f>
        <v>0</v>
      </c>
      <c r="AA33" s="245"/>
      <c r="AH33" s="975" t="s">
        <v>21</v>
      </c>
      <c r="AI33" s="976"/>
      <c r="AJ33" s="235">
        <f>AK5-AJ32</f>
        <v>0</v>
      </c>
      <c r="AM33" s="573"/>
      <c r="AR33" s="975" t="s">
        <v>21</v>
      </c>
      <c r="AS33" s="976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0" t="s">
        <v>21</v>
      </c>
      <c r="IA33" s="711"/>
      <c r="IB33" s="307">
        <f>IC5-IB32</f>
        <v>0</v>
      </c>
      <c r="IC33" s="245"/>
      <c r="IJ33" s="710" t="s">
        <v>21</v>
      </c>
      <c r="IK33" s="711"/>
      <c r="IL33" s="143">
        <f>IJ32-IL32</f>
        <v>0</v>
      </c>
      <c r="IT33" s="710" t="s">
        <v>21</v>
      </c>
      <c r="IU33" s="711"/>
      <c r="IV33" s="143">
        <f>IT32-IV32</f>
        <v>0.61000000000058208</v>
      </c>
      <c r="JD33" s="710" t="s">
        <v>21</v>
      </c>
      <c r="JE33" s="711"/>
      <c r="JF33" s="143">
        <f>JD32-JF32</f>
        <v>0</v>
      </c>
      <c r="JN33" s="710" t="s">
        <v>21</v>
      </c>
      <c r="JO33" s="711"/>
      <c r="JP33" s="143">
        <f>JN32-JP32</f>
        <v>0</v>
      </c>
      <c r="JX33" s="710" t="s">
        <v>21</v>
      </c>
      <c r="JY33" s="711"/>
      <c r="JZ33" s="307">
        <f>KA5-JZ32</f>
        <v>0</v>
      </c>
      <c r="KA33" s="245"/>
      <c r="KH33" s="710" t="s">
        <v>21</v>
      </c>
      <c r="KI33" s="711"/>
      <c r="KJ33" s="307">
        <f>KK5-KJ32</f>
        <v>0</v>
      </c>
      <c r="KK33" s="245"/>
      <c r="KR33" s="710" t="s">
        <v>21</v>
      </c>
      <c r="KS33" s="711"/>
      <c r="KT33" s="307">
        <f>KU5-KT32</f>
        <v>0</v>
      </c>
      <c r="KU33" s="245"/>
      <c r="LB33" s="592" t="s">
        <v>21</v>
      </c>
      <c r="LC33" s="593"/>
      <c r="LD33" s="235">
        <f>LE5-LD32</f>
        <v>0</v>
      </c>
      <c r="LL33" s="592" t="s">
        <v>21</v>
      </c>
      <c r="LM33" s="593"/>
      <c r="LN33" s="143">
        <f>LO5-LN32</f>
        <v>0</v>
      </c>
      <c r="MA33" s="573"/>
      <c r="MB33" s="573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1" t="s">
        <v>21</v>
      </c>
      <c r="NA33" s="822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226" t="s">
        <v>21</v>
      </c>
      <c r="RU33" s="1227"/>
      <c r="RV33" s="143">
        <f>SUM(RW5-RV32)</f>
        <v>0</v>
      </c>
      <c r="SC33" s="1226" t="s">
        <v>21</v>
      </c>
      <c r="SD33" s="1227"/>
      <c r="SE33" s="143">
        <f>SUM(SF5-SE32)</f>
        <v>0</v>
      </c>
      <c r="SL33" s="1226" t="s">
        <v>21</v>
      </c>
      <c r="SM33" s="1227"/>
      <c r="SN33" s="235">
        <f>SUM(SO5-SN32)</f>
        <v>0</v>
      </c>
      <c r="SU33" s="1226" t="s">
        <v>21</v>
      </c>
      <c r="SV33" s="1227"/>
      <c r="SW33" s="143">
        <f>SUM(SX5-SW32)</f>
        <v>0</v>
      </c>
      <c r="TD33" s="1226" t="s">
        <v>21</v>
      </c>
      <c r="TE33" s="1227"/>
      <c r="TF33" s="143">
        <f>SUM(TG5-TF32)</f>
        <v>0</v>
      </c>
      <c r="TM33" s="1226" t="s">
        <v>21</v>
      </c>
      <c r="TN33" s="1227"/>
      <c r="TO33" s="143">
        <f>SUM(TP5-TO32)</f>
        <v>0</v>
      </c>
      <c r="TV33" s="1226" t="s">
        <v>21</v>
      </c>
      <c r="TW33" s="1227"/>
      <c r="TX33" s="143">
        <f>SUM(TY5-TX32)</f>
        <v>0</v>
      </c>
      <c r="UE33" s="1226" t="s">
        <v>21</v>
      </c>
      <c r="UF33" s="1227"/>
      <c r="UG33" s="143">
        <f>SUM(UH5-UG32)</f>
        <v>0</v>
      </c>
      <c r="UN33" s="1226" t="s">
        <v>21</v>
      </c>
      <c r="UO33" s="1227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226" t="s">
        <v>21</v>
      </c>
      <c r="VP33" s="1227"/>
      <c r="VQ33" s="143">
        <f>VR5-VQ32</f>
        <v>-22</v>
      </c>
      <c r="VX33" s="1226" t="s">
        <v>21</v>
      </c>
      <c r="VY33" s="1227"/>
      <c r="VZ33" s="143">
        <f>WA5-VZ32</f>
        <v>-22</v>
      </c>
      <c r="WG33" s="1226" t="s">
        <v>21</v>
      </c>
      <c r="WH33" s="1227"/>
      <c r="WI33" s="143">
        <f>WJ5-WI32</f>
        <v>-22</v>
      </c>
      <c r="WP33" s="1226" t="s">
        <v>21</v>
      </c>
      <c r="WQ33" s="1227"/>
      <c r="WR33" s="143">
        <f>WS5-WR32</f>
        <v>-22</v>
      </c>
      <c r="WY33" s="1226" t="s">
        <v>21</v>
      </c>
      <c r="WZ33" s="1227"/>
      <c r="XA33" s="143">
        <f>XB5-XA32</f>
        <v>-22</v>
      </c>
      <c r="XH33" s="1226" t="s">
        <v>21</v>
      </c>
      <c r="XI33" s="1227"/>
      <c r="XJ33" s="143">
        <f>XK5-XJ32</f>
        <v>-22</v>
      </c>
      <c r="XQ33" s="1226" t="s">
        <v>21</v>
      </c>
      <c r="XR33" s="1227"/>
      <c r="XS33" s="143">
        <f>XT5-XS32</f>
        <v>-22</v>
      </c>
      <c r="XZ33" s="1226" t="s">
        <v>21</v>
      </c>
      <c r="YA33" s="1227"/>
      <c r="YB33" s="143">
        <f>YC5-YB32</f>
        <v>-22</v>
      </c>
      <c r="YI33" s="1226" t="s">
        <v>21</v>
      </c>
      <c r="YJ33" s="1227"/>
      <c r="YK33" s="143">
        <f>YL5-YK32</f>
        <v>-22</v>
      </c>
      <c r="YR33" s="1226" t="s">
        <v>21</v>
      </c>
      <c r="YS33" s="1227"/>
      <c r="YT33" s="143">
        <f>YU5-YT32</f>
        <v>-22</v>
      </c>
      <c r="ZA33" s="1226" t="s">
        <v>21</v>
      </c>
      <c r="ZB33" s="1227"/>
      <c r="ZC33" s="143">
        <f>ZD5-ZC32</f>
        <v>-22</v>
      </c>
      <c r="ZJ33" s="1226" t="s">
        <v>21</v>
      </c>
      <c r="ZK33" s="1227"/>
      <c r="ZL33" s="143">
        <f>ZM5-ZL32</f>
        <v>-22</v>
      </c>
      <c r="ZS33" s="1226" t="s">
        <v>21</v>
      </c>
      <c r="ZT33" s="1227"/>
      <c r="ZU33" s="143">
        <f>ZV5-ZU32</f>
        <v>-22</v>
      </c>
      <c r="AAB33" s="1226" t="s">
        <v>21</v>
      </c>
      <c r="AAC33" s="1227"/>
      <c r="AAD33" s="143">
        <f>AAE5-AAD32</f>
        <v>-22</v>
      </c>
      <c r="AAK33" s="1226" t="s">
        <v>21</v>
      </c>
      <c r="AAL33" s="1227"/>
      <c r="AAM33" s="143">
        <f>AAN5-AAM32</f>
        <v>-22</v>
      </c>
      <c r="AAT33" s="1226" t="s">
        <v>21</v>
      </c>
      <c r="AAU33" s="1227"/>
      <c r="AAV33" s="143">
        <f>AAV32-AAT32</f>
        <v>22</v>
      </c>
      <c r="ABC33" s="1226" t="s">
        <v>21</v>
      </c>
      <c r="ABD33" s="1227"/>
      <c r="ABE33" s="143">
        <f>ABF5-ABE32</f>
        <v>-22</v>
      </c>
      <c r="ABL33" s="1226" t="s">
        <v>21</v>
      </c>
      <c r="ABM33" s="1227"/>
      <c r="ABN33" s="143">
        <f>ABO5-ABN32</f>
        <v>-22</v>
      </c>
      <c r="ABU33" s="1226" t="s">
        <v>21</v>
      </c>
      <c r="ABV33" s="1227"/>
      <c r="ABW33" s="143">
        <f>ABX5-ABW32</f>
        <v>-22</v>
      </c>
      <c r="ACD33" s="1226" t="s">
        <v>21</v>
      </c>
      <c r="ACE33" s="1227"/>
      <c r="ACF33" s="143">
        <f>ACG5-ACF32</f>
        <v>-22</v>
      </c>
      <c r="ACM33" s="1226" t="s">
        <v>21</v>
      </c>
      <c r="ACN33" s="1227"/>
      <c r="ACO33" s="143">
        <f>ACP5-ACO32</f>
        <v>-22</v>
      </c>
      <c r="ACV33" s="1226" t="s">
        <v>21</v>
      </c>
      <c r="ACW33" s="1227"/>
      <c r="ACX33" s="143">
        <f>ACY5-ACX32</f>
        <v>-22</v>
      </c>
      <c r="ADE33" s="1226" t="s">
        <v>21</v>
      </c>
      <c r="ADF33" s="1227"/>
      <c r="ADG33" s="143">
        <f>ADH5-ADG32</f>
        <v>-22</v>
      </c>
      <c r="ADN33" s="1226" t="s">
        <v>21</v>
      </c>
      <c r="ADO33" s="1227"/>
      <c r="ADP33" s="143">
        <f>ADQ5-ADP32</f>
        <v>-22</v>
      </c>
      <c r="ADW33" s="1226" t="s">
        <v>21</v>
      </c>
      <c r="ADX33" s="1227"/>
      <c r="ADY33" s="143">
        <f>ADZ5-ADY32</f>
        <v>-22</v>
      </c>
      <c r="AEF33" s="1226" t="s">
        <v>21</v>
      </c>
      <c r="AEG33" s="1227"/>
      <c r="AEH33" s="143">
        <f>AEI5-AEH32</f>
        <v>-22</v>
      </c>
      <c r="AEO33" s="1226" t="s">
        <v>21</v>
      </c>
      <c r="AEP33" s="1227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58"/>
      <c r="N34" s="977" t="s">
        <v>4</v>
      </c>
      <c r="O34" s="978"/>
      <c r="P34" s="49"/>
      <c r="S34" s="573"/>
      <c r="X34" s="977" t="s">
        <v>4</v>
      </c>
      <c r="Y34" s="978"/>
      <c r="Z34" s="49"/>
      <c r="AH34" s="977" t="s">
        <v>4</v>
      </c>
      <c r="AI34" s="978"/>
      <c r="AJ34" s="49"/>
      <c r="AM34" s="573"/>
      <c r="AR34" s="977" t="s">
        <v>4</v>
      </c>
      <c r="AS34" s="978"/>
      <c r="AT34" s="49"/>
      <c r="AZ34" s="75"/>
      <c r="BB34" s="975" t="s">
        <v>21</v>
      </c>
      <c r="BC34" s="976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2" t="s">
        <v>4</v>
      </c>
      <c r="IA34" s="713"/>
      <c r="IB34" s="49"/>
      <c r="IJ34" s="712" t="s">
        <v>4</v>
      </c>
      <c r="IK34" s="713"/>
      <c r="IL34" s="49"/>
      <c r="IT34" s="712" t="s">
        <v>4</v>
      </c>
      <c r="IU34" s="713"/>
      <c r="IV34" s="49"/>
      <c r="JD34" s="712" t="s">
        <v>4</v>
      </c>
      <c r="JE34" s="713"/>
      <c r="JF34" s="49"/>
      <c r="JN34" s="712" t="s">
        <v>4</v>
      </c>
      <c r="JO34" s="713"/>
      <c r="JP34" s="49">
        <v>0</v>
      </c>
      <c r="JX34" s="712" t="s">
        <v>4</v>
      </c>
      <c r="JY34" s="713"/>
      <c r="JZ34" s="49"/>
      <c r="KH34" s="712" t="s">
        <v>4</v>
      </c>
      <c r="KI34" s="713"/>
      <c r="KJ34" s="49"/>
      <c r="KR34" s="712" t="s">
        <v>4</v>
      </c>
      <c r="KS34" s="713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0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3" t="s">
        <v>4</v>
      </c>
      <c r="NA34" s="824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228" t="s">
        <v>4</v>
      </c>
      <c r="RU34" s="1229"/>
      <c r="RV34" s="49"/>
      <c r="SC34" s="1228" t="s">
        <v>4</v>
      </c>
      <c r="SD34" s="1229"/>
      <c r="SE34" s="49"/>
      <c r="SL34" s="1228" t="s">
        <v>4</v>
      </c>
      <c r="SM34" s="1229"/>
      <c r="SN34" s="49"/>
      <c r="SU34" s="1228" t="s">
        <v>4</v>
      </c>
      <c r="SV34" s="1229"/>
      <c r="SW34" s="49"/>
      <c r="TD34" s="1228" t="s">
        <v>4</v>
      </c>
      <c r="TE34" s="1229"/>
      <c r="TF34" s="49"/>
      <c r="TM34" s="1228" t="s">
        <v>4</v>
      </c>
      <c r="TN34" s="1229"/>
      <c r="TO34" s="49"/>
      <c r="TV34" s="1228" t="s">
        <v>4</v>
      </c>
      <c r="TW34" s="1229"/>
      <c r="TX34" s="49"/>
      <c r="UE34" s="1228" t="s">
        <v>4</v>
      </c>
      <c r="UF34" s="1229"/>
      <c r="UG34" s="49"/>
      <c r="UN34" s="1228" t="s">
        <v>4</v>
      </c>
      <c r="UO34" s="1229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228" t="s">
        <v>4</v>
      </c>
      <c r="VP34" s="1229"/>
      <c r="VQ34" s="49"/>
      <c r="VX34" s="1228" t="s">
        <v>4</v>
      </c>
      <c r="VY34" s="1229"/>
      <c r="VZ34" s="49"/>
      <c r="WG34" s="1228" t="s">
        <v>4</v>
      </c>
      <c r="WH34" s="1229"/>
      <c r="WI34" s="49"/>
      <c r="WP34" s="1228" t="s">
        <v>4</v>
      </c>
      <c r="WQ34" s="1229"/>
      <c r="WR34" s="49"/>
      <c r="WY34" s="1228" t="s">
        <v>4</v>
      </c>
      <c r="WZ34" s="1229"/>
      <c r="XA34" s="49"/>
      <c r="XH34" s="1228" t="s">
        <v>4</v>
      </c>
      <c r="XI34" s="1229"/>
      <c r="XJ34" s="49"/>
      <c r="XQ34" s="1228" t="s">
        <v>4</v>
      </c>
      <c r="XR34" s="1229"/>
      <c r="XS34" s="49"/>
      <c r="XZ34" s="1228" t="s">
        <v>4</v>
      </c>
      <c r="YA34" s="1229"/>
      <c r="YB34" s="49"/>
      <c r="YI34" s="1228" t="s">
        <v>4</v>
      </c>
      <c r="YJ34" s="1229"/>
      <c r="YK34" s="49"/>
      <c r="YR34" s="1228" t="s">
        <v>4</v>
      </c>
      <c r="YS34" s="1229"/>
      <c r="YT34" s="49"/>
      <c r="ZA34" s="1228" t="s">
        <v>4</v>
      </c>
      <c r="ZB34" s="1229"/>
      <c r="ZC34" s="49"/>
      <c r="ZJ34" s="1228" t="s">
        <v>4</v>
      </c>
      <c r="ZK34" s="1229"/>
      <c r="ZL34" s="49"/>
      <c r="ZS34" s="1228" t="s">
        <v>4</v>
      </c>
      <c r="ZT34" s="1229"/>
      <c r="ZU34" s="49"/>
      <c r="AAB34" s="1228" t="s">
        <v>4</v>
      </c>
      <c r="AAC34" s="1229"/>
      <c r="AAD34" s="49"/>
      <c r="AAK34" s="1228" t="s">
        <v>4</v>
      </c>
      <c r="AAL34" s="1229"/>
      <c r="AAM34" s="49"/>
      <c r="AAT34" s="1228" t="s">
        <v>4</v>
      </c>
      <c r="AAU34" s="1229"/>
      <c r="AAV34" s="49"/>
      <c r="ABC34" s="1228" t="s">
        <v>4</v>
      </c>
      <c r="ABD34" s="1229"/>
      <c r="ABE34" s="49"/>
      <c r="ABL34" s="1228" t="s">
        <v>4</v>
      </c>
      <c r="ABM34" s="1229"/>
      <c r="ABN34" s="49"/>
      <c r="ABU34" s="1228" t="s">
        <v>4</v>
      </c>
      <c r="ABV34" s="1229"/>
      <c r="ABW34" s="49"/>
      <c r="ACD34" s="1228" t="s">
        <v>4</v>
      </c>
      <c r="ACE34" s="1229"/>
      <c r="ACF34" s="49"/>
      <c r="ACM34" s="1228" t="s">
        <v>4</v>
      </c>
      <c r="ACN34" s="1229"/>
      <c r="ACO34" s="49"/>
      <c r="ACV34" s="1228" t="s">
        <v>4</v>
      </c>
      <c r="ACW34" s="1229"/>
      <c r="ACX34" s="49"/>
      <c r="ADE34" s="1228" t="s">
        <v>4</v>
      </c>
      <c r="ADF34" s="1229"/>
      <c r="ADG34" s="49"/>
      <c r="ADN34" s="1228" t="s">
        <v>4</v>
      </c>
      <c r="ADO34" s="1229"/>
      <c r="ADP34" s="49"/>
      <c r="ADW34" s="1228" t="s">
        <v>4</v>
      </c>
      <c r="ADX34" s="1229"/>
      <c r="ADY34" s="49"/>
      <c r="AEF34" s="1228" t="s">
        <v>4</v>
      </c>
      <c r="AEG34" s="1229"/>
      <c r="AEH34" s="49"/>
      <c r="AEO34" s="1228" t="s">
        <v>4</v>
      </c>
      <c r="AEP34" s="1229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58"/>
      <c r="S35" s="573"/>
      <c r="AM35" s="573"/>
      <c r="AZ35" s="75"/>
      <c r="BB35" s="977" t="s">
        <v>4</v>
      </c>
      <c r="BC35" s="978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1" t="s">
        <v>259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20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220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48">
        <v>44656</v>
      </c>
      <c r="F7" s="267">
        <f t="shared" ref="F7:F8" si="0">D7</f>
        <v>318.13</v>
      </c>
      <c r="G7" s="268" t="s">
        <v>391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48">
        <v>44657</v>
      </c>
      <c r="F8" s="267">
        <f t="shared" si="0"/>
        <v>117.02</v>
      </c>
      <c r="G8" s="268" t="s">
        <v>392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48">
        <v>44657</v>
      </c>
      <c r="F9" s="267">
        <f t="shared" ref="F9:F13" si="2">D9</f>
        <v>250.44</v>
      </c>
      <c r="G9" s="268" t="s">
        <v>397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48">
        <v>44658</v>
      </c>
      <c r="F10" s="267">
        <f t="shared" si="2"/>
        <v>172.97</v>
      </c>
      <c r="G10" s="268" t="s">
        <v>405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48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48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48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48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48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48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48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48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48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48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48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48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48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48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48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48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48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48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48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48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48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48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48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48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33" t="s">
        <v>11</v>
      </c>
      <c r="D58" s="1234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57"/>
      <c r="B5" s="1259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58"/>
      <c r="B6" s="1260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1" t="s">
        <v>11</v>
      </c>
      <c r="D56" s="1262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1"/>
      <c r="B1" s="1221"/>
      <c r="C1" s="1221"/>
      <c r="D1" s="1221"/>
      <c r="E1" s="1221"/>
      <c r="F1" s="1221"/>
      <c r="G1" s="12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63"/>
      <c r="C4" s="456"/>
      <c r="D4" s="265"/>
      <c r="E4" s="340"/>
      <c r="F4" s="316"/>
      <c r="G4" s="243"/>
    </row>
    <row r="5" spans="1:10" ht="15" customHeight="1" x14ac:dyDescent="0.25">
      <c r="A5" s="1257"/>
      <c r="B5" s="1264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58"/>
      <c r="B6" s="1265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599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599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18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18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19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599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599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599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1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1" t="s">
        <v>11</v>
      </c>
      <c r="D55" s="1262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6" t="s">
        <v>241</v>
      </c>
      <c r="B1" s="1236"/>
      <c r="C1" s="1236"/>
      <c r="D1" s="1236"/>
      <c r="E1" s="1236"/>
      <c r="F1" s="1236"/>
      <c r="G1" s="1236"/>
      <c r="H1" s="11">
        <v>1</v>
      </c>
      <c r="I1" s="132"/>
      <c r="J1" s="73"/>
      <c r="M1" s="1231" t="s">
        <v>259</v>
      </c>
      <c r="N1" s="1231"/>
      <c r="O1" s="1231"/>
      <c r="P1" s="1231"/>
      <c r="Q1" s="1231"/>
      <c r="R1" s="1231"/>
      <c r="S1" s="1231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66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66" t="s">
        <v>44</v>
      </c>
      <c r="O5" s="214"/>
      <c r="P5" s="156"/>
      <c r="Q5" s="105">
        <v>118.04</v>
      </c>
      <c r="R5" s="73">
        <v>26</v>
      </c>
      <c r="S5" s="5">
        <f>R109</f>
        <v>1112.3000000000002</v>
      </c>
      <c r="T5" s="7">
        <f>Q4+Q5-S5+Q6+Q7</f>
        <v>967.02</v>
      </c>
      <c r="U5" s="205"/>
      <c r="V5" s="73"/>
    </row>
    <row r="6" spans="1:23" x14ac:dyDescent="0.25">
      <c r="B6" s="1266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66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159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475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160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479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161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459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162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486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163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486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164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492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165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495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166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>
        <v>1</v>
      </c>
      <c r="P16" s="69">
        <f t="shared" si="2"/>
        <v>4.54</v>
      </c>
      <c r="Q16" s="210">
        <v>44673</v>
      </c>
      <c r="R16" s="69">
        <f t="shared" si="3"/>
        <v>4.54</v>
      </c>
      <c r="S16" s="268" t="s">
        <v>546</v>
      </c>
      <c r="T16" s="269">
        <v>66</v>
      </c>
      <c r="U16" s="283">
        <f t="shared" si="8"/>
        <v>1625.3199999999997</v>
      </c>
      <c r="V16" s="246">
        <f t="shared" si="9"/>
        <v>358</v>
      </c>
      <c r="W16" s="60">
        <f t="shared" si="5"/>
        <v>299.64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168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>
        <v>30</v>
      </c>
      <c r="P17" s="69">
        <f t="shared" si="2"/>
        <v>136.19999999999999</v>
      </c>
      <c r="Q17" s="210">
        <v>44673</v>
      </c>
      <c r="R17" s="69">
        <f t="shared" si="3"/>
        <v>136.19999999999999</v>
      </c>
      <c r="S17" s="268" t="s">
        <v>549</v>
      </c>
      <c r="T17" s="269">
        <v>66</v>
      </c>
      <c r="U17" s="283">
        <f t="shared" si="8"/>
        <v>1489.1199999999997</v>
      </c>
      <c r="V17" s="246">
        <f t="shared" si="9"/>
        <v>328</v>
      </c>
      <c r="W17" s="60">
        <f t="shared" si="5"/>
        <v>8989.1999999999989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168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>
        <v>30</v>
      </c>
      <c r="P18" s="69">
        <f t="shared" si="2"/>
        <v>136.19999999999999</v>
      </c>
      <c r="Q18" s="210">
        <v>44674</v>
      </c>
      <c r="R18" s="69">
        <f t="shared" si="3"/>
        <v>136.19999999999999</v>
      </c>
      <c r="S18" s="268" t="s">
        <v>563</v>
      </c>
      <c r="T18" s="269">
        <v>66</v>
      </c>
      <c r="U18" s="283">
        <f t="shared" si="8"/>
        <v>1352.9199999999996</v>
      </c>
      <c r="V18" s="246">
        <f t="shared" si="9"/>
        <v>298</v>
      </c>
      <c r="W18" s="60">
        <f t="shared" si="5"/>
        <v>8989.1999999999989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169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>
        <v>10</v>
      </c>
      <c r="P19" s="69">
        <f t="shared" si="2"/>
        <v>45.4</v>
      </c>
      <c r="Q19" s="210">
        <v>44677</v>
      </c>
      <c r="R19" s="69">
        <f t="shared" si="3"/>
        <v>45.4</v>
      </c>
      <c r="S19" s="268" t="s">
        <v>574</v>
      </c>
      <c r="T19" s="269">
        <v>66</v>
      </c>
      <c r="U19" s="283">
        <f t="shared" si="8"/>
        <v>1307.5199999999995</v>
      </c>
      <c r="V19" s="246">
        <f t="shared" si="9"/>
        <v>288</v>
      </c>
      <c r="W19" s="60">
        <f t="shared" si="5"/>
        <v>2996.4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171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>
        <v>5</v>
      </c>
      <c r="P20" s="69">
        <f t="shared" si="2"/>
        <v>22.7</v>
      </c>
      <c r="Q20" s="210">
        <v>44678</v>
      </c>
      <c r="R20" s="69">
        <f t="shared" si="3"/>
        <v>22.7</v>
      </c>
      <c r="S20" s="70" t="s">
        <v>557</v>
      </c>
      <c r="T20" s="71">
        <v>66</v>
      </c>
      <c r="U20" s="205">
        <f t="shared" si="8"/>
        <v>1284.8199999999995</v>
      </c>
      <c r="V20" s="73">
        <f t="shared" si="9"/>
        <v>283</v>
      </c>
      <c r="W20" s="60">
        <f t="shared" si="5"/>
        <v>1498.2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174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>
        <v>40</v>
      </c>
      <c r="P21" s="69">
        <f t="shared" si="2"/>
        <v>181.6</v>
      </c>
      <c r="Q21" s="210">
        <v>44680</v>
      </c>
      <c r="R21" s="69">
        <f t="shared" si="3"/>
        <v>181.6</v>
      </c>
      <c r="S21" s="70" t="s">
        <v>597</v>
      </c>
      <c r="T21" s="71">
        <v>66</v>
      </c>
      <c r="U21" s="205">
        <f t="shared" si="8"/>
        <v>1103.2199999999996</v>
      </c>
      <c r="V21" s="73">
        <f t="shared" si="9"/>
        <v>243</v>
      </c>
      <c r="W21" s="60">
        <f t="shared" si="5"/>
        <v>11985.6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175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>
        <v>30</v>
      </c>
      <c r="P22" s="69">
        <f t="shared" si="2"/>
        <v>136.19999999999999</v>
      </c>
      <c r="Q22" s="210">
        <v>44682</v>
      </c>
      <c r="R22" s="69">
        <f t="shared" si="3"/>
        <v>136.19999999999999</v>
      </c>
      <c r="S22" s="70" t="s">
        <v>580</v>
      </c>
      <c r="T22" s="71">
        <v>66</v>
      </c>
      <c r="U22" s="205">
        <f t="shared" si="8"/>
        <v>967.01999999999953</v>
      </c>
      <c r="V22" s="73">
        <f t="shared" si="9"/>
        <v>213</v>
      </c>
      <c r="W22" s="60">
        <f t="shared" si="5"/>
        <v>8989.1999999999989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177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967.01999999999953</v>
      </c>
      <c r="V23" s="73">
        <f t="shared" si="9"/>
        <v>213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178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967.01999999999953</v>
      </c>
      <c r="V24" s="73">
        <f t="shared" si="9"/>
        <v>213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179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967.01999999999953</v>
      </c>
      <c r="V25" s="73">
        <f t="shared" si="9"/>
        <v>213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180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967.01999999999953</v>
      </c>
      <c r="V26" s="73">
        <f t="shared" si="9"/>
        <v>213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182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967.01999999999953</v>
      </c>
      <c r="V27" s="73">
        <f t="shared" si="9"/>
        <v>213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183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967.01999999999953</v>
      </c>
      <c r="V28" s="73">
        <f t="shared" si="9"/>
        <v>213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184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967.01999999999953</v>
      </c>
      <c r="V29" s="73">
        <f t="shared" si="9"/>
        <v>213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167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967.01999999999953</v>
      </c>
      <c r="V30" s="73">
        <f t="shared" si="9"/>
        <v>213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188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967.01999999999953</v>
      </c>
      <c r="V31" s="73">
        <f t="shared" si="9"/>
        <v>213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189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967.01999999999953</v>
      </c>
      <c r="V32" s="73">
        <f t="shared" si="9"/>
        <v>213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59">
        <v>44634</v>
      </c>
      <c r="F33" s="69">
        <f>D33</f>
        <v>45.4</v>
      </c>
      <c r="G33" s="70" t="s">
        <v>189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59"/>
      <c r="R33" s="69">
        <f>P33</f>
        <v>0</v>
      </c>
      <c r="S33" s="70"/>
      <c r="T33" s="71"/>
      <c r="U33" s="205">
        <f t="shared" si="8"/>
        <v>967.01999999999953</v>
      </c>
      <c r="V33" s="73">
        <f t="shared" si="9"/>
        <v>213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190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967.01999999999953</v>
      </c>
      <c r="V34" s="73">
        <f t="shared" si="9"/>
        <v>213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192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967.01999999999953</v>
      </c>
      <c r="V35" s="73">
        <f t="shared" si="9"/>
        <v>213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193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967.01999999999953</v>
      </c>
      <c r="V36" s="73">
        <f t="shared" si="9"/>
        <v>213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194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967.01999999999953</v>
      </c>
      <c r="V37" s="73">
        <f t="shared" si="9"/>
        <v>213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198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967.01999999999953</v>
      </c>
      <c r="V38" s="73">
        <f t="shared" si="9"/>
        <v>213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200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967.01999999999953</v>
      </c>
      <c r="V39" s="73">
        <f t="shared" si="9"/>
        <v>213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199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967.01999999999953</v>
      </c>
      <c r="V40" s="73">
        <f t="shared" si="9"/>
        <v>213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201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967.01999999999953</v>
      </c>
      <c r="V41" s="73">
        <f t="shared" si="9"/>
        <v>213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202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967.01999999999953</v>
      </c>
      <c r="V42" s="73">
        <f t="shared" si="9"/>
        <v>213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203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967.01999999999953</v>
      </c>
      <c r="V43" s="73">
        <f t="shared" si="9"/>
        <v>213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204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967.01999999999953</v>
      </c>
      <c r="V44" s="73">
        <f t="shared" si="9"/>
        <v>213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205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967.01999999999953</v>
      </c>
      <c r="V45" s="73">
        <f t="shared" si="9"/>
        <v>213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209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967.01999999999953</v>
      </c>
      <c r="V46" s="73">
        <f t="shared" si="9"/>
        <v>213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210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967.01999999999953</v>
      </c>
      <c r="V47" s="73">
        <f t="shared" si="9"/>
        <v>213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211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967.01999999999953</v>
      </c>
      <c r="V48" s="73">
        <f t="shared" si="9"/>
        <v>213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215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967.01999999999953</v>
      </c>
      <c r="V49" s="73">
        <f t="shared" si="9"/>
        <v>213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217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967.01999999999953</v>
      </c>
      <c r="V50" s="73">
        <f t="shared" si="9"/>
        <v>213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219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967.01999999999953</v>
      </c>
      <c r="V51" s="73">
        <f t="shared" si="9"/>
        <v>213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220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967.01999999999953</v>
      </c>
      <c r="V52" s="73">
        <f t="shared" si="9"/>
        <v>213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220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967.01999999999953</v>
      </c>
      <c r="V53" s="73">
        <f t="shared" si="9"/>
        <v>213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221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967.01999999999953</v>
      </c>
      <c r="V54" s="73">
        <f t="shared" si="9"/>
        <v>213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218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967.01999999999953</v>
      </c>
      <c r="V55" s="73">
        <f t="shared" si="9"/>
        <v>213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224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967.01999999999953</v>
      </c>
      <c r="V56" s="73">
        <f t="shared" si="9"/>
        <v>213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225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967.01999999999953</v>
      </c>
      <c r="V57" s="73">
        <f t="shared" si="9"/>
        <v>213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227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967.01999999999953</v>
      </c>
      <c r="V58" s="73">
        <f t="shared" si="9"/>
        <v>213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228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967.01999999999953</v>
      </c>
      <c r="V59" s="73">
        <f t="shared" si="9"/>
        <v>213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229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967.01999999999953</v>
      </c>
      <c r="V60" s="73">
        <f t="shared" si="9"/>
        <v>213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232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967.01999999999953</v>
      </c>
      <c r="V61" s="73">
        <f t="shared" si="9"/>
        <v>213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233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967.01999999999953</v>
      </c>
      <c r="V62" s="73">
        <f t="shared" si="9"/>
        <v>213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997">
        <v>44648</v>
      </c>
      <c r="F63" s="230">
        <f t="shared" si="10"/>
        <v>68.099999999999994</v>
      </c>
      <c r="G63" s="965" t="s">
        <v>331</v>
      </c>
      <c r="H63" s="966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997"/>
      <c r="R63" s="230">
        <f t="shared" si="11"/>
        <v>0</v>
      </c>
      <c r="S63" s="965"/>
      <c r="T63" s="966"/>
      <c r="U63" s="205">
        <f t="shared" si="8"/>
        <v>967.01999999999953</v>
      </c>
      <c r="V63" s="73">
        <f t="shared" si="9"/>
        <v>213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997">
        <v>44649</v>
      </c>
      <c r="F64" s="230">
        <f t="shared" si="10"/>
        <v>4.54</v>
      </c>
      <c r="G64" s="965" t="s">
        <v>334</v>
      </c>
      <c r="H64" s="966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997"/>
      <c r="R64" s="230">
        <f t="shared" si="11"/>
        <v>0</v>
      </c>
      <c r="S64" s="965"/>
      <c r="T64" s="966"/>
      <c r="U64" s="205">
        <f t="shared" si="8"/>
        <v>967.01999999999953</v>
      </c>
      <c r="V64" s="73">
        <f t="shared" si="9"/>
        <v>213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997">
        <v>44649</v>
      </c>
      <c r="F65" s="230">
        <f t="shared" si="10"/>
        <v>4.54</v>
      </c>
      <c r="G65" s="965" t="s">
        <v>335</v>
      </c>
      <c r="H65" s="966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997"/>
      <c r="R65" s="230">
        <f t="shared" si="11"/>
        <v>0</v>
      </c>
      <c r="S65" s="965"/>
      <c r="T65" s="966"/>
      <c r="U65" s="205">
        <f t="shared" si="8"/>
        <v>967.01999999999953</v>
      </c>
      <c r="V65" s="73">
        <f t="shared" si="9"/>
        <v>213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997">
        <v>44649</v>
      </c>
      <c r="F66" s="230">
        <f t="shared" si="10"/>
        <v>9.08</v>
      </c>
      <c r="G66" s="965" t="s">
        <v>345</v>
      </c>
      <c r="H66" s="966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997"/>
      <c r="R66" s="230">
        <f t="shared" si="11"/>
        <v>0</v>
      </c>
      <c r="S66" s="965"/>
      <c r="T66" s="966"/>
      <c r="U66" s="205">
        <f t="shared" si="8"/>
        <v>967.01999999999953</v>
      </c>
      <c r="V66" s="73">
        <f t="shared" si="9"/>
        <v>213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997">
        <v>44650</v>
      </c>
      <c r="F67" s="230">
        <f t="shared" si="10"/>
        <v>27.240000000000002</v>
      </c>
      <c r="G67" s="965" t="s">
        <v>347</v>
      </c>
      <c r="H67" s="966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997"/>
      <c r="R67" s="230">
        <f t="shared" si="11"/>
        <v>0</v>
      </c>
      <c r="S67" s="965"/>
      <c r="T67" s="966"/>
      <c r="U67" s="205">
        <f t="shared" si="8"/>
        <v>967.01999999999953</v>
      </c>
      <c r="V67" s="73">
        <f t="shared" si="9"/>
        <v>213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997">
        <v>44650</v>
      </c>
      <c r="F68" s="230">
        <f t="shared" si="10"/>
        <v>45.4</v>
      </c>
      <c r="G68" s="965" t="s">
        <v>348</v>
      </c>
      <c r="H68" s="966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997"/>
      <c r="R68" s="230">
        <f t="shared" si="11"/>
        <v>0</v>
      </c>
      <c r="S68" s="965"/>
      <c r="T68" s="966"/>
      <c r="U68" s="205">
        <f t="shared" si="8"/>
        <v>967.01999999999953</v>
      </c>
      <c r="V68" s="73">
        <f t="shared" si="9"/>
        <v>213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997">
        <v>44650</v>
      </c>
      <c r="F69" s="230">
        <f t="shared" si="10"/>
        <v>136.19999999999999</v>
      </c>
      <c r="G69" s="965" t="s">
        <v>338</v>
      </c>
      <c r="H69" s="966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997"/>
      <c r="R69" s="230">
        <f t="shared" si="11"/>
        <v>0</v>
      </c>
      <c r="S69" s="965"/>
      <c r="T69" s="966"/>
      <c r="U69" s="205">
        <f t="shared" si="8"/>
        <v>967.01999999999953</v>
      </c>
      <c r="V69" s="73">
        <f t="shared" si="9"/>
        <v>213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997">
        <v>44651</v>
      </c>
      <c r="F70" s="230">
        <f t="shared" si="10"/>
        <v>181.6</v>
      </c>
      <c r="G70" s="965" t="s">
        <v>354</v>
      </c>
      <c r="H70" s="966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997"/>
      <c r="R70" s="230">
        <f t="shared" si="11"/>
        <v>0</v>
      </c>
      <c r="S70" s="965"/>
      <c r="T70" s="966"/>
      <c r="U70" s="205">
        <f t="shared" si="8"/>
        <v>967.01999999999953</v>
      </c>
      <c r="V70" s="73">
        <f t="shared" si="9"/>
        <v>213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997">
        <v>44652</v>
      </c>
      <c r="F71" s="230">
        <f t="shared" si="10"/>
        <v>45.4</v>
      </c>
      <c r="G71" s="965" t="s">
        <v>369</v>
      </c>
      <c r="H71" s="966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997"/>
      <c r="R71" s="230">
        <f t="shared" si="11"/>
        <v>0</v>
      </c>
      <c r="S71" s="965"/>
      <c r="T71" s="966"/>
      <c r="U71" s="205">
        <f t="shared" si="8"/>
        <v>967.01999999999953</v>
      </c>
      <c r="V71" s="73">
        <f t="shared" si="9"/>
        <v>213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997">
        <v>44652</v>
      </c>
      <c r="F72" s="230">
        <f t="shared" si="10"/>
        <v>136.19999999999999</v>
      </c>
      <c r="G72" s="965" t="s">
        <v>372</v>
      </c>
      <c r="H72" s="966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997"/>
      <c r="R72" s="230">
        <f t="shared" si="11"/>
        <v>0</v>
      </c>
      <c r="S72" s="965"/>
      <c r="T72" s="966"/>
      <c r="U72" s="205">
        <f t="shared" si="8"/>
        <v>967.01999999999953</v>
      </c>
      <c r="V72" s="73">
        <f t="shared" si="9"/>
        <v>213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997">
        <v>44653</v>
      </c>
      <c r="F73" s="230">
        <f t="shared" si="10"/>
        <v>22.7</v>
      </c>
      <c r="G73" s="965" t="s">
        <v>376</v>
      </c>
      <c r="H73" s="966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997"/>
      <c r="R73" s="230">
        <f t="shared" si="11"/>
        <v>0</v>
      </c>
      <c r="S73" s="965"/>
      <c r="T73" s="966"/>
      <c r="U73" s="205">
        <f t="shared" si="8"/>
        <v>967.01999999999953</v>
      </c>
      <c r="V73" s="73">
        <f t="shared" si="9"/>
        <v>213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997">
        <v>44653</v>
      </c>
      <c r="F74" s="230">
        <f t="shared" si="10"/>
        <v>22.7</v>
      </c>
      <c r="G74" s="965" t="s">
        <v>377</v>
      </c>
      <c r="H74" s="966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997"/>
      <c r="R74" s="230">
        <f t="shared" si="11"/>
        <v>0</v>
      </c>
      <c r="S74" s="965"/>
      <c r="T74" s="966"/>
      <c r="U74" s="205">
        <f t="shared" si="8"/>
        <v>967.01999999999953</v>
      </c>
      <c r="V74" s="73">
        <f t="shared" si="9"/>
        <v>213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997">
        <v>44653</v>
      </c>
      <c r="F75" s="230">
        <f t="shared" si="10"/>
        <v>9.08</v>
      </c>
      <c r="G75" s="965" t="s">
        <v>378</v>
      </c>
      <c r="H75" s="966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997"/>
      <c r="R75" s="230">
        <f t="shared" si="11"/>
        <v>0</v>
      </c>
      <c r="S75" s="965"/>
      <c r="T75" s="966"/>
      <c r="U75" s="205">
        <f t="shared" ref="U75:U107" si="17">U74-R75</f>
        <v>967.01999999999953</v>
      </c>
      <c r="V75" s="73">
        <f t="shared" ref="V75:V106" si="18">V74-O75</f>
        <v>213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997">
        <v>44653</v>
      </c>
      <c r="F76" s="230">
        <f t="shared" si="10"/>
        <v>136.19999999999999</v>
      </c>
      <c r="G76" s="965" t="s">
        <v>358</v>
      </c>
      <c r="H76" s="966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997"/>
      <c r="R76" s="230">
        <f t="shared" si="11"/>
        <v>0</v>
      </c>
      <c r="S76" s="965"/>
      <c r="T76" s="966"/>
      <c r="U76" s="205">
        <f t="shared" si="17"/>
        <v>967.01999999999953</v>
      </c>
      <c r="V76" s="73">
        <f t="shared" si="18"/>
        <v>213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997">
        <v>44655</v>
      </c>
      <c r="F77" s="230">
        <f t="shared" si="10"/>
        <v>22.7</v>
      </c>
      <c r="G77" s="965" t="s">
        <v>380</v>
      </c>
      <c r="H77" s="966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997"/>
      <c r="R77" s="230">
        <f t="shared" si="11"/>
        <v>0</v>
      </c>
      <c r="S77" s="965"/>
      <c r="T77" s="966"/>
      <c r="U77" s="205">
        <f t="shared" si="17"/>
        <v>967.01999999999953</v>
      </c>
      <c r="V77" s="73">
        <f t="shared" si="18"/>
        <v>213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997">
        <v>44655</v>
      </c>
      <c r="F78" s="230">
        <f t="shared" si="10"/>
        <v>136.19999999999999</v>
      </c>
      <c r="G78" s="965" t="s">
        <v>381</v>
      </c>
      <c r="H78" s="966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997"/>
      <c r="R78" s="230">
        <f t="shared" si="11"/>
        <v>0</v>
      </c>
      <c r="S78" s="965"/>
      <c r="T78" s="966"/>
      <c r="U78" s="205">
        <f t="shared" si="17"/>
        <v>967.01999999999953</v>
      </c>
      <c r="V78" s="73">
        <f t="shared" si="18"/>
        <v>213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997">
        <v>44656</v>
      </c>
      <c r="F79" s="230">
        <f t="shared" si="10"/>
        <v>68.099999999999994</v>
      </c>
      <c r="G79" s="965" t="s">
        <v>359</v>
      </c>
      <c r="H79" s="966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997"/>
      <c r="R79" s="230">
        <f t="shared" si="11"/>
        <v>0</v>
      </c>
      <c r="S79" s="965"/>
      <c r="T79" s="966"/>
      <c r="U79" s="205">
        <f t="shared" si="17"/>
        <v>967.01999999999953</v>
      </c>
      <c r="V79" s="73">
        <f t="shared" si="18"/>
        <v>213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997">
        <v>44657</v>
      </c>
      <c r="F80" s="230">
        <f t="shared" si="10"/>
        <v>181.6</v>
      </c>
      <c r="G80" s="965" t="s">
        <v>398</v>
      </c>
      <c r="H80" s="966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997"/>
      <c r="R80" s="230">
        <f t="shared" si="11"/>
        <v>0</v>
      </c>
      <c r="S80" s="965"/>
      <c r="T80" s="966"/>
      <c r="U80" s="205">
        <f t="shared" si="17"/>
        <v>967.01999999999953</v>
      </c>
      <c r="V80" s="73">
        <f t="shared" si="18"/>
        <v>213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997">
        <v>44658</v>
      </c>
      <c r="F81" s="230">
        <f t="shared" si="10"/>
        <v>227</v>
      </c>
      <c r="G81" s="965" t="s">
        <v>402</v>
      </c>
      <c r="H81" s="966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997"/>
      <c r="R81" s="230">
        <f t="shared" si="11"/>
        <v>0</v>
      </c>
      <c r="S81" s="965"/>
      <c r="T81" s="966"/>
      <c r="U81" s="205">
        <f t="shared" si="17"/>
        <v>967.01999999999953</v>
      </c>
      <c r="V81" s="73">
        <f t="shared" si="18"/>
        <v>213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997">
        <v>44659</v>
      </c>
      <c r="F82" s="230">
        <f t="shared" si="10"/>
        <v>45.4</v>
      </c>
      <c r="G82" s="965" t="s">
        <v>406</v>
      </c>
      <c r="H82" s="966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997"/>
      <c r="R82" s="230">
        <f t="shared" si="11"/>
        <v>0</v>
      </c>
      <c r="S82" s="965"/>
      <c r="T82" s="966"/>
      <c r="U82" s="205">
        <f t="shared" si="17"/>
        <v>967.01999999999953</v>
      </c>
      <c r="V82" s="73">
        <f t="shared" si="18"/>
        <v>213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997">
        <v>44659</v>
      </c>
      <c r="F83" s="230">
        <f t="shared" si="10"/>
        <v>181.6</v>
      </c>
      <c r="G83" s="965" t="s">
        <v>410</v>
      </c>
      <c r="H83" s="966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997"/>
      <c r="R83" s="230">
        <f t="shared" si="11"/>
        <v>0</v>
      </c>
      <c r="S83" s="965"/>
      <c r="T83" s="966"/>
      <c r="U83" s="205">
        <f t="shared" si="17"/>
        <v>967.01999999999953</v>
      </c>
      <c r="V83" s="73">
        <f t="shared" si="18"/>
        <v>213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997">
        <v>44660</v>
      </c>
      <c r="F84" s="230">
        <f t="shared" si="10"/>
        <v>22.7</v>
      </c>
      <c r="G84" s="965" t="s">
        <v>413</v>
      </c>
      <c r="H84" s="966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997"/>
      <c r="R84" s="230">
        <f t="shared" si="11"/>
        <v>0</v>
      </c>
      <c r="S84" s="965"/>
      <c r="T84" s="966"/>
      <c r="U84" s="205">
        <f t="shared" si="17"/>
        <v>967.01999999999953</v>
      </c>
      <c r="V84" s="73">
        <f t="shared" si="18"/>
        <v>213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997">
        <v>44660</v>
      </c>
      <c r="F85" s="230">
        <f t="shared" si="10"/>
        <v>22.7</v>
      </c>
      <c r="G85" s="965" t="s">
        <v>411</v>
      </c>
      <c r="H85" s="966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997"/>
      <c r="R85" s="230">
        <f t="shared" si="11"/>
        <v>0</v>
      </c>
      <c r="S85" s="965"/>
      <c r="T85" s="966"/>
      <c r="U85" s="205">
        <f t="shared" si="17"/>
        <v>967.01999999999953</v>
      </c>
      <c r="V85" s="73">
        <f t="shared" si="18"/>
        <v>213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997">
        <v>44660</v>
      </c>
      <c r="F86" s="230">
        <f t="shared" si="10"/>
        <v>68.099999999999994</v>
      </c>
      <c r="G86" s="965" t="s">
        <v>414</v>
      </c>
      <c r="H86" s="966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997"/>
      <c r="R86" s="230">
        <f t="shared" si="11"/>
        <v>0</v>
      </c>
      <c r="S86" s="965"/>
      <c r="T86" s="966"/>
      <c r="U86" s="205">
        <f t="shared" si="17"/>
        <v>967.01999999999953</v>
      </c>
      <c r="V86" s="73">
        <f t="shared" si="18"/>
        <v>213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997">
        <v>44660</v>
      </c>
      <c r="F87" s="230">
        <f t="shared" si="10"/>
        <v>136.19999999999999</v>
      </c>
      <c r="G87" s="965" t="s">
        <v>419</v>
      </c>
      <c r="H87" s="966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997"/>
      <c r="R87" s="230">
        <f t="shared" si="11"/>
        <v>0</v>
      </c>
      <c r="S87" s="965"/>
      <c r="T87" s="966"/>
      <c r="U87" s="205">
        <f t="shared" si="17"/>
        <v>967.01999999999953</v>
      </c>
      <c r="V87" s="73">
        <f t="shared" si="18"/>
        <v>213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997">
        <v>44662</v>
      </c>
      <c r="F88" s="230">
        <f t="shared" si="10"/>
        <v>22.7</v>
      </c>
      <c r="G88" s="965" t="s">
        <v>421</v>
      </c>
      <c r="H88" s="966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997"/>
      <c r="R88" s="230">
        <f t="shared" si="11"/>
        <v>0</v>
      </c>
      <c r="S88" s="965"/>
      <c r="T88" s="966"/>
      <c r="U88" s="205">
        <f t="shared" si="17"/>
        <v>967.01999999999953</v>
      </c>
      <c r="V88" s="73">
        <f t="shared" si="18"/>
        <v>213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997">
        <v>44662</v>
      </c>
      <c r="F89" s="230">
        <f t="shared" si="10"/>
        <v>45.4</v>
      </c>
      <c r="G89" s="965" t="s">
        <v>426</v>
      </c>
      <c r="H89" s="966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997"/>
      <c r="R89" s="230">
        <f t="shared" si="11"/>
        <v>0</v>
      </c>
      <c r="S89" s="965"/>
      <c r="T89" s="966"/>
      <c r="U89" s="205">
        <f t="shared" si="17"/>
        <v>967.01999999999953</v>
      </c>
      <c r="V89" s="73">
        <f t="shared" si="18"/>
        <v>213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997">
        <v>44662</v>
      </c>
      <c r="F90" s="230">
        <f t="shared" si="10"/>
        <v>136.19999999999999</v>
      </c>
      <c r="G90" s="965" t="s">
        <v>427</v>
      </c>
      <c r="H90" s="966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997"/>
      <c r="R90" s="230">
        <f t="shared" si="11"/>
        <v>0</v>
      </c>
      <c r="S90" s="965"/>
      <c r="T90" s="966"/>
      <c r="U90" s="205">
        <f t="shared" si="17"/>
        <v>967.01999999999953</v>
      </c>
      <c r="V90" s="73">
        <f t="shared" si="18"/>
        <v>213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997">
        <v>44663</v>
      </c>
      <c r="F91" s="230">
        <f t="shared" si="10"/>
        <v>136.19999999999999</v>
      </c>
      <c r="G91" s="965" t="s">
        <v>433</v>
      </c>
      <c r="H91" s="966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997"/>
      <c r="R91" s="230">
        <f t="shared" si="11"/>
        <v>0</v>
      </c>
      <c r="S91" s="965"/>
      <c r="T91" s="966"/>
      <c r="U91" s="205">
        <f t="shared" si="17"/>
        <v>967.01999999999953</v>
      </c>
      <c r="V91" s="73">
        <f t="shared" si="18"/>
        <v>213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997">
        <v>44664</v>
      </c>
      <c r="F92" s="230">
        <f t="shared" si="10"/>
        <v>22.7</v>
      </c>
      <c r="G92" s="965" t="s">
        <v>441</v>
      </c>
      <c r="H92" s="966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997"/>
      <c r="R92" s="230">
        <f t="shared" si="11"/>
        <v>0</v>
      </c>
      <c r="S92" s="965"/>
      <c r="T92" s="966"/>
      <c r="U92" s="205">
        <f t="shared" si="17"/>
        <v>967.01999999999953</v>
      </c>
      <c r="V92" s="73">
        <f t="shared" si="18"/>
        <v>213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997">
        <v>44664</v>
      </c>
      <c r="F93" s="230">
        <f t="shared" si="10"/>
        <v>68.099999999999994</v>
      </c>
      <c r="G93" s="965" t="s">
        <v>442</v>
      </c>
      <c r="H93" s="966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997"/>
      <c r="R93" s="230">
        <f t="shared" si="11"/>
        <v>0</v>
      </c>
      <c r="S93" s="965"/>
      <c r="T93" s="966"/>
      <c r="U93" s="205">
        <f t="shared" si="17"/>
        <v>967.01999999999953</v>
      </c>
      <c r="V93" s="73">
        <f t="shared" si="18"/>
        <v>213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997">
        <v>44664</v>
      </c>
      <c r="F94" s="230">
        <f t="shared" si="10"/>
        <v>4.54</v>
      </c>
      <c r="G94" s="965" t="s">
        <v>445</v>
      </c>
      <c r="H94" s="966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997"/>
      <c r="R94" s="230">
        <f t="shared" si="11"/>
        <v>0</v>
      </c>
      <c r="S94" s="965"/>
      <c r="T94" s="966"/>
      <c r="U94" s="205">
        <f t="shared" si="17"/>
        <v>967.01999999999953</v>
      </c>
      <c r="V94" s="73">
        <f t="shared" si="18"/>
        <v>213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997">
        <v>44664</v>
      </c>
      <c r="F95" s="230">
        <f t="shared" si="10"/>
        <v>136.19999999999999</v>
      </c>
      <c r="G95" s="965" t="s">
        <v>446</v>
      </c>
      <c r="H95" s="966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997"/>
      <c r="R95" s="230">
        <f t="shared" si="11"/>
        <v>0</v>
      </c>
      <c r="S95" s="965"/>
      <c r="T95" s="966"/>
      <c r="U95" s="205">
        <f t="shared" si="17"/>
        <v>967.01999999999953</v>
      </c>
      <c r="V95" s="73">
        <f t="shared" si="18"/>
        <v>213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997">
        <v>44665</v>
      </c>
      <c r="F96" s="230">
        <f t="shared" si="10"/>
        <v>45.4</v>
      </c>
      <c r="G96" s="965" t="s">
        <v>457</v>
      </c>
      <c r="H96" s="966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997"/>
      <c r="R96" s="230">
        <f t="shared" si="11"/>
        <v>0</v>
      </c>
      <c r="S96" s="965"/>
      <c r="T96" s="966"/>
      <c r="U96" s="205">
        <f t="shared" si="17"/>
        <v>967.01999999999953</v>
      </c>
      <c r="V96" s="73">
        <f t="shared" si="18"/>
        <v>213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997">
        <v>44665</v>
      </c>
      <c r="F97" s="230">
        <f t="shared" si="10"/>
        <v>272.39999999999998</v>
      </c>
      <c r="G97" s="965" t="s">
        <v>424</v>
      </c>
      <c r="H97" s="966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997"/>
      <c r="R97" s="230">
        <f t="shared" si="11"/>
        <v>0</v>
      </c>
      <c r="S97" s="965"/>
      <c r="T97" s="966"/>
      <c r="U97" s="205">
        <f t="shared" si="17"/>
        <v>967.01999999999953</v>
      </c>
      <c r="V97" s="73">
        <f t="shared" si="18"/>
        <v>213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997">
        <v>44665</v>
      </c>
      <c r="F98" s="230">
        <f t="shared" si="10"/>
        <v>4.54</v>
      </c>
      <c r="G98" s="965" t="s">
        <v>461</v>
      </c>
      <c r="H98" s="966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997"/>
      <c r="R98" s="230">
        <f t="shared" si="11"/>
        <v>0</v>
      </c>
      <c r="S98" s="965"/>
      <c r="T98" s="966"/>
      <c r="U98" s="205">
        <f t="shared" si="17"/>
        <v>967.01999999999953</v>
      </c>
      <c r="V98" s="73">
        <f t="shared" si="18"/>
        <v>213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997">
        <v>44665</v>
      </c>
      <c r="F99" s="230">
        <f t="shared" si="10"/>
        <v>4.54</v>
      </c>
      <c r="G99" s="965" t="s">
        <v>462</v>
      </c>
      <c r="H99" s="966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997"/>
      <c r="R99" s="230">
        <f t="shared" si="11"/>
        <v>0</v>
      </c>
      <c r="S99" s="965"/>
      <c r="T99" s="966"/>
      <c r="U99" s="205">
        <f t="shared" si="17"/>
        <v>967.01999999999953</v>
      </c>
      <c r="V99" s="73">
        <f t="shared" si="18"/>
        <v>213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997">
        <v>44665</v>
      </c>
      <c r="F100" s="230">
        <f t="shared" si="10"/>
        <v>181.6</v>
      </c>
      <c r="G100" s="965" t="s">
        <v>464</v>
      </c>
      <c r="H100" s="966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997"/>
      <c r="R100" s="230">
        <f t="shared" si="11"/>
        <v>0</v>
      </c>
      <c r="S100" s="965"/>
      <c r="T100" s="966"/>
      <c r="U100" s="205">
        <f t="shared" si="17"/>
        <v>967.01999999999953</v>
      </c>
      <c r="V100" s="73">
        <f t="shared" si="18"/>
        <v>213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997">
        <v>44665</v>
      </c>
      <c r="F101" s="230">
        <f t="shared" si="10"/>
        <v>90.8</v>
      </c>
      <c r="G101" s="965" t="s">
        <v>464</v>
      </c>
      <c r="H101" s="966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997"/>
      <c r="R101" s="230">
        <f t="shared" si="11"/>
        <v>0</v>
      </c>
      <c r="S101" s="965"/>
      <c r="T101" s="966"/>
      <c r="U101" s="205">
        <f t="shared" si="17"/>
        <v>967.01999999999953</v>
      </c>
      <c r="V101" s="73">
        <f t="shared" si="18"/>
        <v>213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997">
        <v>44667</v>
      </c>
      <c r="F102" s="230">
        <f t="shared" si="10"/>
        <v>22.7</v>
      </c>
      <c r="G102" s="965" t="s">
        <v>470</v>
      </c>
      <c r="H102" s="966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997"/>
      <c r="R102" s="230">
        <f t="shared" si="11"/>
        <v>0</v>
      </c>
      <c r="S102" s="965"/>
      <c r="T102" s="966"/>
      <c r="U102" s="205">
        <f t="shared" si="17"/>
        <v>967.01999999999953</v>
      </c>
      <c r="V102" s="73">
        <f t="shared" si="18"/>
        <v>213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997">
        <v>44667</v>
      </c>
      <c r="F103" s="230">
        <f t="shared" si="10"/>
        <v>9.08</v>
      </c>
      <c r="G103" s="965" t="s">
        <v>470</v>
      </c>
      <c r="H103" s="966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997"/>
      <c r="R103" s="230">
        <f t="shared" si="11"/>
        <v>0</v>
      </c>
      <c r="S103" s="965"/>
      <c r="T103" s="966"/>
      <c r="U103" s="205">
        <f t="shared" si="17"/>
        <v>967.01999999999953</v>
      </c>
      <c r="V103" s="73">
        <f t="shared" si="18"/>
        <v>213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997"/>
      <c r="F104" s="230">
        <f t="shared" si="10"/>
        <v>0</v>
      </c>
      <c r="G104" s="1061"/>
      <c r="H104" s="1062"/>
      <c r="I104" s="1081">
        <f t="shared" si="15"/>
        <v>118.04000000000812</v>
      </c>
      <c r="J104" s="1082">
        <f t="shared" si="16"/>
        <v>26</v>
      </c>
      <c r="K104" s="1083">
        <f t="shared" si="4"/>
        <v>0</v>
      </c>
      <c r="N104" s="135">
        <v>4.54</v>
      </c>
      <c r="O104" s="15"/>
      <c r="P104" s="230">
        <f t="shared" si="2"/>
        <v>0</v>
      </c>
      <c r="Q104" s="997"/>
      <c r="R104" s="230">
        <f t="shared" si="11"/>
        <v>0</v>
      </c>
      <c r="S104" s="965"/>
      <c r="T104" s="966"/>
      <c r="U104" s="205">
        <f t="shared" si="17"/>
        <v>967.01999999999953</v>
      </c>
      <c r="V104" s="73">
        <f t="shared" si="18"/>
        <v>213</v>
      </c>
      <c r="W104" s="60"/>
    </row>
    <row r="105" spans="2:23" x14ac:dyDescent="0.25">
      <c r="B105" s="135">
        <v>4.54</v>
      </c>
      <c r="C105" s="15"/>
      <c r="D105" s="230"/>
      <c r="E105" s="997"/>
      <c r="F105" s="230">
        <f t="shared" si="10"/>
        <v>0</v>
      </c>
      <c r="G105" s="1061"/>
      <c r="H105" s="1062"/>
      <c r="I105" s="1081">
        <f t="shared" si="15"/>
        <v>118.04000000000812</v>
      </c>
      <c r="J105" s="1082">
        <f t="shared" si="16"/>
        <v>26</v>
      </c>
      <c r="K105" s="1083">
        <f t="shared" si="4"/>
        <v>0</v>
      </c>
      <c r="N105" s="135">
        <v>4.54</v>
      </c>
      <c r="O105" s="15"/>
      <c r="P105" s="230">
        <f t="shared" si="2"/>
        <v>0</v>
      </c>
      <c r="Q105" s="997"/>
      <c r="R105" s="230">
        <f t="shared" si="11"/>
        <v>0</v>
      </c>
      <c r="S105" s="965"/>
      <c r="T105" s="966"/>
      <c r="U105" s="205">
        <f t="shared" si="17"/>
        <v>967.01999999999953</v>
      </c>
      <c r="V105" s="73">
        <f t="shared" si="18"/>
        <v>213</v>
      </c>
      <c r="W105" s="60"/>
    </row>
    <row r="106" spans="2:23" x14ac:dyDescent="0.25">
      <c r="B106" s="135">
        <v>4.54</v>
      </c>
      <c r="C106" s="15"/>
      <c r="D106" s="230"/>
      <c r="E106" s="997"/>
      <c r="F106" s="230">
        <f t="shared" si="10"/>
        <v>0</v>
      </c>
      <c r="G106" s="1061"/>
      <c r="H106" s="1062"/>
      <c r="I106" s="1081">
        <f t="shared" si="15"/>
        <v>118.04000000000812</v>
      </c>
      <c r="J106" s="1082">
        <f t="shared" si="16"/>
        <v>26</v>
      </c>
      <c r="K106" s="1083">
        <f t="shared" si="4"/>
        <v>0</v>
      </c>
      <c r="N106" s="135">
        <v>4.54</v>
      </c>
      <c r="O106" s="15"/>
      <c r="P106" s="230">
        <f t="shared" si="2"/>
        <v>0</v>
      </c>
      <c r="Q106" s="997"/>
      <c r="R106" s="230">
        <f t="shared" si="11"/>
        <v>0</v>
      </c>
      <c r="S106" s="965"/>
      <c r="T106" s="966"/>
      <c r="U106" s="205">
        <f t="shared" si="17"/>
        <v>967.01999999999953</v>
      </c>
      <c r="V106" s="73">
        <f t="shared" si="18"/>
        <v>213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997"/>
      <c r="F107" s="230">
        <f t="shared" si="10"/>
        <v>0</v>
      </c>
      <c r="G107" s="965"/>
      <c r="H107" s="966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997"/>
      <c r="R107" s="230">
        <f t="shared" si="11"/>
        <v>0</v>
      </c>
      <c r="S107" s="965"/>
      <c r="T107" s="966"/>
      <c r="U107" s="205">
        <f t="shared" si="17"/>
        <v>967.01999999999953</v>
      </c>
      <c r="V107" s="73">
        <f>V83-O107</f>
        <v>213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73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73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245</v>
      </c>
      <c r="P109" s="6">
        <f>SUM(P9:P108)</f>
        <v>1112.3000000000002</v>
      </c>
      <c r="Q109" s="13"/>
      <c r="R109" s="6">
        <f>SUM(R9:R108)</f>
        <v>1112.3000000000002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213</v>
      </c>
      <c r="Q111" s="40"/>
      <c r="R111" s="6"/>
      <c r="S111" s="31"/>
      <c r="T111" s="17"/>
      <c r="U111" s="132"/>
      <c r="V111" s="73"/>
    </row>
    <row r="112" spans="2:23" x14ac:dyDescent="0.25">
      <c r="C112" s="1267" t="s">
        <v>19</v>
      </c>
      <c r="D112" s="1268"/>
      <c r="E112" s="39">
        <f>E4+E5-F109+E6+E7</f>
        <v>118.04000000000565</v>
      </c>
      <c r="F112" s="6"/>
      <c r="G112" s="6"/>
      <c r="H112" s="17"/>
      <c r="I112" s="132"/>
      <c r="J112" s="73"/>
      <c r="O112" s="1267" t="s">
        <v>19</v>
      </c>
      <c r="P112" s="1268"/>
      <c r="Q112" s="39">
        <f>Q4+Q5-R109+Q6+Q7</f>
        <v>967.02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69" t="s">
        <v>19</v>
      </c>
      <c r="J7" s="1271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0"/>
      <c r="J8" s="1272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67" t="s">
        <v>19</v>
      </c>
      <c r="D64" s="126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U9" activePane="bottomRight" state="frozen"/>
      <selection activeCell="AC1" sqref="AC1"/>
      <selection pane="topRight" activeCell="AE1" sqref="AE1"/>
      <selection pane="bottomLeft" activeCell="AC9" sqref="AC9"/>
      <selection pane="bottomRight" activeCell="BB17" sqref="BB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36" t="s">
        <v>240</v>
      </c>
      <c r="B1" s="1236"/>
      <c r="C1" s="1236"/>
      <c r="D1" s="1236"/>
      <c r="E1" s="1236"/>
      <c r="F1" s="1236"/>
      <c r="G1" s="1236"/>
      <c r="H1" s="11">
        <v>1</v>
      </c>
      <c r="K1" s="1236" t="str">
        <f>A1</f>
        <v>INVENTARIO    DEL MES DE MARZO 2022</v>
      </c>
      <c r="L1" s="1236"/>
      <c r="M1" s="1236"/>
      <c r="N1" s="1236"/>
      <c r="O1" s="1236"/>
      <c r="P1" s="1236"/>
      <c r="Q1" s="1236"/>
      <c r="R1" s="11">
        <v>2</v>
      </c>
      <c r="U1" s="1231" t="s">
        <v>245</v>
      </c>
      <c r="V1" s="1231"/>
      <c r="W1" s="1231"/>
      <c r="X1" s="1231"/>
      <c r="Y1" s="1231"/>
      <c r="Z1" s="1231"/>
      <c r="AA1" s="1231"/>
      <c r="AB1" s="11">
        <v>3</v>
      </c>
      <c r="AE1" s="1231" t="str">
        <f>U1</f>
        <v>ENTRADA DEL MES DE    ABRIL  2022</v>
      </c>
      <c r="AF1" s="1231"/>
      <c r="AG1" s="1231"/>
      <c r="AH1" s="1231"/>
      <c r="AI1" s="1231"/>
      <c r="AJ1" s="1231"/>
      <c r="AK1" s="1231"/>
      <c r="AL1" s="11">
        <v>4</v>
      </c>
      <c r="AO1" s="1231" t="str">
        <f>AE1</f>
        <v>ENTRADA DEL MES DE    ABRIL  2022</v>
      </c>
      <c r="AP1" s="1231"/>
      <c r="AQ1" s="1231"/>
      <c r="AR1" s="1231"/>
      <c r="AS1" s="1231"/>
      <c r="AT1" s="1231"/>
      <c r="AU1" s="1231"/>
      <c r="AV1" s="11">
        <v>5</v>
      </c>
      <c r="AY1" s="1231" t="str">
        <f>AO1</f>
        <v>ENTRADA DEL MES DE    ABRIL  2022</v>
      </c>
      <c r="AZ1" s="1231"/>
      <c r="BA1" s="1231"/>
      <c r="BB1" s="1231"/>
      <c r="BC1" s="1231"/>
      <c r="BD1" s="1231"/>
      <c r="BE1" s="1231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19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19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19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73" t="s">
        <v>76</v>
      </c>
      <c r="C5" s="619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59" t="s">
        <v>75</v>
      </c>
      <c r="M5" s="619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59" t="s">
        <v>140</v>
      </c>
      <c r="W5" s="619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73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59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74" t="s">
        <v>270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73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60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60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73"/>
      <c r="AG6" s="12"/>
      <c r="AH6" s="12"/>
      <c r="AI6" s="1108">
        <v>30</v>
      </c>
      <c r="AJ6" s="147">
        <v>3</v>
      </c>
      <c r="AK6" s="265">
        <f>AJ78</f>
        <v>160</v>
      </c>
      <c r="AL6" s="7">
        <f>AI6-AK6+AI7+AI5-AK5+AI4</f>
        <v>70</v>
      </c>
      <c r="AO6" s="253"/>
      <c r="AP6" s="1260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290</v>
      </c>
      <c r="AV6" s="7">
        <f>AS6-AU6+AS7+AS5-AU5+AS4</f>
        <v>120</v>
      </c>
      <c r="AY6" s="253"/>
      <c r="AZ6" s="1275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199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170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430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442</v>
      </c>
      <c r="AL9" s="269">
        <v>100</v>
      </c>
      <c r="AM9" s="278">
        <f>AI6-AJ9+AI5+AI7+AI4</f>
        <v>180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439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463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210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179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69">
        <f>X10</f>
        <v>0</v>
      </c>
      <c r="AA10" s="1070"/>
      <c r="AB10" s="1071"/>
      <c r="AC10" s="1068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449</v>
      </c>
      <c r="AL10" s="269">
        <v>100</v>
      </c>
      <c r="AM10" s="278">
        <f t="shared" ref="AM10:AM73" si="7">AM9-AJ10</f>
        <v>170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442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70"/>
      <c r="BF10" s="1071"/>
      <c r="BG10" s="1068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222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180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69">
        <f t="shared" ref="Z11:Z74" si="12">X11</f>
        <v>0</v>
      </c>
      <c r="AA11" s="1070"/>
      <c r="AB11" s="1071"/>
      <c r="AC11" s="1068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424</v>
      </c>
      <c r="AL11" s="269">
        <v>100</v>
      </c>
      <c r="AM11" s="278">
        <f t="shared" si="7"/>
        <v>150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447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70"/>
      <c r="BF11" s="1071"/>
      <c r="BG11" s="1068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218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186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69">
        <f t="shared" si="12"/>
        <v>0</v>
      </c>
      <c r="AA12" s="1070"/>
      <c r="AB12" s="1071"/>
      <c r="AC12" s="1068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424</v>
      </c>
      <c r="AL12" s="269">
        <v>100</v>
      </c>
      <c r="AM12" s="278">
        <f t="shared" si="7"/>
        <v>130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424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70"/>
      <c r="BF12" s="1071"/>
      <c r="BG12" s="1068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226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195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69">
        <f t="shared" si="12"/>
        <v>0</v>
      </c>
      <c r="AA13" s="1070"/>
      <c r="AB13" s="1071"/>
      <c r="AC13" s="1068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464</v>
      </c>
      <c r="AL13" s="269">
        <v>100</v>
      </c>
      <c r="AM13" s="278">
        <f t="shared" si="7"/>
        <v>110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424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70"/>
      <c r="BF13" s="1071"/>
      <c r="BG13" s="1068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89">
        <v>10</v>
      </c>
      <c r="E14" s="890">
        <v>44652</v>
      </c>
      <c r="F14" s="889">
        <f t="shared" si="1"/>
        <v>10</v>
      </c>
      <c r="G14" s="425" t="s">
        <v>372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199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496</v>
      </c>
      <c r="AL14" s="269">
        <v>100</v>
      </c>
      <c r="AM14" s="278">
        <f t="shared" si="7"/>
        <v>100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464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89">
        <v>20</v>
      </c>
      <c r="E15" s="890">
        <v>44653</v>
      </c>
      <c r="F15" s="889">
        <f t="shared" si="1"/>
        <v>20</v>
      </c>
      <c r="G15" s="425" t="s">
        <v>376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210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2"/>
      <c r="Y15" s="855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9</v>
      </c>
      <c r="AG15" s="73">
        <v>1</v>
      </c>
      <c r="AH15" s="267">
        <v>10</v>
      </c>
      <c r="AI15" s="296">
        <v>44679</v>
      </c>
      <c r="AJ15" s="267">
        <f t="shared" si="6"/>
        <v>10</v>
      </c>
      <c r="AK15" s="268" t="s">
        <v>590</v>
      </c>
      <c r="AL15" s="269">
        <v>100</v>
      </c>
      <c r="AM15" s="278">
        <f t="shared" si="7"/>
        <v>90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470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89">
        <v>20</v>
      </c>
      <c r="E16" s="890">
        <v>44653</v>
      </c>
      <c r="F16" s="889">
        <f t="shared" si="1"/>
        <v>20</v>
      </c>
      <c r="G16" s="425" t="s">
        <v>358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220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2"/>
      <c r="Y16" s="855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7</v>
      </c>
      <c r="AG16" s="73">
        <v>2</v>
      </c>
      <c r="AH16" s="267">
        <v>20</v>
      </c>
      <c r="AI16" s="296">
        <v>44681</v>
      </c>
      <c r="AJ16" s="267">
        <f t="shared" si="6"/>
        <v>20</v>
      </c>
      <c r="AK16" s="268" t="s">
        <v>603</v>
      </c>
      <c r="AL16" s="269">
        <v>100</v>
      </c>
      <c r="AM16" s="278">
        <f t="shared" si="7"/>
        <v>70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475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89">
        <v>20</v>
      </c>
      <c r="E17" s="890">
        <v>44659</v>
      </c>
      <c r="F17" s="889">
        <f t="shared" si="1"/>
        <v>20</v>
      </c>
      <c r="G17" s="425" t="s">
        <v>410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222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89"/>
      <c r="Y17" s="890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7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70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478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89">
        <v>10</v>
      </c>
      <c r="E18" s="890">
        <v>44660</v>
      </c>
      <c r="F18" s="889">
        <f t="shared" si="1"/>
        <v>10</v>
      </c>
      <c r="G18" s="425" t="s">
        <v>412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218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89"/>
      <c r="Y18" s="890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7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70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479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89">
        <v>20</v>
      </c>
      <c r="E19" s="890">
        <v>44662</v>
      </c>
      <c r="F19" s="889">
        <f t="shared" si="1"/>
        <v>20</v>
      </c>
      <c r="G19" s="425" t="s">
        <v>421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226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89"/>
      <c r="Y19" s="890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7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70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459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89">
        <v>20</v>
      </c>
      <c r="E20" s="890">
        <v>44663</v>
      </c>
      <c r="F20" s="889">
        <f t="shared" si="1"/>
        <v>20</v>
      </c>
      <c r="G20" s="425" t="s">
        <v>439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89">
        <v>20</v>
      </c>
      <c r="O20" s="890">
        <v>44653</v>
      </c>
      <c r="P20" s="889">
        <f t="shared" si="10"/>
        <v>20</v>
      </c>
      <c r="Q20" s="425" t="s">
        <v>376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89"/>
      <c r="Y20" s="890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7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70</v>
      </c>
      <c r="AO20" s="122"/>
      <c r="AP20" s="83">
        <f t="shared" si="8"/>
        <v>15</v>
      </c>
      <c r="AQ20" s="15">
        <v>1</v>
      </c>
      <c r="AR20" s="267">
        <v>10</v>
      </c>
      <c r="AS20" s="296">
        <v>44677</v>
      </c>
      <c r="AT20" s="267">
        <f t="shared" si="14"/>
        <v>10</v>
      </c>
      <c r="AU20" s="268" t="s">
        <v>574</v>
      </c>
      <c r="AV20" s="269">
        <v>115</v>
      </c>
      <c r="AW20" s="278">
        <f t="shared" si="15"/>
        <v>150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89"/>
      <c r="E21" s="890"/>
      <c r="F21" s="889">
        <f t="shared" si="1"/>
        <v>0</v>
      </c>
      <c r="G21" s="1061"/>
      <c r="H21" s="1062"/>
      <c r="I21" s="1068">
        <f t="shared" si="2"/>
        <v>30</v>
      </c>
      <c r="K21" s="122"/>
      <c r="L21" s="83">
        <f t="shared" si="3"/>
        <v>7</v>
      </c>
      <c r="M21" s="15">
        <v>2</v>
      </c>
      <c r="N21" s="889">
        <v>20</v>
      </c>
      <c r="O21" s="890">
        <v>44653</v>
      </c>
      <c r="P21" s="889">
        <f t="shared" si="10"/>
        <v>20</v>
      </c>
      <c r="Q21" s="425" t="s">
        <v>358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89"/>
      <c r="Y21" s="890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7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70</v>
      </c>
      <c r="AO21" s="122"/>
      <c r="AP21" s="83">
        <f t="shared" si="8"/>
        <v>14</v>
      </c>
      <c r="AQ21" s="15">
        <v>1</v>
      </c>
      <c r="AR21" s="267">
        <v>10</v>
      </c>
      <c r="AS21" s="296">
        <v>44680</v>
      </c>
      <c r="AT21" s="267">
        <f t="shared" si="14"/>
        <v>10</v>
      </c>
      <c r="AU21" s="268" t="s">
        <v>598</v>
      </c>
      <c r="AV21" s="269">
        <v>115</v>
      </c>
      <c r="AW21" s="278">
        <f t="shared" si="15"/>
        <v>140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89"/>
      <c r="E22" s="890"/>
      <c r="F22" s="889">
        <f t="shared" si="1"/>
        <v>0</v>
      </c>
      <c r="G22" s="1061"/>
      <c r="H22" s="1062"/>
      <c r="I22" s="1068">
        <f t="shared" si="2"/>
        <v>30</v>
      </c>
      <c r="K22" s="122"/>
      <c r="L22" s="284">
        <f t="shared" si="3"/>
        <v>5</v>
      </c>
      <c r="M22" s="15">
        <v>2</v>
      </c>
      <c r="N22" s="889">
        <v>20</v>
      </c>
      <c r="O22" s="890">
        <v>44657</v>
      </c>
      <c r="P22" s="889">
        <f t="shared" si="10"/>
        <v>20</v>
      </c>
      <c r="Q22" s="425" t="s">
        <v>399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89"/>
      <c r="Y22" s="890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7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70</v>
      </c>
      <c r="AO22" s="122"/>
      <c r="AP22" s="284">
        <f t="shared" si="8"/>
        <v>12</v>
      </c>
      <c r="AQ22" s="15">
        <v>2</v>
      </c>
      <c r="AR22" s="267">
        <v>20</v>
      </c>
      <c r="AS22" s="296">
        <v>44681</v>
      </c>
      <c r="AT22" s="267">
        <f t="shared" si="14"/>
        <v>20</v>
      </c>
      <c r="AU22" s="268" t="s">
        <v>603</v>
      </c>
      <c r="AV22" s="269">
        <v>115</v>
      </c>
      <c r="AW22" s="278">
        <f t="shared" si="15"/>
        <v>120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89"/>
      <c r="E23" s="890"/>
      <c r="F23" s="889">
        <v>30</v>
      </c>
      <c r="G23" s="1061"/>
      <c r="H23" s="1062"/>
      <c r="I23" s="1068">
        <f t="shared" si="2"/>
        <v>0</v>
      </c>
      <c r="K23" s="123"/>
      <c r="L23" s="284">
        <f t="shared" si="3"/>
        <v>4</v>
      </c>
      <c r="M23" s="15">
        <v>1</v>
      </c>
      <c r="N23" s="889">
        <v>10</v>
      </c>
      <c r="O23" s="890">
        <v>44659</v>
      </c>
      <c r="P23" s="889">
        <f t="shared" si="10"/>
        <v>10</v>
      </c>
      <c r="Q23" s="425" t="s">
        <v>410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89"/>
      <c r="Y23" s="890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7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70</v>
      </c>
      <c r="AO23" s="123"/>
      <c r="AP23" s="284">
        <f t="shared" si="8"/>
        <v>12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120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89"/>
      <c r="E24" s="890"/>
      <c r="F24" s="889">
        <f t="shared" si="1"/>
        <v>0</v>
      </c>
      <c r="G24" s="1061"/>
      <c r="H24" s="1062"/>
      <c r="I24" s="1068">
        <f t="shared" si="2"/>
        <v>0</v>
      </c>
      <c r="K24" s="122"/>
      <c r="L24" s="284">
        <f t="shared" si="3"/>
        <v>3</v>
      </c>
      <c r="M24" s="15">
        <v>1</v>
      </c>
      <c r="N24" s="889">
        <v>10</v>
      </c>
      <c r="O24" s="890">
        <v>44660</v>
      </c>
      <c r="P24" s="889">
        <f t="shared" si="10"/>
        <v>10</v>
      </c>
      <c r="Q24" s="425" t="s">
        <v>412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89"/>
      <c r="Y24" s="890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7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70</v>
      </c>
      <c r="AO24" s="122"/>
      <c r="AP24" s="284">
        <f t="shared" si="8"/>
        <v>12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120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89"/>
      <c r="E25" s="890"/>
      <c r="F25" s="889">
        <f t="shared" si="1"/>
        <v>0</v>
      </c>
      <c r="G25" s="1061" t="s">
        <v>22</v>
      </c>
      <c r="H25" s="1062"/>
      <c r="I25" s="1068">
        <f t="shared" si="2"/>
        <v>0</v>
      </c>
      <c r="K25" s="122"/>
      <c r="L25" s="284">
        <f t="shared" si="3"/>
        <v>1</v>
      </c>
      <c r="M25" s="15">
        <v>2</v>
      </c>
      <c r="N25" s="889">
        <v>20</v>
      </c>
      <c r="O25" s="890">
        <v>44662</v>
      </c>
      <c r="P25" s="889">
        <f t="shared" si="10"/>
        <v>20</v>
      </c>
      <c r="Q25" s="425" t="s">
        <v>421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89"/>
      <c r="Y25" s="890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7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70</v>
      </c>
      <c r="AO25" s="122"/>
      <c r="AP25" s="284">
        <f t="shared" si="8"/>
        <v>12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120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89"/>
      <c r="E26" s="890"/>
      <c r="F26" s="889">
        <f t="shared" si="1"/>
        <v>0</v>
      </c>
      <c r="G26" s="1061"/>
      <c r="H26" s="1062"/>
      <c r="I26" s="1068">
        <f t="shared" si="2"/>
        <v>0</v>
      </c>
      <c r="K26" s="122"/>
      <c r="L26" s="197">
        <f t="shared" si="3"/>
        <v>0</v>
      </c>
      <c r="M26" s="15">
        <v>1</v>
      </c>
      <c r="N26" s="889">
        <v>10</v>
      </c>
      <c r="O26" s="890">
        <v>44662</v>
      </c>
      <c r="P26" s="889">
        <f t="shared" si="10"/>
        <v>10</v>
      </c>
      <c r="Q26" s="425" t="s">
        <v>425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89"/>
      <c r="Y26" s="890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7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70</v>
      </c>
      <c r="AO26" s="122"/>
      <c r="AP26" s="197">
        <f t="shared" si="8"/>
        <v>12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120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89"/>
      <c r="O27" s="890"/>
      <c r="P27" s="1060">
        <f t="shared" si="10"/>
        <v>0</v>
      </c>
      <c r="Q27" s="1061"/>
      <c r="R27" s="1062"/>
      <c r="S27" s="1068">
        <f t="shared" si="11"/>
        <v>0</v>
      </c>
      <c r="U27" s="122"/>
      <c r="V27" s="284">
        <f t="shared" si="4"/>
        <v>0</v>
      </c>
      <c r="W27" s="15"/>
      <c r="X27" s="889"/>
      <c r="Y27" s="890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7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70</v>
      </c>
      <c r="AO27" s="122"/>
      <c r="AP27" s="284">
        <f t="shared" si="8"/>
        <v>12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120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89"/>
      <c r="O28" s="890"/>
      <c r="P28" s="1060">
        <f t="shared" si="10"/>
        <v>0</v>
      </c>
      <c r="Q28" s="1061"/>
      <c r="R28" s="1062"/>
      <c r="S28" s="1068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7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70</v>
      </c>
      <c r="AO28" s="122"/>
      <c r="AP28" s="197">
        <f t="shared" si="8"/>
        <v>12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120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89"/>
      <c r="O29" s="890"/>
      <c r="P29" s="1060">
        <f t="shared" si="10"/>
        <v>0</v>
      </c>
      <c r="Q29" s="1061"/>
      <c r="R29" s="1062"/>
      <c r="S29" s="1068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7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70</v>
      </c>
      <c r="AO29" s="122"/>
      <c r="AP29" s="284">
        <f t="shared" si="8"/>
        <v>12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120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89"/>
      <c r="O30" s="890"/>
      <c r="P30" s="1060">
        <f t="shared" si="10"/>
        <v>0</v>
      </c>
      <c r="Q30" s="1061"/>
      <c r="R30" s="1062"/>
      <c r="S30" s="1068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7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70</v>
      </c>
      <c r="AO30" s="122"/>
      <c r="AP30" s="284">
        <f t="shared" si="8"/>
        <v>12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120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89"/>
      <c r="O31" s="890"/>
      <c r="P31" s="889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7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70</v>
      </c>
      <c r="AO31" s="122"/>
      <c r="AP31" s="284">
        <f t="shared" si="8"/>
        <v>12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120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7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70</v>
      </c>
      <c r="AO32" s="122"/>
      <c r="AP32" s="284">
        <f t="shared" si="8"/>
        <v>12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120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7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70</v>
      </c>
      <c r="AO33" s="122"/>
      <c r="AP33" s="284">
        <f t="shared" si="8"/>
        <v>12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120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7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70</v>
      </c>
      <c r="AO34" s="122"/>
      <c r="AP34" s="284">
        <f t="shared" si="8"/>
        <v>12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120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7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70</v>
      </c>
      <c r="AO35" s="122"/>
      <c r="AP35" s="284">
        <f t="shared" si="8"/>
        <v>12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120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7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70</v>
      </c>
      <c r="AO36" s="122" t="s">
        <v>22</v>
      </c>
      <c r="AP36" s="284">
        <f t="shared" si="8"/>
        <v>12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120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7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70</v>
      </c>
      <c r="AO37" s="123"/>
      <c r="AP37" s="284">
        <f t="shared" si="8"/>
        <v>12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120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7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70</v>
      </c>
      <c r="AO38" s="122"/>
      <c r="AP38" s="284">
        <f t="shared" si="8"/>
        <v>12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120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7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70</v>
      </c>
      <c r="AO39" s="122"/>
      <c r="AP39" s="83">
        <f t="shared" si="8"/>
        <v>12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120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7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70</v>
      </c>
      <c r="AO40" s="122"/>
      <c r="AP40" s="83">
        <f t="shared" si="8"/>
        <v>12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120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7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70</v>
      </c>
      <c r="AO41" s="122"/>
      <c r="AP41" s="83">
        <f t="shared" si="8"/>
        <v>12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120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7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70</v>
      </c>
      <c r="AO42" s="122"/>
      <c r="AP42" s="83">
        <f t="shared" si="8"/>
        <v>12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120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7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70</v>
      </c>
      <c r="AO43" s="122"/>
      <c r="AP43" s="83">
        <f t="shared" si="8"/>
        <v>12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120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7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70</v>
      </c>
      <c r="AO44" s="122"/>
      <c r="AP44" s="83">
        <f t="shared" si="8"/>
        <v>12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120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7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70</v>
      </c>
      <c r="AO45" s="122"/>
      <c r="AP45" s="83">
        <f t="shared" si="8"/>
        <v>12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120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7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70</v>
      </c>
      <c r="AO46" s="122"/>
      <c r="AP46" s="83">
        <f t="shared" si="8"/>
        <v>12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120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7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70</v>
      </c>
      <c r="AO47" s="122"/>
      <c r="AP47" s="83">
        <f t="shared" si="8"/>
        <v>12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120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7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70</v>
      </c>
      <c r="AO48" s="122"/>
      <c r="AP48" s="83">
        <f t="shared" si="8"/>
        <v>12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120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7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70</v>
      </c>
      <c r="AO49" s="122"/>
      <c r="AP49" s="83">
        <f t="shared" si="8"/>
        <v>12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120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7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70</v>
      </c>
      <c r="AO50" s="122"/>
      <c r="AP50" s="83">
        <f t="shared" si="8"/>
        <v>12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120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7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70</v>
      </c>
      <c r="AO51" s="122"/>
      <c r="AP51" s="83">
        <f t="shared" si="8"/>
        <v>12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120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7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70</v>
      </c>
      <c r="AO52" s="122"/>
      <c r="AP52" s="83">
        <f t="shared" si="8"/>
        <v>12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120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7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70</v>
      </c>
      <c r="AO53" s="122"/>
      <c r="AP53" s="83">
        <f t="shared" si="8"/>
        <v>12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120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7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70</v>
      </c>
      <c r="AO54" s="122"/>
      <c r="AP54" s="83">
        <f t="shared" si="8"/>
        <v>12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120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7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70</v>
      </c>
      <c r="AO55" s="122"/>
      <c r="AP55" s="12">
        <f t="shared" si="8"/>
        <v>12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120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7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70</v>
      </c>
      <c r="AO56" s="122"/>
      <c r="AP56" s="12">
        <f t="shared" si="8"/>
        <v>12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120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7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70</v>
      </c>
      <c r="AO57" s="122"/>
      <c r="AP57" s="12">
        <f t="shared" si="8"/>
        <v>12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120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7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70</v>
      </c>
      <c r="AO58" s="122"/>
      <c r="AP58" s="12">
        <f t="shared" si="8"/>
        <v>12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120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7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70</v>
      </c>
      <c r="AO59" s="122"/>
      <c r="AP59" s="12">
        <f t="shared" si="8"/>
        <v>12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120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7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70</v>
      </c>
      <c r="AO60" s="122"/>
      <c r="AP60" s="12">
        <f t="shared" si="8"/>
        <v>12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120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7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70</v>
      </c>
      <c r="AO61" s="122"/>
      <c r="AP61" s="12">
        <f t="shared" si="8"/>
        <v>12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120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7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70</v>
      </c>
      <c r="AO62" s="122"/>
      <c r="AP62" s="12">
        <f t="shared" si="8"/>
        <v>12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120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7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70</v>
      </c>
      <c r="AO63" s="122"/>
      <c r="AP63" s="12">
        <f t="shared" si="8"/>
        <v>12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120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7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70</v>
      </c>
      <c r="AO64" s="122"/>
      <c r="AP64" s="12">
        <f t="shared" si="8"/>
        <v>12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120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7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70</v>
      </c>
      <c r="AO65" s="122"/>
      <c r="AP65" s="12">
        <f t="shared" si="8"/>
        <v>12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120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7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70</v>
      </c>
      <c r="AO66" s="122"/>
      <c r="AP66" s="12">
        <f t="shared" si="8"/>
        <v>12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120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7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70</v>
      </c>
      <c r="AO67" s="122"/>
      <c r="AP67" s="12">
        <f t="shared" si="8"/>
        <v>12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120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7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70</v>
      </c>
      <c r="AO68" s="122"/>
      <c r="AP68" s="12">
        <f t="shared" si="8"/>
        <v>12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120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7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70</v>
      </c>
      <c r="AO69" s="122"/>
      <c r="AP69" s="12">
        <f t="shared" si="8"/>
        <v>12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120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7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70</v>
      </c>
      <c r="AO70" s="122"/>
      <c r="AP70" s="12">
        <f t="shared" si="8"/>
        <v>12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120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7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70</v>
      </c>
      <c r="AO71" s="122"/>
      <c r="AP71" s="12">
        <f t="shared" si="8"/>
        <v>12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120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7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70</v>
      </c>
      <c r="AO72" s="122"/>
      <c r="AP72" s="12">
        <f t="shared" si="8"/>
        <v>12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120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7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70</v>
      </c>
      <c r="AO73" s="122"/>
      <c r="AP73" s="12">
        <f t="shared" si="8"/>
        <v>12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120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7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70</v>
      </c>
      <c r="AO74" s="122"/>
      <c r="AP74" s="12">
        <f t="shared" ref="AP74:AP75" si="26">AP73-AQ74</f>
        <v>12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120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7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70</v>
      </c>
      <c r="AO75" s="122"/>
      <c r="AP75" s="12">
        <f t="shared" si="26"/>
        <v>12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120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70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120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16</v>
      </c>
      <c r="AH78" s="6">
        <f>SUM(AH9:AH77)</f>
        <v>160</v>
      </c>
      <c r="AJ78" s="6">
        <f>SUM(AJ9:AJ77)</f>
        <v>160</v>
      </c>
      <c r="AQ78" s="53">
        <f>SUM(AQ9:AQ77)</f>
        <v>29</v>
      </c>
      <c r="AR78" s="6">
        <f>SUM(AR9:AR77)</f>
        <v>290</v>
      </c>
      <c r="AT78" s="6">
        <f>SUM(AT9:AT77)</f>
        <v>290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-3</v>
      </c>
      <c r="AR81" s="45" t="s">
        <v>4</v>
      </c>
      <c r="AS81" s="56">
        <f>AT5+AT6-AQ78+AT7</f>
        <v>-4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233" t="s">
        <v>11</v>
      </c>
      <c r="D83" s="1234"/>
      <c r="E83" s="57">
        <f>E5+E6-F78+E7</f>
        <v>0</v>
      </c>
      <c r="F83" s="73"/>
      <c r="M83" s="1233" t="s">
        <v>11</v>
      </c>
      <c r="N83" s="1234"/>
      <c r="O83" s="57">
        <f>O5+O6-P78+O7</f>
        <v>0</v>
      </c>
      <c r="P83" s="73"/>
      <c r="W83" s="1233" t="s">
        <v>11</v>
      </c>
      <c r="X83" s="1234"/>
      <c r="Y83" s="57">
        <f>Y5+Y6-Z78+Y7</f>
        <v>0</v>
      </c>
      <c r="Z83" s="73"/>
      <c r="AG83" s="1233" t="s">
        <v>11</v>
      </c>
      <c r="AH83" s="1234"/>
      <c r="AI83" s="57">
        <f>AI5+AI6-AJ78+AI7</f>
        <v>-30</v>
      </c>
      <c r="AJ83" s="73"/>
      <c r="AQ83" s="1233" t="s">
        <v>11</v>
      </c>
      <c r="AR83" s="1234"/>
      <c r="AS83" s="57">
        <f>AS5+AS6-AT78+AS7</f>
        <v>-40</v>
      </c>
      <c r="AT83" s="73"/>
      <c r="BA83" s="1233" t="s">
        <v>11</v>
      </c>
      <c r="BB83" s="1234"/>
      <c r="BC83" s="57">
        <f>BC5+BC6-BD78+BC7</f>
        <v>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U26" sqref="U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8" t="s">
        <v>246</v>
      </c>
      <c r="B1" s="1278"/>
      <c r="C1" s="1278"/>
      <c r="D1" s="1278"/>
      <c r="E1" s="1278"/>
      <c r="F1" s="1278"/>
      <c r="G1" s="1278"/>
      <c r="H1" s="99">
        <v>1</v>
      </c>
      <c r="L1" s="1278" t="s">
        <v>246</v>
      </c>
      <c r="M1" s="1278"/>
      <c r="N1" s="1278"/>
      <c r="O1" s="1278"/>
      <c r="P1" s="1278"/>
      <c r="Q1" s="1278"/>
      <c r="R1" s="1278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59"/>
      <c r="M4" s="1059"/>
      <c r="N4" s="293"/>
      <c r="O4" s="433"/>
      <c r="P4" s="341"/>
      <c r="Q4" s="318"/>
      <c r="R4" s="73"/>
    </row>
    <row r="5" spans="1:21" ht="15" customHeight="1" x14ac:dyDescent="0.25">
      <c r="A5" s="1279" t="s">
        <v>54</v>
      </c>
      <c r="B5" s="1280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4377.1400000000003</v>
      </c>
      <c r="H5" s="58">
        <f>E4+E5+E6-G5</f>
        <v>-1893.0900000000001</v>
      </c>
      <c r="L5" s="1284" t="s">
        <v>54</v>
      </c>
      <c r="M5" s="1285" t="s">
        <v>258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1080.0999999999999</v>
      </c>
      <c r="S5" s="58">
        <f>P4+P5+P6-R5</f>
        <v>180.96000000000004</v>
      </c>
    </row>
    <row r="6" spans="1:21" ht="16.5" customHeight="1" x14ac:dyDescent="0.25">
      <c r="A6" s="1279"/>
      <c r="B6" s="1281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84"/>
      <c r="M6" s="1286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79"/>
      <c r="B7" s="1281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59"/>
      <c r="J7" s="516"/>
      <c r="L7" s="1284"/>
      <c r="M7" s="1286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59"/>
      <c r="U7" s="516"/>
    </row>
    <row r="8" spans="1:21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82" t="s">
        <v>49</v>
      </c>
      <c r="J8" s="1276" t="s">
        <v>4</v>
      </c>
      <c r="L8" s="243"/>
      <c r="M8" s="609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82" t="s">
        <v>49</v>
      </c>
      <c r="U8" s="1276" t="s">
        <v>4</v>
      </c>
    </row>
    <row r="9" spans="1:21" ht="16.5" customHeight="1" thickTop="1" thickBot="1" x14ac:dyDescent="0.3">
      <c r="A9" s="99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83"/>
      <c r="J9" s="1277"/>
      <c r="L9" s="99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83"/>
      <c r="U9" s="1277"/>
    </row>
    <row r="10" spans="1:21" ht="15.75" thickTop="1" x14ac:dyDescent="0.25">
      <c r="A10" s="999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354</v>
      </c>
      <c r="H10" s="269">
        <v>55</v>
      </c>
      <c r="I10" s="270">
        <f>E4+E5+E6-F10+E7+E8</f>
        <v>3553.87</v>
      </c>
      <c r="J10" s="271">
        <f>F4+F5+F6+F7-C10+F8</f>
        <v>122</v>
      </c>
      <c r="L10" s="999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391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999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372</v>
      </c>
      <c r="H11" s="269">
        <v>55</v>
      </c>
      <c r="I11" s="270">
        <f>I10-F11</f>
        <v>2412.67</v>
      </c>
      <c r="J11" s="271">
        <f>J10-C11</f>
        <v>82</v>
      </c>
      <c r="L11" s="999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360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0" t="s">
        <v>32</v>
      </c>
      <c r="B12" s="83"/>
      <c r="C12" s="15">
        <v>10</v>
      </c>
      <c r="D12" s="158">
        <v>295.3</v>
      </c>
      <c r="E12" s="882">
        <v>44671</v>
      </c>
      <c r="F12" s="267">
        <f>D12</f>
        <v>295.3</v>
      </c>
      <c r="G12" s="268" t="s">
        <v>491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0" t="s">
        <v>32</v>
      </c>
      <c r="M12" s="83"/>
      <c r="N12" s="15">
        <v>4</v>
      </c>
      <c r="O12" s="158">
        <v>82.9</v>
      </c>
      <c r="P12" s="882">
        <v>44658</v>
      </c>
      <c r="Q12" s="267">
        <f>O12</f>
        <v>82.9</v>
      </c>
      <c r="R12" s="268" t="s">
        <v>404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01"/>
      <c r="B13" s="83"/>
      <c r="C13" s="15">
        <v>17</v>
      </c>
      <c r="D13" s="158">
        <v>486.82</v>
      </c>
      <c r="E13" s="499">
        <v>44673</v>
      </c>
      <c r="F13" s="267">
        <f t="shared" ref="F13:F36" si="4">D13</f>
        <v>486.82</v>
      </c>
      <c r="G13" s="268" t="s">
        <v>551</v>
      </c>
      <c r="H13" s="269">
        <v>55</v>
      </c>
      <c r="I13" s="270">
        <f t="shared" si="0"/>
        <v>1630.55</v>
      </c>
      <c r="J13" s="271">
        <f t="shared" si="1"/>
        <v>55</v>
      </c>
      <c r="L13" s="1001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407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>
        <v>37</v>
      </c>
      <c r="D14" s="158">
        <v>1110.98</v>
      </c>
      <c r="E14" s="499">
        <v>44677</v>
      </c>
      <c r="F14" s="267">
        <f t="shared" si="4"/>
        <v>1110.98</v>
      </c>
      <c r="G14" s="268" t="s">
        <v>574</v>
      </c>
      <c r="H14" s="269">
        <v>55</v>
      </c>
      <c r="I14" s="270">
        <f t="shared" si="0"/>
        <v>519.56999999999994</v>
      </c>
      <c r="J14" s="271">
        <f t="shared" si="1"/>
        <v>18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431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02" t="s">
        <v>33</v>
      </c>
      <c r="B15" s="83"/>
      <c r="C15" s="15">
        <v>18</v>
      </c>
      <c r="D15" s="158">
        <v>519.55999999999995</v>
      </c>
      <c r="E15" s="499">
        <v>44677</v>
      </c>
      <c r="F15" s="267">
        <f t="shared" si="4"/>
        <v>519.55999999999995</v>
      </c>
      <c r="G15" s="1070" t="s">
        <v>583</v>
      </c>
      <c r="H15" s="1071">
        <v>55</v>
      </c>
      <c r="I15" s="1072">
        <f t="shared" si="0"/>
        <v>9.9999999999909051E-3</v>
      </c>
      <c r="J15" s="1073">
        <f t="shared" si="1"/>
        <v>0</v>
      </c>
      <c r="L15" s="1002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448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01"/>
      <c r="B16" s="83"/>
      <c r="C16" s="15"/>
      <c r="D16" s="158">
        <v>0</v>
      </c>
      <c r="E16" s="331"/>
      <c r="F16" s="267">
        <f t="shared" si="4"/>
        <v>0</v>
      </c>
      <c r="G16" s="1070"/>
      <c r="H16" s="1071"/>
      <c r="I16" s="1072">
        <f t="shared" si="0"/>
        <v>9.9999999999909051E-3</v>
      </c>
      <c r="J16" s="1073">
        <f t="shared" si="1"/>
        <v>0</v>
      </c>
      <c r="L16" s="1001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456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1070"/>
      <c r="H17" s="1071"/>
      <c r="I17" s="1072">
        <f t="shared" si="0"/>
        <v>9.9999999999909051E-3</v>
      </c>
      <c r="J17" s="1073">
        <f t="shared" si="1"/>
        <v>0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483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999"/>
      <c r="B18" s="83"/>
      <c r="C18" s="15"/>
      <c r="D18" s="158">
        <v>0</v>
      </c>
      <c r="E18" s="499"/>
      <c r="F18" s="267">
        <f t="shared" si="4"/>
        <v>0</v>
      </c>
      <c r="G18" s="1104"/>
      <c r="H18" s="1071"/>
      <c r="I18" s="1072">
        <f t="shared" si="0"/>
        <v>9.9999999999909051E-3</v>
      </c>
      <c r="J18" s="1073">
        <f t="shared" si="1"/>
        <v>0</v>
      </c>
      <c r="L18" s="999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2" t="s">
        <v>453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999"/>
      <c r="B19" s="83"/>
      <c r="C19" s="53"/>
      <c r="D19" s="158">
        <v>0</v>
      </c>
      <c r="E19" s="499"/>
      <c r="F19" s="267">
        <f t="shared" si="4"/>
        <v>0</v>
      </c>
      <c r="G19" s="1070"/>
      <c r="H19" s="1071"/>
      <c r="I19" s="1072">
        <f t="shared" si="0"/>
        <v>9.9999999999909051E-3</v>
      </c>
      <c r="J19" s="1073">
        <f t="shared" si="1"/>
        <v>0</v>
      </c>
      <c r="L19" s="999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496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999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9.9999999999909051E-3</v>
      </c>
      <c r="J20" s="271">
        <f t="shared" si="1"/>
        <v>0</v>
      </c>
      <c r="L20" s="999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497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999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9.9999999999909051E-3</v>
      </c>
      <c r="J21" s="271">
        <f t="shared" si="1"/>
        <v>0</v>
      </c>
      <c r="L21" s="999"/>
      <c r="M21" s="83"/>
      <c r="N21" s="15">
        <v>4</v>
      </c>
      <c r="O21" s="158">
        <v>117.48</v>
      </c>
      <c r="P21" s="327">
        <v>44676</v>
      </c>
      <c r="Q21" s="69">
        <f t="shared" si="5"/>
        <v>117.48</v>
      </c>
      <c r="R21" s="268" t="s">
        <v>556</v>
      </c>
      <c r="S21" s="269">
        <v>70</v>
      </c>
      <c r="T21" s="270">
        <f t="shared" si="2"/>
        <v>2022.8000000000002</v>
      </c>
      <c r="U21" s="271">
        <f t="shared" si="3"/>
        <v>77</v>
      </c>
    </row>
    <row r="22" spans="1:21" x14ac:dyDescent="0.25">
      <c r="A22" s="999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9.9999999999909051E-3</v>
      </c>
      <c r="J22" s="271">
        <f t="shared" si="1"/>
        <v>0</v>
      </c>
      <c r="L22" s="999"/>
      <c r="M22" s="83"/>
      <c r="N22" s="15">
        <v>1</v>
      </c>
      <c r="O22" s="158">
        <v>30.21</v>
      </c>
      <c r="P22" s="328">
        <v>44677</v>
      </c>
      <c r="Q22" s="69">
        <f t="shared" si="5"/>
        <v>30.21</v>
      </c>
      <c r="R22" s="70" t="s">
        <v>581</v>
      </c>
      <c r="S22" s="71">
        <v>70</v>
      </c>
      <c r="T22" s="270">
        <f t="shared" si="2"/>
        <v>1992.5900000000001</v>
      </c>
      <c r="U22" s="271">
        <f t="shared" si="3"/>
        <v>76</v>
      </c>
    </row>
    <row r="23" spans="1:21" x14ac:dyDescent="0.25">
      <c r="A23" s="999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9.9999999999909051E-3</v>
      </c>
      <c r="J23" s="271">
        <f t="shared" si="1"/>
        <v>0</v>
      </c>
      <c r="L23" s="999"/>
      <c r="M23" s="83"/>
      <c r="N23" s="15">
        <v>2</v>
      </c>
      <c r="O23" s="158">
        <v>49.66</v>
      </c>
      <c r="P23" s="328">
        <v>44678</v>
      </c>
      <c r="Q23" s="69">
        <f t="shared" si="5"/>
        <v>49.66</v>
      </c>
      <c r="R23" s="70" t="s">
        <v>587</v>
      </c>
      <c r="S23" s="71">
        <v>70</v>
      </c>
      <c r="T23" s="270">
        <f t="shared" si="2"/>
        <v>1942.93</v>
      </c>
      <c r="U23" s="271">
        <f t="shared" si="3"/>
        <v>74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9.9999999999909051E-3</v>
      </c>
      <c r="J24" s="127">
        <f t="shared" si="1"/>
        <v>0</v>
      </c>
      <c r="L24" s="2"/>
      <c r="M24" s="83"/>
      <c r="N24" s="15">
        <v>5</v>
      </c>
      <c r="O24" s="158">
        <v>126.47</v>
      </c>
      <c r="P24" s="328">
        <v>44679</v>
      </c>
      <c r="Q24" s="69">
        <f t="shared" si="5"/>
        <v>126.47</v>
      </c>
      <c r="R24" s="70" t="s">
        <v>590</v>
      </c>
      <c r="S24" s="71">
        <v>70</v>
      </c>
      <c r="T24" s="270">
        <f t="shared" si="2"/>
        <v>1816.46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9.9999999999909051E-3</v>
      </c>
      <c r="J25" s="127">
        <f t="shared" si="1"/>
        <v>0</v>
      </c>
      <c r="L25" s="2"/>
      <c r="M25" s="83"/>
      <c r="N25" s="15">
        <v>1</v>
      </c>
      <c r="O25" s="158">
        <v>29.04</v>
      </c>
      <c r="P25" s="328">
        <v>44679</v>
      </c>
      <c r="Q25" s="69">
        <f t="shared" si="5"/>
        <v>29.04</v>
      </c>
      <c r="R25" s="70" t="s">
        <v>592</v>
      </c>
      <c r="S25" s="71">
        <v>70</v>
      </c>
      <c r="T25" s="270">
        <f t="shared" si="2"/>
        <v>1787.42</v>
      </c>
      <c r="U25" s="127">
        <f t="shared" si="3"/>
        <v>68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9.9999999999909051E-3</v>
      </c>
      <c r="J26" s="127">
        <f t="shared" si="1"/>
        <v>0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1787.42</v>
      </c>
      <c r="U26" s="127">
        <f t="shared" si="3"/>
        <v>68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225">
        <f t="shared" ref="T27:T35" si="6">T26-Q27</f>
        <v>1787.42</v>
      </c>
      <c r="U27" s="127">
        <f t="shared" ref="U27:U35" si="7">U26-N27</f>
        <v>68</v>
      </c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225">
        <f t="shared" si="6"/>
        <v>1787.42</v>
      </c>
      <c r="U28" s="127">
        <f t="shared" si="7"/>
        <v>68</v>
      </c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225">
        <f t="shared" si="6"/>
        <v>1787.42</v>
      </c>
      <c r="U29" s="127">
        <f t="shared" si="7"/>
        <v>68</v>
      </c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225">
        <f t="shared" si="6"/>
        <v>1787.42</v>
      </c>
      <c r="U30" s="127">
        <f t="shared" si="7"/>
        <v>68</v>
      </c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225">
        <f t="shared" si="6"/>
        <v>1787.42</v>
      </c>
      <c r="U31" s="127">
        <f t="shared" si="7"/>
        <v>68</v>
      </c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  <c r="T32" s="225">
        <f t="shared" si="6"/>
        <v>1787.42</v>
      </c>
      <c r="U32" s="127">
        <f t="shared" si="7"/>
        <v>68</v>
      </c>
    </row>
    <row r="33" spans="1:21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  <c r="T33" s="225">
        <f t="shared" si="6"/>
        <v>1787.42</v>
      </c>
      <c r="U33" s="127">
        <f t="shared" si="7"/>
        <v>68</v>
      </c>
    </row>
    <row r="34" spans="1:21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  <c r="T34" s="225">
        <f t="shared" si="6"/>
        <v>1787.42</v>
      </c>
      <c r="U34" s="127">
        <f t="shared" si="7"/>
        <v>68</v>
      </c>
    </row>
    <row r="35" spans="1:21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  <c r="T35" s="225">
        <f t="shared" si="6"/>
        <v>1787.42</v>
      </c>
      <c r="U35" s="127">
        <f t="shared" si="7"/>
        <v>68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21" ht="16.5" thickTop="1" thickBot="1" x14ac:dyDescent="0.3">
      <c r="C37" s="90">
        <f>SUM(C10:C36)</f>
        <v>151</v>
      </c>
      <c r="D37" s="158">
        <v>0</v>
      </c>
      <c r="E37" s="38"/>
      <c r="F37" s="5">
        <f>SUM(F10:F36)</f>
        <v>4377.1400000000003</v>
      </c>
      <c r="N37" s="90">
        <f>SUM(N10:N36)</f>
        <v>48</v>
      </c>
      <c r="O37" s="158">
        <v>0</v>
      </c>
      <c r="P37" s="38"/>
      <c r="Q37" s="5">
        <f>SUM(Q10:Q36)</f>
        <v>1080.0999999999999</v>
      </c>
    </row>
    <row r="38" spans="1:21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33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61" t="s">
        <v>11</v>
      </c>
      <c r="D40" s="1262"/>
      <c r="E40" s="148">
        <f>E5+E4+E6+-F37+E7</f>
        <v>9.9999999997635314E-3</v>
      </c>
      <c r="F40" s="5"/>
      <c r="L40" s="47"/>
      <c r="N40" s="1261" t="s">
        <v>11</v>
      </c>
      <c r="O40" s="1262"/>
      <c r="P40" s="148">
        <f>P5+P4+P6+-Q37+P7</f>
        <v>765.03000000000009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P24" sqref="P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87" t="s">
        <v>241</v>
      </c>
      <c r="B1" s="1287"/>
      <c r="C1" s="1287"/>
      <c r="D1" s="1287"/>
      <c r="E1" s="1287"/>
      <c r="F1" s="1287"/>
      <c r="G1" s="1287"/>
      <c r="H1" s="99">
        <v>1</v>
      </c>
      <c r="L1" s="1278" t="s">
        <v>264</v>
      </c>
      <c r="M1" s="1278"/>
      <c r="N1" s="1278"/>
      <c r="O1" s="1278"/>
      <c r="P1" s="1278"/>
      <c r="Q1" s="1278"/>
      <c r="R1" s="1278"/>
      <c r="S1" s="99">
        <v>2</v>
      </c>
      <c r="W1" s="1278" t="s">
        <v>264</v>
      </c>
      <c r="X1" s="1278"/>
      <c r="Y1" s="1278"/>
      <c r="Z1" s="1278"/>
      <c r="AA1" s="1278"/>
      <c r="AB1" s="1278"/>
      <c r="AC1" s="1278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79" t="s">
        <v>130</v>
      </c>
      <c r="B5" s="1288" t="s">
        <v>109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79" t="s">
        <v>114</v>
      </c>
      <c r="M5" s="1288" t="s">
        <v>287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79" t="s">
        <v>114</v>
      </c>
      <c r="X5" s="1288" t="s">
        <v>287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79"/>
      <c r="B6" s="1289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79"/>
      <c r="M6" s="1289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79"/>
      <c r="X6" s="1289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79"/>
      <c r="B7" s="1289"/>
      <c r="C7" s="293"/>
      <c r="D7" s="433"/>
      <c r="E7" s="341"/>
      <c r="F7" s="318"/>
      <c r="G7" s="246"/>
      <c r="H7" s="243"/>
      <c r="I7" s="659"/>
      <c r="J7" s="516"/>
      <c r="L7" s="1279"/>
      <c r="M7" s="1289"/>
      <c r="N7" s="293"/>
      <c r="O7" s="433"/>
      <c r="P7" s="341"/>
      <c r="Q7" s="318"/>
      <c r="R7" s="246"/>
      <c r="S7" s="243"/>
      <c r="T7" s="659"/>
      <c r="U7" s="516"/>
      <c r="W7" s="1279"/>
      <c r="X7" s="1289"/>
      <c r="Y7" s="293"/>
      <c r="Z7" s="433"/>
      <c r="AA7" s="341"/>
      <c r="AB7" s="318"/>
      <c r="AC7" s="246"/>
      <c r="AD7" s="243"/>
      <c r="AE7" s="659"/>
      <c r="AF7" s="516"/>
    </row>
    <row r="8" spans="1:32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82" t="s">
        <v>49</v>
      </c>
      <c r="J8" s="1276" t="s">
        <v>4</v>
      </c>
      <c r="L8" s="243"/>
      <c r="M8" s="609"/>
      <c r="N8" s="293"/>
      <c r="O8" s="314"/>
      <c r="P8" s="431"/>
      <c r="Q8" s="432"/>
      <c r="R8" s="246"/>
      <c r="S8" s="243"/>
      <c r="T8" s="1282" t="s">
        <v>49</v>
      </c>
      <c r="U8" s="1276" t="s">
        <v>4</v>
      </c>
      <c r="W8" s="243"/>
      <c r="X8" s="609"/>
      <c r="Y8" s="293"/>
      <c r="Z8" s="314"/>
      <c r="AA8" s="431"/>
      <c r="AB8" s="432"/>
      <c r="AC8" s="246"/>
      <c r="AD8" s="243"/>
      <c r="AE8" s="1282" t="s">
        <v>49</v>
      </c>
      <c r="AF8" s="127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83"/>
      <c r="J9" s="127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83"/>
      <c r="U9" s="127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0" t="s">
        <v>15</v>
      </c>
      <c r="AD9" s="661"/>
      <c r="AE9" s="1283"/>
      <c r="AF9" s="1277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181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475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409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48">
        <v>44631</v>
      </c>
      <c r="F11" s="267">
        <f t="shared" si="0"/>
        <v>30</v>
      </c>
      <c r="G11" s="268" t="s">
        <v>184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48">
        <v>44669</v>
      </c>
      <c r="Q11" s="267">
        <f t="shared" si="1"/>
        <v>10</v>
      </c>
      <c r="R11" s="268" t="s">
        <v>480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48">
        <v>44662</v>
      </c>
      <c r="AB11" s="267">
        <f t="shared" si="2"/>
        <v>15</v>
      </c>
      <c r="AC11" s="268" t="s">
        <v>425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188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486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475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188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494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70"/>
      <c r="AD13" s="1071"/>
      <c r="AE13" s="1072">
        <f t="shared" si="10"/>
        <v>0</v>
      </c>
      <c r="AF13" s="1073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190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>
        <v>6</v>
      </c>
      <c r="O14" s="158">
        <f t="shared" si="4"/>
        <v>60</v>
      </c>
      <c r="P14" s="499">
        <v>44673</v>
      </c>
      <c r="Q14" s="267">
        <f t="shared" si="1"/>
        <v>60</v>
      </c>
      <c r="R14" s="268" t="s">
        <v>549</v>
      </c>
      <c r="S14" s="269">
        <v>87</v>
      </c>
      <c r="T14" s="270">
        <f t="shared" si="8"/>
        <v>620</v>
      </c>
      <c r="U14" s="271">
        <f t="shared" si="9"/>
        <v>62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70"/>
      <c r="AD14" s="1071"/>
      <c r="AE14" s="1072">
        <f t="shared" si="10"/>
        <v>0</v>
      </c>
      <c r="AF14" s="1073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190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>
        <v>1</v>
      </c>
      <c r="O15" s="158">
        <f t="shared" si="4"/>
        <v>10</v>
      </c>
      <c r="P15" s="499">
        <v>44674</v>
      </c>
      <c r="Q15" s="267">
        <f t="shared" si="1"/>
        <v>10</v>
      </c>
      <c r="R15" s="268" t="s">
        <v>554</v>
      </c>
      <c r="S15" s="269">
        <v>87</v>
      </c>
      <c r="T15" s="270">
        <f t="shared" si="8"/>
        <v>610</v>
      </c>
      <c r="U15" s="271">
        <f t="shared" si="9"/>
        <v>61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70"/>
      <c r="AD15" s="1071"/>
      <c r="AE15" s="1072">
        <f t="shared" si="10"/>
        <v>0</v>
      </c>
      <c r="AF15" s="1073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196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>
        <v>1</v>
      </c>
      <c r="O16" s="158">
        <f t="shared" si="4"/>
        <v>10</v>
      </c>
      <c r="P16" s="327">
        <v>44676</v>
      </c>
      <c r="Q16" s="69">
        <f t="shared" si="1"/>
        <v>10</v>
      </c>
      <c r="R16" s="268" t="s">
        <v>570</v>
      </c>
      <c r="S16" s="269">
        <v>87</v>
      </c>
      <c r="T16" s="270">
        <f t="shared" si="8"/>
        <v>600</v>
      </c>
      <c r="U16" s="271">
        <f t="shared" si="9"/>
        <v>60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197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>
        <v>8</v>
      </c>
      <c r="O17" s="158">
        <f t="shared" si="4"/>
        <v>80</v>
      </c>
      <c r="P17" s="339">
        <v>44676</v>
      </c>
      <c r="Q17" s="69">
        <f t="shared" si="1"/>
        <v>80</v>
      </c>
      <c r="R17" s="268" t="s">
        <v>556</v>
      </c>
      <c r="S17" s="269">
        <v>87</v>
      </c>
      <c r="T17" s="270">
        <f t="shared" si="8"/>
        <v>520</v>
      </c>
      <c r="U17" s="271">
        <f t="shared" si="9"/>
        <v>52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2" t="s">
        <v>206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>
        <v>1</v>
      </c>
      <c r="O18" s="158">
        <f t="shared" si="4"/>
        <v>10</v>
      </c>
      <c r="P18" s="339">
        <v>44678</v>
      </c>
      <c r="Q18" s="69">
        <f t="shared" si="1"/>
        <v>10</v>
      </c>
      <c r="R18" s="602" t="s">
        <v>557</v>
      </c>
      <c r="S18" s="269">
        <v>87</v>
      </c>
      <c r="T18" s="270">
        <f t="shared" si="8"/>
        <v>510</v>
      </c>
      <c r="U18" s="271">
        <f t="shared" si="9"/>
        <v>51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2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207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>
        <v>2</v>
      </c>
      <c r="O19" s="158">
        <f t="shared" si="4"/>
        <v>20</v>
      </c>
      <c r="P19" s="339">
        <v>44679</v>
      </c>
      <c r="Q19" s="69">
        <f t="shared" si="1"/>
        <v>20</v>
      </c>
      <c r="R19" s="268" t="s">
        <v>591</v>
      </c>
      <c r="S19" s="269">
        <v>87</v>
      </c>
      <c r="T19" s="270">
        <f t="shared" si="8"/>
        <v>490</v>
      </c>
      <c r="U19" s="271">
        <f t="shared" si="9"/>
        <v>49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211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>
        <v>1</v>
      </c>
      <c r="O20" s="158">
        <f t="shared" si="4"/>
        <v>10</v>
      </c>
      <c r="P20" s="327">
        <v>44679</v>
      </c>
      <c r="Q20" s="69">
        <f t="shared" si="1"/>
        <v>10</v>
      </c>
      <c r="R20" s="268" t="s">
        <v>592</v>
      </c>
      <c r="S20" s="269">
        <v>87</v>
      </c>
      <c r="T20" s="270">
        <f t="shared" si="8"/>
        <v>480</v>
      </c>
      <c r="U20" s="271">
        <f t="shared" si="9"/>
        <v>48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214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>
        <v>2</v>
      </c>
      <c r="O21" s="158">
        <f t="shared" si="4"/>
        <v>20</v>
      </c>
      <c r="P21" s="327">
        <v>44679</v>
      </c>
      <c r="Q21" s="69">
        <f t="shared" si="1"/>
        <v>20</v>
      </c>
      <c r="R21" s="268" t="s">
        <v>593</v>
      </c>
      <c r="S21" s="269">
        <v>87</v>
      </c>
      <c r="T21" s="270">
        <f t="shared" si="8"/>
        <v>460</v>
      </c>
      <c r="U21" s="271">
        <f t="shared" si="9"/>
        <v>46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215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>
        <v>2</v>
      </c>
      <c r="O22" s="158">
        <f t="shared" si="4"/>
        <v>20</v>
      </c>
      <c r="P22" s="328">
        <v>44681</v>
      </c>
      <c r="Q22" s="69">
        <f t="shared" si="1"/>
        <v>20</v>
      </c>
      <c r="R22" s="70" t="s">
        <v>602</v>
      </c>
      <c r="S22" s="71">
        <v>87</v>
      </c>
      <c r="T22" s="270">
        <f t="shared" si="8"/>
        <v>440</v>
      </c>
      <c r="U22" s="271">
        <f t="shared" si="9"/>
        <v>44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03">
        <f t="shared" si="3"/>
        <v>10</v>
      </c>
      <c r="E23" s="967">
        <v>44648</v>
      </c>
      <c r="F23" s="230">
        <f t="shared" si="0"/>
        <v>10</v>
      </c>
      <c r="G23" s="965" t="s">
        <v>332</v>
      </c>
      <c r="H23" s="966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>
        <v>10</v>
      </c>
      <c r="O23" s="158">
        <f t="shared" si="4"/>
        <v>100</v>
      </c>
      <c r="P23" s="328">
        <v>44681</v>
      </c>
      <c r="Q23" s="69">
        <f t="shared" si="1"/>
        <v>100</v>
      </c>
      <c r="R23" s="70" t="s">
        <v>603</v>
      </c>
      <c r="S23" s="71">
        <v>87</v>
      </c>
      <c r="T23" s="270">
        <f t="shared" si="8"/>
        <v>340</v>
      </c>
      <c r="U23" s="271">
        <f t="shared" si="9"/>
        <v>34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03">
        <f t="shared" si="3"/>
        <v>60</v>
      </c>
      <c r="E24" s="967">
        <v>44649</v>
      </c>
      <c r="F24" s="230">
        <f t="shared" si="0"/>
        <v>60</v>
      </c>
      <c r="G24" s="965" t="s">
        <v>333</v>
      </c>
      <c r="H24" s="966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340</v>
      </c>
      <c r="U24" s="127">
        <f t="shared" si="9"/>
        <v>34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03">
        <f t="shared" si="3"/>
        <v>20</v>
      </c>
      <c r="E25" s="967">
        <v>44650</v>
      </c>
      <c r="F25" s="230">
        <f t="shared" si="0"/>
        <v>20</v>
      </c>
      <c r="G25" s="965" t="s">
        <v>347</v>
      </c>
      <c r="H25" s="966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340</v>
      </c>
      <c r="U25" s="127">
        <f t="shared" si="9"/>
        <v>34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03">
        <f t="shared" si="3"/>
        <v>10</v>
      </c>
      <c r="E26" s="967">
        <v>44651</v>
      </c>
      <c r="F26" s="230">
        <f t="shared" si="0"/>
        <v>10</v>
      </c>
      <c r="G26" s="965" t="s">
        <v>365</v>
      </c>
      <c r="H26" s="966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340</v>
      </c>
      <c r="U26" s="127">
        <f t="shared" si="9"/>
        <v>34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03">
        <f t="shared" si="3"/>
        <v>20</v>
      </c>
      <c r="E27" s="967">
        <v>44653</v>
      </c>
      <c r="F27" s="230">
        <f t="shared" si="0"/>
        <v>20</v>
      </c>
      <c r="G27" s="965" t="s">
        <v>376</v>
      </c>
      <c r="H27" s="966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340</v>
      </c>
      <c r="U27" s="127">
        <f t="shared" si="9"/>
        <v>34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03">
        <f t="shared" si="3"/>
        <v>20</v>
      </c>
      <c r="E28" s="967">
        <v>44653</v>
      </c>
      <c r="F28" s="230">
        <f t="shared" si="0"/>
        <v>20</v>
      </c>
      <c r="G28" s="965" t="s">
        <v>378</v>
      </c>
      <c r="H28" s="966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340</v>
      </c>
      <c r="U28" s="127">
        <f t="shared" si="9"/>
        <v>34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03">
        <v>60</v>
      </c>
      <c r="E29" s="967">
        <v>44653</v>
      </c>
      <c r="F29" s="230">
        <f t="shared" si="0"/>
        <v>60</v>
      </c>
      <c r="G29" s="965" t="s">
        <v>358</v>
      </c>
      <c r="H29" s="966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340</v>
      </c>
      <c r="U29" s="127">
        <f t="shared" si="9"/>
        <v>34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03">
        <v>60</v>
      </c>
      <c r="E30" s="967">
        <v>44655</v>
      </c>
      <c r="F30" s="230">
        <f t="shared" si="0"/>
        <v>60</v>
      </c>
      <c r="G30" s="965" t="s">
        <v>381</v>
      </c>
      <c r="H30" s="966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340</v>
      </c>
      <c r="U30" s="127">
        <f t="shared" si="9"/>
        <v>34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03">
        <v>40</v>
      </c>
      <c r="E31" s="967">
        <v>44659</v>
      </c>
      <c r="F31" s="230">
        <f t="shared" si="0"/>
        <v>40</v>
      </c>
      <c r="G31" s="965" t="s">
        <v>410</v>
      </c>
      <c r="H31" s="966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340</v>
      </c>
      <c r="U31" s="127">
        <f t="shared" si="9"/>
        <v>34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03">
        <v>0</v>
      </c>
      <c r="E32" s="967"/>
      <c r="F32" s="230">
        <f t="shared" si="0"/>
        <v>0</v>
      </c>
      <c r="G32" s="1061"/>
      <c r="H32" s="1062"/>
      <c r="I32" s="1072">
        <f t="shared" si="6"/>
        <v>0</v>
      </c>
      <c r="J32" s="1073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340</v>
      </c>
      <c r="U32" s="127">
        <f t="shared" si="9"/>
        <v>34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03">
        <v>0</v>
      </c>
      <c r="E33" s="967"/>
      <c r="F33" s="230">
        <f t="shared" si="0"/>
        <v>0</v>
      </c>
      <c r="G33" s="1061"/>
      <c r="H33" s="1062"/>
      <c r="I33" s="1072">
        <f t="shared" si="6"/>
        <v>0</v>
      </c>
      <c r="J33" s="1073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340</v>
      </c>
      <c r="U33" s="127">
        <f t="shared" si="9"/>
        <v>34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03">
        <v>0</v>
      </c>
      <c r="E34" s="967"/>
      <c r="F34" s="230">
        <f t="shared" si="0"/>
        <v>0</v>
      </c>
      <c r="G34" s="1061"/>
      <c r="H34" s="1062"/>
      <c r="I34" s="1072">
        <f t="shared" si="6"/>
        <v>0</v>
      </c>
      <c r="J34" s="1073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340</v>
      </c>
      <c r="U34" s="127">
        <f t="shared" si="9"/>
        <v>34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03">
        <v>0</v>
      </c>
      <c r="E35" s="967"/>
      <c r="F35" s="230">
        <f t="shared" si="0"/>
        <v>0</v>
      </c>
      <c r="G35" s="1061"/>
      <c r="H35" s="1062"/>
      <c r="I35" s="1072">
        <f t="shared" si="6"/>
        <v>0</v>
      </c>
      <c r="J35" s="1073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340</v>
      </c>
      <c r="U35" s="127">
        <f t="shared" si="9"/>
        <v>34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43</v>
      </c>
      <c r="O37" s="158">
        <v>0</v>
      </c>
      <c r="P37" s="38"/>
      <c r="Q37" s="5">
        <f>SUM(Q10:Q36)</f>
        <v>430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34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61" t="s">
        <v>11</v>
      </c>
      <c r="D40" s="1262"/>
      <c r="E40" s="148">
        <f>E5+E4+E6+-F37</f>
        <v>0</v>
      </c>
      <c r="F40" s="5"/>
      <c r="L40" s="47"/>
      <c r="N40" s="1261" t="s">
        <v>11</v>
      </c>
      <c r="O40" s="1262"/>
      <c r="P40" s="148">
        <f>P5+P4+P6+-Q37</f>
        <v>340</v>
      </c>
      <c r="Q40" s="5"/>
      <c r="W40" s="47"/>
      <c r="Y40" s="1261" t="s">
        <v>11</v>
      </c>
      <c r="Z40" s="1262"/>
      <c r="AA40" s="148">
        <f>AA5+AA4+AA6+-AB37</f>
        <v>0</v>
      </c>
      <c r="AB40" s="5"/>
    </row>
  </sheetData>
  <mergeCells count="18"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  <mergeCell ref="AE8:AE9"/>
    <mergeCell ref="AF8:AF9"/>
    <mergeCell ref="U8:U9"/>
    <mergeCell ref="J8:J9"/>
    <mergeCell ref="C40:D4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5" customHeight="1" x14ac:dyDescent="0.25">
      <c r="A5" s="1292"/>
      <c r="B5" s="1294" t="s">
        <v>89</v>
      </c>
      <c r="C5" s="250"/>
      <c r="D5" s="314"/>
      <c r="E5" s="788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92"/>
      <c r="B6" s="1295"/>
      <c r="C6" s="250"/>
      <c r="D6" s="314"/>
      <c r="E6" s="788"/>
      <c r="F6" s="318"/>
      <c r="G6" s="305"/>
      <c r="H6" s="58"/>
    </row>
    <row r="7" spans="1:10" ht="16.5" customHeight="1" thickTop="1" thickBot="1" x14ac:dyDescent="0.3">
      <c r="A7" s="1293"/>
      <c r="B7" s="1296"/>
      <c r="C7" s="250"/>
      <c r="D7" s="314"/>
      <c r="E7" s="787"/>
      <c r="F7" s="316"/>
      <c r="G7" s="243"/>
      <c r="I7" s="1297" t="s">
        <v>3</v>
      </c>
      <c r="J7" s="129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8"/>
      <c r="J8" s="1291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6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6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6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28"/>
      <c r="H15" s="826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28"/>
      <c r="H16" s="826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28"/>
      <c r="H17" s="826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29"/>
      <c r="H18" s="826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28"/>
      <c r="H19" s="826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6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6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6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6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6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6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6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1" t="s">
        <v>11</v>
      </c>
      <c r="D101" s="1262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1" t="s">
        <v>260</v>
      </c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6.5" thickBot="1" x14ac:dyDescent="0.3">
      <c r="A5" s="1292" t="s">
        <v>92</v>
      </c>
      <c r="B5" s="1294" t="s">
        <v>95</v>
      </c>
      <c r="C5" s="948">
        <v>51.5</v>
      </c>
      <c r="D5" s="1005">
        <v>44664</v>
      </c>
      <c r="E5" s="788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93"/>
      <c r="B6" s="1296"/>
      <c r="C6" s="250"/>
      <c r="D6" s="314"/>
      <c r="E6" s="787"/>
      <c r="F6" s="316"/>
      <c r="G6" s="243"/>
      <c r="I6" s="1297" t="s">
        <v>3</v>
      </c>
      <c r="J6" s="129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291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450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424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70"/>
      <c r="H10" s="1080"/>
      <c r="I10" s="1072">
        <f t="shared" ref="I10:I40" si="1">I9-F10</f>
        <v>0</v>
      </c>
      <c r="J10" s="10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70"/>
      <c r="H11" s="1080"/>
      <c r="I11" s="1072">
        <f t="shared" si="1"/>
        <v>0</v>
      </c>
      <c r="J11" s="1073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70"/>
      <c r="H12" s="1080"/>
      <c r="I12" s="1072">
        <f t="shared" si="1"/>
        <v>0</v>
      </c>
      <c r="J12" s="1073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70"/>
      <c r="H13" s="1080"/>
      <c r="I13" s="1072">
        <f t="shared" si="1"/>
        <v>0</v>
      </c>
      <c r="J13" s="1073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2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1" t="s">
        <v>11</v>
      </c>
      <c r="D100" s="1262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36" t="s">
        <v>236</v>
      </c>
      <c r="B1" s="1236"/>
      <c r="C1" s="1236"/>
      <c r="D1" s="1236"/>
      <c r="E1" s="1236"/>
      <c r="F1" s="1236"/>
      <c r="G1" s="1236"/>
      <c r="H1" s="11">
        <v>1</v>
      </c>
      <c r="K1" s="1236" t="str">
        <f>A1</f>
        <v>INVENTARIO DEL MES DE MARZO 2022</v>
      </c>
      <c r="L1" s="1236"/>
      <c r="M1" s="1236"/>
      <c r="N1" s="1236"/>
      <c r="O1" s="1236"/>
      <c r="P1" s="1236"/>
      <c r="Q1" s="1236"/>
      <c r="R1" s="11">
        <v>2</v>
      </c>
      <c r="U1" s="1236" t="str">
        <f>K1</f>
        <v>INVENTARIO DEL MES DE MARZO 2022</v>
      </c>
      <c r="V1" s="1236"/>
      <c r="W1" s="1236"/>
      <c r="X1" s="1236"/>
      <c r="Y1" s="1236"/>
      <c r="Z1" s="1236"/>
      <c r="AA1" s="1236"/>
      <c r="AB1" s="11">
        <v>3</v>
      </c>
      <c r="AE1" s="1231" t="s">
        <v>259</v>
      </c>
      <c r="AF1" s="1231"/>
      <c r="AG1" s="1231"/>
      <c r="AH1" s="1231"/>
      <c r="AI1" s="1231"/>
      <c r="AJ1" s="1231"/>
      <c r="AK1" s="1231"/>
      <c r="AL1" s="11">
        <v>4</v>
      </c>
      <c r="AO1" s="1231" t="str">
        <f>AE1</f>
        <v>ENTRADA DEL MES DE ABRIL 2022</v>
      </c>
      <c r="AP1" s="1231"/>
      <c r="AQ1" s="1231"/>
      <c r="AR1" s="1231"/>
      <c r="AS1" s="1231"/>
      <c r="AT1" s="1231"/>
      <c r="AU1" s="1231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1"/>
      <c r="N4" s="251"/>
      <c r="O4" s="262"/>
      <c r="P4" s="256"/>
      <c r="Q4" s="162"/>
      <c r="R4" s="162"/>
      <c r="U4" s="12"/>
      <c r="V4" s="12"/>
      <c r="W4" s="619"/>
      <c r="X4" s="251"/>
      <c r="Y4" s="262">
        <v>1.2</v>
      </c>
      <c r="Z4" s="256"/>
      <c r="AA4" s="162"/>
      <c r="AB4" s="162"/>
      <c r="AE4" s="12"/>
      <c r="AF4" s="12"/>
      <c r="AG4" s="771"/>
      <c r="AH4" s="251"/>
      <c r="AI4" s="262"/>
      <c r="AJ4" s="256"/>
      <c r="AK4" s="162"/>
      <c r="AL4" s="162"/>
      <c r="AO4" s="12"/>
      <c r="AP4" s="12"/>
      <c r="AQ4" s="771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237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232" t="s">
        <v>80</v>
      </c>
      <c r="M5" s="751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235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235" t="s">
        <v>444</v>
      </c>
      <c r="AG5" s="751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232" t="s">
        <v>80</v>
      </c>
      <c r="AQ5" s="751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237"/>
      <c r="C6" s="274"/>
      <c r="D6" s="251"/>
      <c r="E6" s="262"/>
      <c r="F6" s="256"/>
      <c r="G6" s="265">
        <f>F78</f>
        <v>673.45</v>
      </c>
      <c r="H6" s="7">
        <f>E6-G6+E7+E5-G5</f>
        <v>-21.6400000000001</v>
      </c>
      <c r="K6" s="253"/>
      <c r="L6" s="1232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235"/>
      <c r="W6" s="751">
        <v>92</v>
      </c>
      <c r="X6" s="251">
        <v>44632</v>
      </c>
      <c r="Y6" s="768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235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1097.6299999999999</v>
      </c>
      <c r="AL6" s="7">
        <f>AI6-AK6+AI7+AI5-AK5+AI4</f>
        <v>309.74000000000018</v>
      </c>
      <c r="AO6" s="253"/>
      <c r="AP6" s="1232"/>
      <c r="AQ6" s="570"/>
      <c r="AR6" s="251"/>
      <c r="AS6" s="270"/>
      <c r="AT6" s="256"/>
      <c r="AU6" s="265">
        <f>AT78</f>
        <v>181.41</v>
      </c>
      <c r="AV6" s="7">
        <f>AS6-AU6+AS7+AS5-AU5+AS4</f>
        <v>23.180000000000007</v>
      </c>
    </row>
    <row r="7" spans="1:49" ht="15.75" thickBot="1" x14ac:dyDescent="0.3">
      <c r="A7" s="243"/>
      <c r="B7" s="275"/>
      <c r="C7" s="752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68">
        <v>304.91000000000003</v>
      </c>
      <c r="P7" s="256">
        <v>25</v>
      </c>
      <c r="Q7" s="243"/>
      <c r="U7" s="243"/>
      <c r="V7" s="275"/>
      <c r="W7" s="751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1"/>
      <c r="AH7" s="251"/>
      <c r="AI7" s="768"/>
      <c r="AJ7" s="297"/>
      <c r="AK7" s="243"/>
      <c r="AO7" s="243"/>
      <c r="AP7" s="275"/>
      <c r="AQ7" s="570"/>
      <c r="AR7" s="251"/>
      <c r="AS7" s="768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158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117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163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442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2</v>
      </c>
      <c r="AQ9" s="266">
        <v>15</v>
      </c>
      <c r="AR9" s="267">
        <v>181.41</v>
      </c>
      <c r="AS9" s="296">
        <v>44675</v>
      </c>
      <c r="AT9" s="267">
        <f t="shared" ref="AT9:AT72" si="4">AR9</f>
        <v>181.41</v>
      </c>
      <c r="AU9" s="268" t="s">
        <v>560</v>
      </c>
      <c r="AV9" s="269">
        <v>105</v>
      </c>
      <c r="AW9" s="278">
        <f>AS6-AT9+AS5+AS7+AS4</f>
        <v>23.180000000000007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177</v>
      </c>
      <c r="H10" s="269">
        <v>90</v>
      </c>
      <c r="I10" s="278">
        <f>I9-F10</f>
        <v>550.7399999999999</v>
      </c>
      <c r="K10" s="896"/>
      <c r="L10" s="83">
        <f>L9-M10</f>
        <v>40</v>
      </c>
      <c r="M10" s="246">
        <v>15</v>
      </c>
      <c r="N10" s="889">
        <v>186.49</v>
      </c>
      <c r="O10" s="890">
        <v>44624</v>
      </c>
      <c r="P10" s="889">
        <f t="shared" si="1"/>
        <v>186.49</v>
      </c>
      <c r="Q10" s="425" t="s">
        <v>165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173</v>
      </c>
      <c r="AB10" s="269">
        <v>95</v>
      </c>
      <c r="AC10" s="278">
        <f>AC9-Z10</f>
        <v>1210.95</v>
      </c>
      <c r="AE10" s="896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446</v>
      </c>
      <c r="AL10" s="269">
        <v>95</v>
      </c>
      <c r="AM10" s="278">
        <f>AM9-AJ10</f>
        <v>1012.82</v>
      </c>
      <c r="AO10" s="896"/>
      <c r="AP10" s="83">
        <f>AP9-AQ10</f>
        <v>2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23.180000000000007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89">
        <v>64.03</v>
      </c>
      <c r="E11" s="890">
        <v>44653</v>
      </c>
      <c r="F11" s="889">
        <f>D11</f>
        <v>64.03</v>
      </c>
      <c r="G11" s="425" t="s">
        <v>376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89">
        <v>122.76</v>
      </c>
      <c r="O11" s="890">
        <v>44638</v>
      </c>
      <c r="P11" s="889">
        <f t="shared" si="1"/>
        <v>122.76</v>
      </c>
      <c r="Q11" s="425" t="s">
        <v>202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177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66</v>
      </c>
      <c r="AG11" s="246">
        <v>20</v>
      </c>
      <c r="AH11" s="267">
        <v>244.02</v>
      </c>
      <c r="AI11" s="296">
        <v>44673</v>
      </c>
      <c r="AJ11" s="267">
        <f t="shared" si="3"/>
        <v>244.02</v>
      </c>
      <c r="AK11" s="268" t="s">
        <v>549</v>
      </c>
      <c r="AL11" s="269">
        <v>95</v>
      </c>
      <c r="AM11" s="278">
        <f t="shared" ref="AM11:AM74" si="12">AM10-AJ11</f>
        <v>768.80000000000007</v>
      </c>
      <c r="AO11" s="197"/>
      <c r="AP11" s="299">
        <f t="shared" ref="AP11:AP54" si="13">AP10-AQ11</f>
        <v>2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23.180000000000007</v>
      </c>
    </row>
    <row r="12" spans="1:49" x14ac:dyDescent="0.25">
      <c r="A12" s="197"/>
      <c r="B12" s="83">
        <f t="shared" si="5"/>
        <v>28</v>
      </c>
      <c r="C12" s="15">
        <v>10</v>
      </c>
      <c r="D12" s="889">
        <v>127.36</v>
      </c>
      <c r="E12" s="890">
        <v>44653</v>
      </c>
      <c r="F12" s="889">
        <f>D12</f>
        <v>127.36</v>
      </c>
      <c r="G12" s="425" t="s">
        <v>358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76">
        <v>184.1</v>
      </c>
      <c r="O12" s="1077">
        <v>44664</v>
      </c>
      <c r="P12" s="1076">
        <f t="shared" si="1"/>
        <v>184.1</v>
      </c>
      <c r="Q12" s="1078" t="s">
        <v>446</v>
      </c>
      <c r="R12" s="1079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182</v>
      </c>
      <c r="AB12" s="269">
        <v>95</v>
      </c>
      <c r="AC12" s="278">
        <f t="shared" si="10"/>
        <v>963.12</v>
      </c>
      <c r="AE12" s="197"/>
      <c r="AF12" s="299">
        <f t="shared" si="11"/>
        <v>46</v>
      </c>
      <c r="AG12" s="246">
        <v>20</v>
      </c>
      <c r="AH12" s="267">
        <v>240.39</v>
      </c>
      <c r="AI12" s="296">
        <v>44674</v>
      </c>
      <c r="AJ12" s="267">
        <f t="shared" si="3"/>
        <v>240.39</v>
      </c>
      <c r="AK12" s="268" t="s">
        <v>559</v>
      </c>
      <c r="AL12" s="269">
        <v>95</v>
      </c>
      <c r="AM12" s="278">
        <f t="shared" si="12"/>
        <v>528.41000000000008</v>
      </c>
      <c r="AO12" s="197"/>
      <c r="AP12" s="299">
        <f t="shared" si="13"/>
        <v>2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23.180000000000007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89">
        <v>12.66</v>
      </c>
      <c r="E13" s="890">
        <v>44662</v>
      </c>
      <c r="F13" s="889">
        <f t="shared" si="0"/>
        <v>12.66</v>
      </c>
      <c r="G13" s="425" t="s">
        <v>425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76">
        <v>122.14</v>
      </c>
      <c r="O13" s="1077">
        <v>44667</v>
      </c>
      <c r="P13" s="1076">
        <f t="shared" si="1"/>
        <v>122.14</v>
      </c>
      <c r="Q13" s="1078" t="s">
        <v>475</v>
      </c>
      <c r="R13" s="1079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189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45</v>
      </c>
      <c r="AG13" s="246">
        <v>1</v>
      </c>
      <c r="AH13" s="267">
        <v>5.87</v>
      </c>
      <c r="AI13" s="296">
        <v>44677</v>
      </c>
      <c r="AJ13" s="267">
        <f t="shared" si="3"/>
        <v>5.87</v>
      </c>
      <c r="AK13" s="268" t="s">
        <v>582</v>
      </c>
      <c r="AL13" s="269">
        <v>92</v>
      </c>
      <c r="AM13" s="278">
        <f t="shared" si="12"/>
        <v>522.54000000000008</v>
      </c>
      <c r="AO13" s="82" t="s">
        <v>33</v>
      </c>
      <c r="AP13" s="299">
        <f t="shared" si="13"/>
        <v>2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23.180000000000007</v>
      </c>
    </row>
    <row r="14" spans="1:49" x14ac:dyDescent="0.25">
      <c r="A14" s="73"/>
      <c r="B14" s="83">
        <f t="shared" si="5"/>
        <v>17</v>
      </c>
      <c r="C14" s="15">
        <v>10</v>
      </c>
      <c r="D14" s="889">
        <v>129.68</v>
      </c>
      <c r="E14" s="890">
        <v>44667</v>
      </c>
      <c r="F14" s="889">
        <f t="shared" si="0"/>
        <v>129.68</v>
      </c>
      <c r="G14" s="425" t="s">
        <v>475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76"/>
      <c r="O14" s="1077"/>
      <c r="P14" s="1076">
        <f t="shared" si="1"/>
        <v>0</v>
      </c>
      <c r="Q14" s="1078"/>
      <c r="R14" s="1079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194</v>
      </c>
      <c r="AB14" s="269">
        <v>95</v>
      </c>
      <c r="AC14" s="278">
        <f t="shared" si="10"/>
        <v>896.92</v>
      </c>
      <c r="AE14" s="73"/>
      <c r="AF14" s="299">
        <f t="shared" si="11"/>
        <v>35</v>
      </c>
      <c r="AG14" s="246">
        <v>10</v>
      </c>
      <c r="AH14" s="267">
        <v>118.6</v>
      </c>
      <c r="AI14" s="296">
        <v>44680</v>
      </c>
      <c r="AJ14" s="267">
        <f t="shared" si="3"/>
        <v>118.6</v>
      </c>
      <c r="AK14" s="268" t="s">
        <v>597</v>
      </c>
      <c r="AL14" s="269">
        <v>95</v>
      </c>
      <c r="AM14" s="278">
        <f t="shared" si="12"/>
        <v>403.94000000000005</v>
      </c>
      <c r="AO14" s="73"/>
      <c r="AP14" s="299">
        <f t="shared" si="13"/>
        <v>2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23.180000000000007</v>
      </c>
    </row>
    <row r="15" spans="1:49" x14ac:dyDescent="0.25">
      <c r="A15" s="73"/>
      <c r="B15" s="83">
        <f t="shared" si="5"/>
        <v>16</v>
      </c>
      <c r="C15" s="15">
        <v>1</v>
      </c>
      <c r="D15" s="889">
        <v>15.95</v>
      </c>
      <c r="E15" s="890">
        <v>44669</v>
      </c>
      <c r="F15" s="889">
        <f t="shared" si="0"/>
        <v>15.95</v>
      </c>
      <c r="G15" s="425" t="s">
        <v>478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76"/>
      <c r="O15" s="1077"/>
      <c r="P15" s="1076">
        <f t="shared" si="1"/>
        <v>0</v>
      </c>
      <c r="Q15" s="1078"/>
      <c r="R15" s="1079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210</v>
      </c>
      <c r="AB15" s="269">
        <v>95</v>
      </c>
      <c r="AC15" s="278">
        <f t="shared" si="10"/>
        <v>711.57999999999993</v>
      </c>
      <c r="AE15" s="73"/>
      <c r="AF15" s="299">
        <f t="shared" si="11"/>
        <v>27</v>
      </c>
      <c r="AG15" s="246">
        <v>8</v>
      </c>
      <c r="AH15" s="267">
        <v>94.2</v>
      </c>
      <c r="AI15" s="296">
        <v>44681</v>
      </c>
      <c r="AJ15" s="267">
        <f t="shared" si="3"/>
        <v>94.2</v>
      </c>
      <c r="AK15" s="268" t="s">
        <v>579</v>
      </c>
      <c r="AL15" s="269">
        <v>95</v>
      </c>
      <c r="AM15" s="278">
        <f t="shared" si="12"/>
        <v>309.74000000000007</v>
      </c>
      <c r="AO15" s="73"/>
      <c r="AP15" s="299">
        <f t="shared" si="13"/>
        <v>2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23.180000000000007</v>
      </c>
    </row>
    <row r="16" spans="1:49" x14ac:dyDescent="0.25">
      <c r="B16" s="83">
        <f t="shared" si="5"/>
        <v>6</v>
      </c>
      <c r="C16" s="15">
        <v>10</v>
      </c>
      <c r="D16" s="889">
        <v>125.64</v>
      </c>
      <c r="E16" s="890">
        <v>44677</v>
      </c>
      <c r="F16" s="889">
        <f t="shared" si="0"/>
        <v>125.64</v>
      </c>
      <c r="G16" s="425" t="s">
        <v>574</v>
      </c>
      <c r="H16" s="426">
        <v>90</v>
      </c>
      <c r="I16" s="278">
        <f t="shared" si="6"/>
        <v>75.419999999999888</v>
      </c>
      <c r="L16" s="299">
        <f t="shared" si="7"/>
        <v>5</v>
      </c>
      <c r="M16" s="73"/>
      <c r="N16" s="1076"/>
      <c r="O16" s="1077"/>
      <c r="P16" s="1076">
        <f t="shared" si="1"/>
        <v>0</v>
      </c>
      <c r="Q16" s="1078"/>
      <c r="R16" s="1079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217</v>
      </c>
      <c r="AB16" s="269">
        <v>95</v>
      </c>
      <c r="AC16" s="278">
        <f t="shared" si="10"/>
        <v>501.68999999999994</v>
      </c>
      <c r="AF16" s="299">
        <f t="shared" si="11"/>
        <v>27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309.74000000000007</v>
      </c>
      <c r="AP16" s="299">
        <f t="shared" si="13"/>
        <v>2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23.180000000000007</v>
      </c>
    </row>
    <row r="17" spans="1:49" x14ac:dyDescent="0.25">
      <c r="B17" s="83">
        <f t="shared" si="5"/>
        <v>6</v>
      </c>
      <c r="C17" s="15"/>
      <c r="D17" s="889"/>
      <c r="E17" s="890"/>
      <c r="F17" s="889">
        <f t="shared" si="0"/>
        <v>0</v>
      </c>
      <c r="G17" s="425"/>
      <c r="H17" s="426"/>
      <c r="I17" s="278">
        <f t="shared" si="6"/>
        <v>75.419999999999888</v>
      </c>
      <c r="L17" s="299">
        <f t="shared" si="7"/>
        <v>5</v>
      </c>
      <c r="M17" s="73"/>
      <c r="N17" s="1076"/>
      <c r="O17" s="1077"/>
      <c r="P17" s="1076">
        <f t="shared" si="1"/>
        <v>0</v>
      </c>
      <c r="Q17" s="1078"/>
      <c r="R17" s="1079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225</v>
      </c>
      <c r="AB17" s="269">
        <v>95</v>
      </c>
      <c r="AC17" s="278">
        <f t="shared" si="10"/>
        <v>379.30999999999995</v>
      </c>
      <c r="AF17" s="299">
        <f t="shared" si="11"/>
        <v>27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309.74000000000007</v>
      </c>
      <c r="AP17" s="299">
        <f t="shared" si="13"/>
        <v>2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23.180000000000007</v>
      </c>
    </row>
    <row r="18" spans="1:49" x14ac:dyDescent="0.25">
      <c r="A18" s="122"/>
      <c r="B18" s="83">
        <f t="shared" si="5"/>
        <v>6</v>
      </c>
      <c r="C18" s="15"/>
      <c r="D18" s="889"/>
      <c r="E18" s="890"/>
      <c r="F18" s="889">
        <f t="shared" si="0"/>
        <v>0</v>
      </c>
      <c r="G18" s="425"/>
      <c r="H18" s="426"/>
      <c r="I18" s="278">
        <f t="shared" si="6"/>
        <v>75.419999999999888</v>
      </c>
      <c r="K18" s="122"/>
      <c r="L18" s="299">
        <f t="shared" si="7"/>
        <v>5</v>
      </c>
      <c r="M18" s="73"/>
      <c r="N18" s="1076"/>
      <c r="O18" s="1077"/>
      <c r="P18" s="1076">
        <f t="shared" si="1"/>
        <v>0</v>
      </c>
      <c r="Q18" s="1078"/>
      <c r="R18" s="1079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54">
        <v>61.19</v>
      </c>
      <c r="Y18" s="1055">
        <v>44650</v>
      </c>
      <c r="Z18" s="1054">
        <f>X18</f>
        <v>61.19</v>
      </c>
      <c r="AA18" s="971" t="s">
        <v>348</v>
      </c>
      <c r="AB18" s="972">
        <v>95</v>
      </c>
      <c r="AC18" s="278">
        <f t="shared" si="10"/>
        <v>318.11999999999995</v>
      </c>
      <c r="AE18" s="122"/>
      <c r="AF18" s="299">
        <f t="shared" si="11"/>
        <v>27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309.74000000000007</v>
      </c>
      <c r="AO18" s="122"/>
      <c r="AP18" s="299">
        <f t="shared" si="13"/>
        <v>2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23.180000000000007</v>
      </c>
    </row>
    <row r="19" spans="1:49" x14ac:dyDescent="0.25">
      <c r="A19" s="122"/>
      <c r="B19" s="83">
        <f t="shared" si="5"/>
        <v>6</v>
      </c>
      <c r="C19" s="15"/>
      <c r="D19" s="889"/>
      <c r="E19" s="890"/>
      <c r="F19" s="889">
        <f t="shared" si="0"/>
        <v>0</v>
      </c>
      <c r="G19" s="425"/>
      <c r="H19" s="426"/>
      <c r="I19" s="278">
        <f t="shared" si="6"/>
        <v>75.419999999999888</v>
      </c>
      <c r="K19" s="122"/>
      <c r="L19" s="299">
        <f t="shared" si="7"/>
        <v>5</v>
      </c>
      <c r="M19" s="15"/>
      <c r="N19" s="1076"/>
      <c r="O19" s="1077"/>
      <c r="P19" s="1076">
        <f t="shared" si="1"/>
        <v>0</v>
      </c>
      <c r="Q19" s="1078"/>
      <c r="R19" s="1079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54">
        <v>60.94</v>
      </c>
      <c r="Y19" s="1055">
        <v>44653</v>
      </c>
      <c r="Z19" s="1054">
        <f>X19</f>
        <v>60.94</v>
      </c>
      <c r="AA19" s="971" t="s">
        <v>376</v>
      </c>
      <c r="AB19" s="972">
        <v>95</v>
      </c>
      <c r="AC19" s="278">
        <f t="shared" si="10"/>
        <v>257.17999999999995</v>
      </c>
      <c r="AE19" s="122"/>
      <c r="AF19" s="299">
        <f t="shared" si="11"/>
        <v>27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309.74000000000007</v>
      </c>
      <c r="AO19" s="122"/>
      <c r="AP19" s="299">
        <f t="shared" si="13"/>
        <v>2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23.180000000000007</v>
      </c>
    </row>
    <row r="20" spans="1:49" x14ac:dyDescent="0.25">
      <c r="A20" s="122"/>
      <c r="B20" s="83">
        <f t="shared" si="5"/>
        <v>6</v>
      </c>
      <c r="C20" s="15"/>
      <c r="D20" s="889"/>
      <c r="E20" s="890"/>
      <c r="F20" s="889">
        <f t="shared" si="0"/>
        <v>0</v>
      </c>
      <c r="G20" s="425"/>
      <c r="H20" s="426"/>
      <c r="I20" s="278">
        <f t="shared" si="6"/>
        <v>75.419999999999888</v>
      </c>
      <c r="K20" s="122"/>
      <c r="L20" s="83">
        <f t="shared" si="7"/>
        <v>5</v>
      </c>
      <c r="M20" s="15"/>
      <c r="N20" s="1076"/>
      <c r="O20" s="1077"/>
      <c r="P20" s="1076">
        <f t="shared" si="1"/>
        <v>0</v>
      </c>
      <c r="Q20" s="1078"/>
      <c r="R20" s="1079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54">
        <v>182.9</v>
      </c>
      <c r="Y20" s="1055">
        <v>44653</v>
      </c>
      <c r="Z20" s="1054">
        <f>X20</f>
        <v>182.9</v>
      </c>
      <c r="AA20" s="971" t="s">
        <v>358</v>
      </c>
      <c r="AB20" s="972">
        <v>95</v>
      </c>
      <c r="AC20" s="278">
        <f t="shared" si="10"/>
        <v>74.279999999999944</v>
      </c>
      <c r="AE20" s="122"/>
      <c r="AF20" s="83">
        <f t="shared" si="11"/>
        <v>27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309.74000000000007</v>
      </c>
      <c r="AO20" s="122"/>
      <c r="AP20" s="83">
        <f t="shared" si="13"/>
        <v>2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23.180000000000007</v>
      </c>
    </row>
    <row r="21" spans="1:49" x14ac:dyDescent="0.25">
      <c r="A21" s="122"/>
      <c r="B21" s="83">
        <f t="shared" si="5"/>
        <v>6</v>
      </c>
      <c r="C21" s="15"/>
      <c r="D21" s="889"/>
      <c r="E21" s="890"/>
      <c r="F21" s="889">
        <f t="shared" si="0"/>
        <v>0</v>
      </c>
      <c r="G21" s="425"/>
      <c r="H21" s="426"/>
      <c r="I21" s="278">
        <f t="shared" si="6"/>
        <v>75.419999999999888</v>
      </c>
      <c r="K21" s="122"/>
      <c r="L21" s="83">
        <f t="shared" si="7"/>
        <v>5</v>
      </c>
      <c r="M21" s="15"/>
      <c r="N21" s="1076"/>
      <c r="O21" s="1077"/>
      <c r="P21" s="1076">
        <f t="shared" si="1"/>
        <v>0</v>
      </c>
      <c r="Q21" s="1078"/>
      <c r="R21" s="1079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54">
        <v>60.83</v>
      </c>
      <c r="Y21" s="1055">
        <v>44656</v>
      </c>
      <c r="Z21" s="1054">
        <f>X21</f>
        <v>60.83</v>
      </c>
      <c r="AA21" s="971" t="s">
        <v>359</v>
      </c>
      <c r="AB21" s="972">
        <v>95</v>
      </c>
      <c r="AC21" s="278">
        <f t="shared" si="10"/>
        <v>13.449999999999946</v>
      </c>
      <c r="AE21" s="122"/>
      <c r="AF21" s="83">
        <f t="shared" si="11"/>
        <v>27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309.74000000000007</v>
      </c>
      <c r="AO21" s="122"/>
      <c r="AP21" s="83">
        <f t="shared" si="13"/>
        <v>2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23.180000000000007</v>
      </c>
    </row>
    <row r="22" spans="1:49" x14ac:dyDescent="0.25">
      <c r="A22" s="122"/>
      <c r="B22" s="284">
        <f t="shared" si="5"/>
        <v>6</v>
      </c>
      <c r="C22" s="15"/>
      <c r="D22" s="889"/>
      <c r="E22" s="890"/>
      <c r="F22" s="889">
        <f t="shared" si="0"/>
        <v>0</v>
      </c>
      <c r="G22" s="425"/>
      <c r="H22" s="426"/>
      <c r="I22" s="278">
        <f t="shared" si="6"/>
        <v>75.419999999999888</v>
      </c>
      <c r="K22" s="122"/>
      <c r="L22" s="284">
        <f t="shared" si="7"/>
        <v>5</v>
      </c>
      <c r="M22" s="15"/>
      <c r="N22" s="1076"/>
      <c r="O22" s="1077"/>
      <c r="P22" s="1076">
        <f t="shared" si="1"/>
        <v>0</v>
      </c>
      <c r="Q22" s="1078"/>
      <c r="R22" s="1079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54">
        <v>12.25</v>
      </c>
      <c r="Y22" s="1055">
        <v>44658</v>
      </c>
      <c r="Z22" s="1054">
        <f t="shared" si="2"/>
        <v>12.25</v>
      </c>
      <c r="AA22" s="971" t="s">
        <v>402</v>
      </c>
      <c r="AB22" s="972">
        <v>95</v>
      </c>
      <c r="AC22" s="278">
        <f t="shared" si="10"/>
        <v>1.199999999999946</v>
      </c>
      <c r="AE22" s="122"/>
      <c r="AF22" s="284">
        <f t="shared" si="11"/>
        <v>27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309.74000000000007</v>
      </c>
      <c r="AO22" s="122"/>
      <c r="AP22" s="284">
        <f t="shared" si="13"/>
        <v>2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23.180000000000007</v>
      </c>
    </row>
    <row r="23" spans="1:49" x14ac:dyDescent="0.25">
      <c r="A23" s="123"/>
      <c r="B23" s="284">
        <f t="shared" si="5"/>
        <v>6</v>
      </c>
      <c r="C23" s="15"/>
      <c r="D23" s="889"/>
      <c r="E23" s="890"/>
      <c r="F23" s="889">
        <f t="shared" si="0"/>
        <v>0</v>
      </c>
      <c r="G23" s="425"/>
      <c r="H23" s="426"/>
      <c r="I23" s="278">
        <f t="shared" si="6"/>
        <v>75.419999999999888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54"/>
      <c r="Y23" s="1055"/>
      <c r="Z23" s="1065">
        <f t="shared" si="2"/>
        <v>0</v>
      </c>
      <c r="AA23" s="1066"/>
      <c r="AB23" s="1067"/>
      <c r="AC23" s="1068">
        <f t="shared" si="10"/>
        <v>1.199999999999946</v>
      </c>
      <c r="AE23" s="123"/>
      <c r="AF23" s="284">
        <f t="shared" si="11"/>
        <v>27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309.74000000000007</v>
      </c>
      <c r="AO23" s="123"/>
      <c r="AP23" s="284">
        <f t="shared" si="13"/>
        <v>2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23.180000000000007</v>
      </c>
    </row>
    <row r="24" spans="1:49" x14ac:dyDescent="0.25">
      <c r="A24" s="122"/>
      <c r="B24" s="284">
        <f t="shared" si="5"/>
        <v>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75.419999999999888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54"/>
      <c r="Y24" s="1055"/>
      <c r="Z24" s="1065">
        <f t="shared" si="2"/>
        <v>0</v>
      </c>
      <c r="AA24" s="1066"/>
      <c r="AB24" s="1067"/>
      <c r="AC24" s="1068">
        <f t="shared" si="10"/>
        <v>1.199999999999946</v>
      </c>
      <c r="AE24" s="122"/>
      <c r="AF24" s="284">
        <f t="shared" si="11"/>
        <v>27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309.74000000000007</v>
      </c>
      <c r="AO24" s="122"/>
      <c r="AP24" s="284">
        <f t="shared" si="13"/>
        <v>2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23.180000000000007</v>
      </c>
    </row>
    <row r="25" spans="1:49" x14ac:dyDescent="0.25">
      <c r="A25" s="122"/>
      <c r="B25" s="284">
        <f t="shared" si="5"/>
        <v>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75.419999999999888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54"/>
      <c r="Y25" s="1055"/>
      <c r="Z25" s="1065">
        <f t="shared" si="2"/>
        <v>0</v>
      </c>
      <c r="AA25" s="1066"/>
      <c r="AB25" s="1067"/>
      <c r="AC25" s="1068">
        <f t="shared" si="10"/>
        <v>1.199999999999946</v>
      </c>
      <c r="AE25" s="122"/>
      <c r="AF25" s="284">
        <f t="shared" si="11"/>
        <v>27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309.74000000000007</v>
      </c>
      <c r="AO25" s="122"/>
      <c r="AP25" s="284">
        <f t="shared" si="13"/>
        <v>2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23.180000000000007</v>
      </c>
    </row>
    <row r="26" spans="1:49" x14ac:dyDescent="0.25">
      <c r="A26" s="122"/>
      <c r="B26" s="197">
        <f t="shared" si="5"/>
        <v>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75.419999999999888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54"/>
      <c r="Y26" s="1055"/>
      <c r="Z26" s="1065">
        <f t="shared" si="2"/>
        <v>0</v>
      </c>
      <c r="AA26" s="1066"/>
      <c r="AB26" s="1067"/>
      <c r="AC26" s="1068">
        <f t="shared" si="10"/>
        <v>1.199999999999946</v>
      </c>
      <c r="AE26" s="122"/>
      <c r="AF26" s="197">
        <f t="shared" si="11"/>
        <v>27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309.74000000000007</v>
      </c>
      <c r="AO26" s="122"/>
      <c r="AP26" s="197">
        <f t="shared" si="13"/>
        <v>2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23.180000000000007</v>
      </c>
    </row>
    <row r="27" spans="1:49" x14ac:dyDescent="0.25">
      <c r="A27" s="122"/>
      <c r="B27" s="284">
        <f t="shared" si="5"/>
        <v>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75.419999999999888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54"/>
      <c r="Y27" s="1055"/>
      <c r="Z27" s="1065">
        <f t="shared" si="2"/>
        <v>0</v>
      </c>
      <c r="AA27" s="1066"/>
      <c r="AB27" s="1067"/>
      <c r="AC27" s="1068">
        <f t="shared" si="10"/>
        <v>1.199999999999946</v>
      </c>
      <c r="AE27" s="122"/>
      <c r="AF27" s="284">
        <f t="shared" si="11"/>
        <v>27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309.74000000000007</v>
      </c>
      <c r="AO27" s="122"/>
      <c r="AP27" s="284">
        <f t="shared" si="13"/>
        <v>2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23.180000000000007</v>
      </c>
    </row>
    <row r="28" spans="1:49" x14ac:dyDescent="0.25">
      <c r="A28" s="122"/>
      <c r="B28" s="197">
        <f t="shared" si="5"/>
        <v>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75.419999999999888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54"/>
      <c r="Y28" s="1055"/>
      <c r="Z28" s="1054">
        <f t="shared" si="2"/>
        <v>0</v>
      </c>
      <c r="AA28" s="971"/>
      <c r="AB28" s="972"/>
      <c r="AC28" s="278">
        <f t="shared" si="10"/>
        <v>1.199999999999946</v>
      </c>
      <c r="AE28" s="122"/>
      <c r="AF28" s="197">
        <f t="shared" si="11"/>
        <v>27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309.74000000000007</v>
      </c>
      <c r="AO28" s="122"/>
      <c r="AP28" s="197">
        <f t="shared" si="13"/>
        <v>2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23.180000000000007</v>
      </c>
    </row>
    <row r="29" spans="1:49" x14ac:dyDescent="0.25">
      <c r="A29" s="122"/>
      <c r="B29" s="284">
        <f t="shared" si="5"/>
        <v>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75.419999999999888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54"/>
      <c r="Y29" s="1055"/>
      <c r="Z29" s="1054">
        <f t="shared" si="2"/>
        <v>0</v>
      </c>
      <c r="AA29" s="971"/>
      <c r="AB29" s="972"/>
      <c r="AC29" s="278">
        <f t="shared" si="10"/>
        <v>1.199999999999946</v>
      </c>
      <c r="AE29" s="122"/>
      <c r="AF29" s="284">
        <f t="shared" si="11"/>
        <v>27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309.74000000000007</v>
      </c>
      <c r="AO29" s="122"/>
      <c r="AP29" s="284">
        <f t="shared" si="13"/>
        <v>2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23.180000000000007</v>
      </c>
    </row>
    <row r="30" spans="1:49" x14ac:dyDescent="0.25">
      <c r="A30" s="122"/>
      <c r="B30" s="284">
        <f t="shared" si="5"/>
        <v>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75.419999999999888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27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309.74000000000007</v>
      </c>
      <c r="AO30" s="122"/>
      <c r="AP30" s="284">
        <f t="shared" si="13"/>
        <v>2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23.180000000000007</v>
      </c>
    </row>
    <row r="31" spans="1:49" x14ac:dyDescent="0.25">
      <c r="A31" s="122"/>
      <c r="B31" s="284">
        <f t="shared" si="5"/>
        <v>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75.419999999999888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27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309.74000000000007</v>
      </c>
      <c r="AO31" s="122"/>
      <c r="AP31" s="284">
        <f t="shared" si="13"/>
        <v>2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23.180000000000007</v>
      </c>
    </row>
    <row r="32" spans="1:49" x14ac:dyDescent="0.25">
      <c r="A32" s="122"/>
      <c r="B32" s="284">
        <f t="shared" si="5"/>
        <v>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75.419999999999888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27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309.74000000000007</v>
      </c>
      <c r="AO32" s="122"/>
      <c r="AP32" s="284">
        <f t="shared" si="13"/>
        <v>2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23.180000000000007</v>
      </c>
    </row>
    <row r="33" spans="1:49" x14ac:dyDescent="0.25">
      <c r="A33" s="122"/>
      <c r="B33" s="284">
        <f t="shared" si="5"/>
        <v>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75.419999999999888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27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309.74000000000007</v>
      </c>
      <c r="AO33" s="122"/>
      <c r="AP33" s="284">
        <f t="shared" si="13"/>
        <v>2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23.180000000000007</v>
      </c>
    </row>
    <row r="34" spans="1:49" x14ac:dyDescent="0.25">
      <c r="A34" s="122"/>
      <c r="B34" s="284">
        <f t="shared" si="5"/>
        <v>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75.419999999999888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27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309.74000000000007</v>
      </c>
      <c r="AO34" s="122"/>
      <c r="AP34" s="284">
        <f t="shared" si="13"/>
        <v>2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23.180000000000007</v>
      </c>
    </row>
    <row r="35" spans="1:49" x14ac:dyDescent="0.25">
      <c r="A35" s="122"/>
      <c r="B35" s="284">
        <f t="shared" si="5"/>
        <v>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75.419999999999888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27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309.74000000000007</v>
      </c>
      <c r="AO35" s="122"/>
      <c r="AP35" s="284">
        <f t="shared" si="13"/>
        <v>2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23.180000000000007</v>
      </c>
    </row>
    <row r="36" spans="1:49" x14ac:dyDescent="0.25">
      <c r="A36" s="122" t="s">
        <v>22</v>
      </c>
      <c r="B36" s="284">
        <f t="shared" si="5"/>
        <v>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75.419999999999888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27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309.74000000000007</v>
      </c>
      <c r="AO36" s="122" t="s">
        <v>22</v>
      </c>
      <c r="AP36" s="284">
        <f t="shared" si="13"/>
        <v>2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23.180000000000007</v>
      </c>
    </row>
    <row r="37" spans="1:49" x14ac:dyDescent="0.25">
      <c r="A37" s="123"/>
      <c r="B37" s="284">
        <f t="shared" si="5"/>
        <v>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75.419999999999888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27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309.74000000000007</v>
      </c>
      <c r="AO37" s="123"/>
      <c r="AP37" s="284">
        <f t="shared" si="13"/>
        <v>2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23.180000000000007</v>
      </c>
    </row>
    <row r="38" spans="1:49" x14ac:dyDescent="0.25">
      <c r="A38" s="122"/>
      <c r="B38" s="284">
        <f t="shared" si="5"/>
        <v>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75.419999999999888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27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309.74000000000007</v>
      </c>
      <c r="AO38" s="122"/>
      <c r="AP38" s="284">
        <f t="shared" si="13"/>
        <v>2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23.180000000000007</v>
      </c>
    </row>
    <row r="39" spans="1:49" x14ac:dyDescent="0.25">
      <c r="A39" s="122"/>
      <c r="B39" s="83">
        <f t="shared" si="5"/>
        <v>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75.419999999999888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27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309.74000000000007</v>
      </c>
      <c r="AO39" s="122"/>
      <c r="AP39" s="83">
        <f t="shared" si="13"/>
        <v>2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23.180000000000007</v>
      </c>
    </row>
    <row r="40" spans="1:49" x14ac:dyDescent="0.25">
      <c r="A40" s="122"/>
      <c r="B40" s="83">
        <f t="shared" si="5"/>
        <v>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75.419999999999888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27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309.74000000000007</v>
      </c>
      <c r="AO40" s="122"/>
      <c r="AP40" s="83">
        <f t="shared" si="13"/>
        <v>2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23.180000000000007</v>
      </c>
    </row>
    <row r="41" spans="1:49" x14ac:dyDescent="0.25">
      <c r="A41" s="122"/>
      <c r="B41" s="83">
        <f t="shared" si="5"/>
        <v>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75.419999999999888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27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309.74000000000007</v>
      </c>
      <c r="AO41" s="122"/>
      <c r="AP41" s="83">
        <f t="shared" si="13"/>
        <v>2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23.180000000000007</v>
      </c>
    </row>
    <row r="42" spans="1:49" x14ac:dyDescent="0.25">
      <c r="A42" s="122"/>
      <c r="B42" s="83">
        <f t="shared" si="5"/>
        <v>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75.419999999999888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27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309.74000000000007</v>
      </c>
      <c r="AO42" s="122"/>
      <c r="AP42" s="83">
        <f t="shared" si="13"/>
        <v>2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23.180000000000007</v>
      </c>
    </row>
    <row r="43" spans="1:49" x14ac:dyDescent="0.25">
      <c r="A43" s="122"/>
      <c r="B43" s="83">
        <f t="shared" si="5"/>
        <v>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75.419999999999888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27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309.74000000000007</v>
      </c>
      <c r="AO43" s="122"/>
      <c r="AP43" s="83">
        <f t="shared" si="13"/>
        <v>2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23.180000000000007</v>
      </c>
    </row>
    <row r="44" spans="1:49" x14ac:dyDescent="0.25">
      <c r="A44" s="122"/>
      <c r="B44" s="83">
        <f t="shared" si="5"/>
        <v>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75.419999999999888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27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309.74000000000007</v>
      </c>
      <c r="AO44" s="122"/>
      <c r="AP44" s="83">
        <f t="shared" si="13"/>
        <v>2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23.180000000000007</v>
      </c>
    </row>
    <row r="45" spans="1:49" x14ac:dyDescent="0.25">
      <c r="A45" s="122"/>
      <c r="B45" s="83">
        <f t="shared" si="5"/>
        <v>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75.419999999999888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27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309.74000000000007</v>
      </c>
      <c r="AO45" s="122"/>
      <c r="AP45" s="83">
        <f t="shared" si="13"/>
        <v>2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23.180000000000007</v>
      </c>
    </row>
    <row r="46" spans="1:49" x14ac:dyDescent="0.25">
      <c r="A46" s="122"/>
      <c r="B46" s="83">
        <f t="shared" si="5"/>
        <v>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75.419999999999888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27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309.74000000000007</v>
      </c>
      <c r="AO46" s="122"/>
      <c r="AP46" s="83">
        <f t="shared" si="13"/>
        <v>2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23.180000000000007</v>
      </c>
    </row>
    <row r="47" spans="1:49" x14ac:dyDescent="0.25">
      <c r="A47" s="122"/>
      <c r="B47" s="83">
        <f t="shared" si="5"/>
        <v>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75.419999999999888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27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309.74000000000007</v>
      </c>
      <c r="AO47" s="122"/>
      <c r="AP47" s="83">
        <f t="shared" si="13"/>
        <v>2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23.180000000000007</v>
      </c>
    </row>
    <row r="48" spans="1:49" x14ac:dyDescent="0.25">
      <c r="A48" s="122"/>
      <c r="B48" s="83">
        <f t="shared" si="5"/>
        <v>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75.419999999999888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27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309.74000000000007</v>
      </c>
      <c r="AO48" s="122"/>
      <c r="AP48" s="83">
        <f t="shared" si="13"/>
        <v>2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23.180000000000007</v>
      </c>
    </row>
    <row r="49" spans="1:49" x14ac:dyDescent="0.25">
      <c r="A49" s="122"/>
      <c r="B49" s="83">
        <f t="shared" si="5"/>
        <v>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75.419999999999888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27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309.74000000000007</v>
      </c>
      <c r="AO49" s="122"/>
      <c r="AP49" s="83">
        <f t="shared" si="13"/>
        <v>2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23.180000000000007</v>
      </c>
    </row>
    <row r="50" spans="1:49" x14ac:dyDescent="0.25">
      <c r="A50" s="122"/>
      <c r="B50" s="83">
        <f t="shared" si="5"/>
        <v>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75.419999999999888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27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309.74000000000007</v>
      </c>
      <c r="AO50" s="122"/>
      <c r="AP50" s="83">
        <f t="shared" si="13"/>
        <v>2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23.180000000000007</v>
      </c>
    </row>
    <row r="51" spans="1:49" x14ac:dyDescent="0.25">
      <c r="A51" s="122"/>
      <c r="B51" s="83">
        <f t="shared" si="5"/>
        <v>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75.419999999999888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27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309.74000000000007</v>
      </c>
      <c r="AO51" s="122"/>
      <c r="AP51" s="83">
        <f t="shared" si="13"/>
        <v>2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23.180000000000007</v>
      </c>
    </row>
    <row r="52" spans="1:49" x14ac:dyDescent="0.25">
      <c r="A52" s="122"/>
      <c r="B52" s="83">
        <f t="shared" si="5"/>
        <v>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75.419999999999888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27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309.74000000000007</v>
      </c>
      <c r="AO52" s="122"/>
      <c r="AP52" s="83">
        <f t="shared" si="13"/>
        <v>2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23.180000000000007</v>
      </c>
    </row>
    <row r="53" spans="1:49" x14ac:dyDescent="0.25">
      <c r="A53" s="122"/>
      <c r="B53" s="83">
        <f t="shared" si="5"/>
        <v>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75.419999999999888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27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309.74000000000007</v>
      </c>
      <c r="AO53" s="122"/>
      <c r="AP53" s="83">
        <f t="shared" si="13"/>
        <v>2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23.180000000000007</v>
      </c>
    </row>
    <row r="54" spans="1:49" x14ac:dyDescent="0.25">
      <c r="A54" s="122"/>
      <c r="B54" s="83">
        <f t="shared" si="5"/>
        <v>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75.419999999999888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27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309.74000000000007</v>
      </c>
      <c r="AO54" s="122"/>
      <c r="AP54" s="83">
        <f t="shared" si="13"/>
        <v>2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23.180000000000007</v>
      </c>
    </row>
    <row r="55" spans="1:49" x14ac:dyDescent="0.25">
      <c r="A55" s="122"/>
      <c r="B55" s="12">
        <f>B54-C55</f>
        <v>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75.419999999999888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27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309.74000000000007</v>
      </c>
      <c r="AO55" s="122"/>
      <c r="AP55" s="12">
        <f>AP54-AQ55</f>
        <v>2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23.180000000000007</v>
      </c>
    </row>
    <row r="56" spans="1:49" x14ac:dyDescent="0.25">
      <c r="A56" s="122"/>
      <c r="B56" s="12">
        <f t="shared" ref="B56:B75" si="15">B55-C56</f>
        <v>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75.419999999999888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27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309.74000000000007</v>
      </c>
      <c r="AO56" s="122"/>
      <c r="AP56" s="12">
        <f t="shared" ref="AP56:AP75" si="19">AP55-AQ56</f>
        <v>2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23.180000000000007</v>
      </c>
    </row>
    <row r="57" spans="1:49" x14ac:dyDescent="0.25">
      <c r="A57" s="122"/>
      <c r="B57" s="12">
        <f t="shared" si="15"/>
        <v>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75.419999999999888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27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309.74000000000007</v>
      </c>
      <c r="AO57" s="122"/>
      <c r="AP57" s="12">
        <f t="shared" si="19"/>
        <v>2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23.180000000000007</v>
      </c>
    </row>
    <row r="58" spans="1:49" x14ac:dyDescent="0.25">
      <c r="A58" s="122"/>
      <c r="B58" s="12">
        <f t="shared" si="15"/>
        <v>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75.419999999999888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27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309.74000000000007</v>
      </c>
      <c r="AO58" s="122"/>
      <c r="AP58" s="12">
        <f t="shared" si="19"/>
        <v>2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23.180000000000007</v>
      </c>
    </row>
    <row r="59" spans="1:49" x14ac:dyDescent="0.25">
      <c r="A59" s="122"/>
      <c r="B59" s="12">
        <f t="shared" si="15"/>
        <v>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75.419999999999888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27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309.74000000000007</v>
      </c>
      <c r="AO59" s="122"/>
      <c r="AP59" s="12">
        <f t="shared" si="19"/>
        <v>2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23.180000000000007</v>
      </c>
    </row>
    <row r="60" spans="1:49" x14ac:dyDescent="0.25">
      <c r="A60" s="122"/>
      <c r="B60" s="12">
        <f t="shared" si="15"/>
        <v>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75.419999999999888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27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309.74000000000007</v>
      </c>
      <c r="AO60" s="122"/>
      <c r="AP60" s="12">
        <f t="shared" si="19"/>
        <v>2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23.180000000000007</v>
      </c>
    </row>
    <row r="61" spans="1:49" x14ac:dyDescent="0.25">
      <c r="A61" s="122"/>
      <c r="B61" s="12">
        <f t="shared" si="15"/>
        <v>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75.419999999999888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27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309.74000000000007</v>
      </c>
      <c r="AO61" s="122"/>
      <c r="AP61" s="12">
        <f t="shared" si="19"/>
        <v>2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23.180000000000007</v>
      </c>
    </row>
    <row r="62" spans="1:49" x14ac:dyDescent="0.25">
      <c r="A62" s="122"/>
      <c r="B62" s="12">
        <f t="shared" si="15"/>
        <v>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75.419999999999888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27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309.74000000000007</v>
      </c>
      <c r="AO62" s="122"/>
      <c r="AP62" s="12">
        <f t="shared" si="19"/>
        <v>2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23.180000000000007</v>
      </c>
    </row>
    <row r="63" spans="1:49" x14ac:dyDescent="0.25">
      <c r="A63" s="122"/>
      <c r="B63" s="12">
        <f t="shared" si="15"/>
        <v>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75.419999999999888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27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309.74000000000007</v>
      </c>
      <c r="AO63" s="122"/>
      <c r="AP63" s="12">
        <f t="shared" si="19"/>
        <v>2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23.180000000000007</v>
      </c>
    </row>
    <row r="64" spans="1:49" x14ac:dyDescent="0.25">
      <c r="A64" s="122"/>
      <c r="B64" s="12">
        <f t="shared" si="15"/>
        <v>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75.419999999999888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27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309.74000000000007</v>
      </c>
      <c r="AO64" s="122"/>
      <c r="AP64" s="12">
        <f t="shared" si="19"/>
        <v>2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23.180000000000007</v>
      </c>
    </row>
    <row r="65" spans="1:49" x14ac:dyDescent="0.25">
      <c r="A65" s="122"/>
      <c r="B65" s="12">
        <f t="shared" si="15"/>
        <v>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75.419999999999888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27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309.74000000000007</v>
      </c>
      <c r="AO65" s="122"/>
      <c r="AP65" s="12">
        <f t="shared" si="19"/>
        <v>2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23.180000000000007</v>
      </c>
    </row>
    <row r="66" spans="1:49" x14ac:dyDescent="0.25">
      <c r="A66" s="122"/>
      <c r="B66" s="12">
        <f t="shared" si="15"/>
        <v>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75.419999999999888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27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309.74000000000007</v>
      </c>
      <c r="AO66" s="122"/>
      <c r="AP66" s="12">
        <f t="shared" si="19"/>
        <v>2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23.180000000000007</v>
      </c>
    </row>
    <row r="67" spans="1:49" x14ac:dyDescent="0.25">
      <c r="A67" s="122"/>
      <c r="B67" s="12">
        <f t="shared" si="15"/>
        <v>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75.419999999999888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27</v>
      </c>
      <c r="AG67" s="15"/>
      <c r="AH67" s="69"/>
      <c r="AI67" s="219"/>
      <c r="AJ67" s="69">
        <f t="shared" si="3"/>
        <v>0</v>
      </c>
      <c r="AK67" s="70"/>
      <c r="AL67" s="71"/>
      <c r="AM67" s="278">
        <f t="shared" si="12"/>
        <v>309.74000000000007</v>
      </c>
      <c r="AO67" s="122"/>
      <c r="AP67" s="12">
        <f t="shared" si="19"/>
        <v>2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23.180000000000007</v>
      </c>
    </row>
    <row r="68" spans="1:49" x14ac:dyDescent="0.25">
      <c r="A68" s="122"/>
      <c r="B68" s="12">
        <f t="shared" si="15"/>
        <v>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75.419999999999888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27</v>
      </c>
      <c r="AG68" s="15"/>
      <c r="AH68" s="59"/>
      <c r="AI68" s="226"/>
      <c r="AJ68" s="69">
        <f t="shared" si="3"/>
        <v>0</v>
      </c>
      <c r="AK68" s="70"/>
      <c r="AL68" s="71"/>
      <c r="AM68" s="278">
        <f t="shared" si="12"/>
        <v>309.74000000000007</v>
      </c>
      <c r="AO68" s="122"/>
      <c r="AP68" s="12">
        <f t="shared" si="19"/>
        <v>2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23.180000000000007</v>
      </c>
    </row>
    <row r="69" spans="1:49" x14ac:dyDescent="0.25">
      <c r="A69" s="122"/>
      <c r="B69" s="12">
        <f t="shared" si="15"/>
        <v>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75.419999999999888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27</v>
      </c>
      <c r="AG69" s="15"/>
      <c r="AH69" s="59"/>
      <c r="AI69" s="226"/>
      <c r="AJ69" s="69">
        <f t="shared" si="3"/>
        <v>0</v>
      </c>
      <c r="AK69" s="70"/>
      <c r="AL69" s="71"/>
      <c r="AM69" s="278">
        <f t="shared" si="12"/>
        <v>309.74000000000007</v>
      </c>
      <c r="AO69" s="122"/>
      <c r="AP69" s="12">
        <f t="shared" si="19"/>
        <v>2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23.180000000000007</v>
      </c>
    </row>
    <row r="70" spans="1:49" x14ac:dyDescent="0.25">
      <c r="A70" s="122"/>
      <c r="B70" s="12">
        <f t="shared" si="15"/>
        <v>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75.419999999999888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27</v>
      </c>
      <c r="AG70" s="15"/>
      <c r="AH70" s="59"/>
      <c r="AI70" s="226"/>
      <c r="AJ70" s="69">
        <f t="shared" si="3"/>
        <v>0</v>
      </c>
      <c r="AK70" s="70"/>
      <c r="AL70" s="71"/>
      <c r="AM70" s="278">
        <f t="shared" si="12"/>
        <v>309.74000000000007</v>
      </c>
      <c r="AO70" s="122"/>
      <c r="AP70" s="12">
        <f t="shared" si="19"/>
        <v>2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23.180000000000007</v>
      </c>
    </row>
    <row r="71" spans="1:49" x14ac:dyDescent="0.25">
      <c r="A71" s="122"/>
      <c r="B71" s="12">
        <f t="shared" si="15"/>
        <v>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75.419999999999888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27</v>
      </c>
      <c r="AG71" s="15"/>
      <c r="AH71" s="59"/>
      <c r="AI71" s="226"/>
      <c r="AJ71" s="69">
        <f t="shared" si="3"/>
        <v>0</v>
      </c>
      <c r="AK71" s="70"/>
      <c r="AL71" s="71"/>
      <c r="AM71" s="278">
        <f t="shared" si="12"/>
        <v>309.74000000000007</v>
      </c>
      <c r="AO71" s="122"/>
      <c r="AP71" s="12">
        <f t="shared" si="19"/>
        <v>2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23.180000000000007</v>
      </c>
    </row>
    <row r="72" spans="1:49" x14ac:dyDescent="0.25">
      <c r="A72" s="122"/>
      <c r="B72" s="12">
        <f t="shared" si="15"/>
        <v>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75.419999999999888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27</v>
      </c>
      <c r="AG72" s="15"/>
      <c r="AH72" s="59"/>
      <c r="AI72" s="226"/>
      <c r="AJ72" s="69">
        <f t="shared" si="3"/>
        <v>0</v>
      </c>
      <c r="AK72" s="70"/>
      <c r="AL72" s="71"/>
      <c r="AM72" s="278">
        <f t="shared" si="12"/>
        <v>309.74000000000007</v>
      </c>
      <c r="AO72" s="122"/>
      <c r="AP72" s="12">
        <f t="shared" si="19"/>
        <v>2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23.180000000000007</v>
      </c>
    </row>
    <row r="73" spans="1:49" x14ac:dyDescent="0.25">
      <c r="A73" s="122"/>
      <c r="B73" s="12">
        <f t="shared" si="15"/>
        <v>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75.419999999999888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27</v>
      </c>
      <c r="AG73" s="15"/>
      <c r="AH73" s="59"/>
      <c r="AI73" s="226"/>
      <c r="AJ73" s="69">
        <f t="shared" ref="AJ73" si="23">AH73</f>
        <v>0</v>
      </c>
      <c r="AK73" s="70"/>
      <c r="AL73" s="71"/>
      <c r="AM73" s="278">
        <f t="shared" si="12"/>
        <v>309.74000000000007</v>
      </c>
      <c r="AO73" s="122"/>
      <c r="AP73" s="12">
        <f t="shared" si="19"/>
        <v>2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23.180000000000007</v>
      </c>
    </row>
    <row r="74" spans="1:49" x14ac:dyDescent="0.25">
      <c r="A74" s="122"/>
      <c r="B74" s="12">
        <f t="shared" si="15"/>
        <v>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75.419999999999888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27</v>
      </c>
      <c r="AG74" s="15"/>
      <c r="AH74" s="59"/>
      <c r="AI74" s="226"/>
      <c r="AJ74" s="69">
        <f>AH74</f>
        <v>0</v>
      </c>
      <c r="AK74" s="70"/>
      <c r="AL74" s="71"/>
      <c r="AM74" s="278">
        <f t="shared" si="12"/>
        <v>309.74000000000007</v>
      </c>
      <c r="AO74" s="122"/>
      <c r="AP74" s="12">
        <f t="shared" si="19"/>
        <v>2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23.180000000000007</v>
      </c>
    </row>
    <row r="75" spans="1:49" x14ac:dyDescent="0.25">
      <c r="A75" s="122"/>
      <c r="B75" s="12">
        <f t="shared" si="15"/>
        <v>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75.419999999999888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27</v>
      </c>
      <c r="AG75" s="15"/>
      <c r="AH75" s="59"/>
      <c r="AI75" s="226"/>
      <c r="AJ75" s="69">
        <f>AH75</f>
        <v>0</v>
      </c>
      <c r="AK75" s="70"/>
      <c r="AL75" s="71"/>
      <c r="AM75" s="278">
        <f t="shared" ref="AM75:AM76" si="28">AM74-AJ75</f>
        <v>309.74000000000007</v>
      </c>
      <c r="AO75" s="122"/>
      <c r="AP75" s="12">
        <f t="shared" si="19"/>
        <v>2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23.180000000000007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75.419999999999888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278">
        <f t="shared" si="28"/>
        <v>309.74000000000007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23.180000000000007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92</v>
      </c>
      <c r="AH78" s="6">
        <f>SUM(AH9:AH77)</f>
        <v>1097.6299999999999</v>
      </c>
      <c r="AJ78" s="6">
        <f>SUM(AJ9:AJ77)</f>
        <v>1097.6299999999999</v>
      </c>
      <c r="AQ78" s="53">
        <f>SUM(AQ9:AQ77)</f>
        <v>15</v>
      </c>
      <c r="AR78" s="6">
        <f>SUM(AR9:AR77)</f>
        <v>181.41</v>
      </c>
      <c r="AT78" s="6">
        <f>SUM(AT9:AT77)</f>
        <v>181.41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27</v>
      </c>
      <c r="AR81" s="45" t="s">
        <v>4</v>
      </c>
      <c r="AS81" s="56">
        <f>AT5+AT6-AQ78+AT7</f>
        <v>2</v>
      </c>
    </row>
    <row r="82" spans="3:48" ht="15.75" thickBot="1" x14ac:dyDescent="0.3"/>
    <row r="83" spans="3:48" ht="15.75" thickBot="1" x14ac:dyDescent="0.3">
      <c r="C83" s="1233" t="s">
        <v>11</v>
      </c>
      <c r="D83" s="1234"/>
      <c r="E83" s="57">
        <f>E5+E6-F78+E7</f>
        <v>-21.6400000000001</v>
      </c>
      <c r="F83" s="73"/>
      <c r="M83" s="1233" t="s">
        <v>11</v>
      </c>
      <c r="N83" s="1234"/>
      <c r="O83" s="57">
        <f>O5+O6-P78+O7</f>
        <v>61.359999999999957</v>
      </c>
      <c r="P83" s="73"/>
      <c r="W83" s="1233" t="s">
        <v>11</v>
      </c>
      <c r="X83" s="1234"/>
      <c r="Y83" s="57">
        <f>Y5+Y6-Z78+Y7</f>
        <v>0</v>
      </c>
      <c r="Z83" s="73"/>
      <c r="AG83" s="1233" t="s">
        <v>11</v>
      </c>
      <c r="AH83" s="1234"/>
      <c r="AI83" s="57">
        <f>AI5+AI6-AJ78+AI7</f>
        <v>309.74000000000024</v>
      </c>
      <c r="AJ83" s="73"/>
      <c r="AQ83" s="1233" t="s">
        <v>11</v>
      </c>
      <c r="AR83" s="1234"/>
      <c r="AS83" s="57">
        <f>AS5+AS6-AT78+AS7</f>
        <v>23.180000000000007</v>
      </c>
      <c r="AT83" s="73"/>
    </row>
    <row r="86" spans="3:48" x14ac:dyDescent="0.25">
      <c r="K86" s="253"/>
      <c r="L86" s="1220"/>
      <c r="M86" s="751"/>
      <c r="N86" s="277"/>
      <c r="O86" s="262"/>
      <c r="P86" s="256"/>
      <c r="Q86" s="263"/>
      <c r="R86" s="243"/>
      <c r="AO86" s="253"/>
      <c r="AP86" s="1220"/>
      <c r="AQ86" s="751"/>
      <c r="AR86" s="277"/>
      <c r="AS86" s="262"/>
      <c r="AT86" s="256"/>
      <c r="AU86" s="263"/>
      <c r="AV86" s="243"/>
    </row>
    <row r="87" spans="3:48" x14ac:dyDescent="0.25">
      <c r="K87" s="253"/>
      <c r="L87" s="1220"/>
      <c r="M87" s="570"/>
      <c r="N87" s="251"/>
      <c r="O87" s="270"/>
      <c r="P87" s="256"/>
      <c r="Q87" s="265"/>
      <c r="R87" s="243"/>
      <c r="AO87" s="253"/>
      <c r="AP87" s="1220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1"/>
      <c r="N88" s="251"/>
      <c r="O88" s="768"/>
      <c r="P88" s="297"/>
      <c r="Q88" s="243"/>
      <c r="R88" s="243"/>
      <c r="AO88" s="243"/>
      <c r="AP88" s="275"/>
      <c r="AQ88" s="751"/>
      <c r="AR88" s="251"/>
      <c r="AS88" s="768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1:G1"/>
    <mergeCell ref="B5:B6"/>
    <mergeCell ref="C83:D83"/>
    <mergeCell ref="U1:AA1"/>
    <mergeCell ref="V5:V6"/>
    <mergeCell ref="W83:X83"/>
    <mergeCell ref="K1:Q1"/>
    <mergeCell ref="L5:L6"/>
    <mergeCell ref="M83:N83"/>
    <mergeCell ref="AO1:AU1"/>
    <mergeCell ref="AP5:AP6"/>
    <mergeCell ref="AQ83:AR83"/>
    <mergeCell ref="AP86:AP87"/>
    <mergeCell ref="L86:L87"/>
    <mergeCell ref="AE1:AK1"/>
    <mergeCell ref="AF5:AF6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57"/>
      <c r="B5" s="1299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58"/>
      <c r="B6" s="1300"/>
      <c r="C6" s="250"/>
      <c r="D6" s="314"/>
      <c r="E6" s="317"/>
      <c r="F6" s="318"/>
      <c r="G6" s="243"/>
      <c r="I6" s="1297" t="s">
        <v>3</v>
      </c>
      <c r="J6" s="129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291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48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48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48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35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1" t="s">
        <v>11</v>
      </c>
      <c r="D33" s="1262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1"/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301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302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303"/>
      <c r="C6" s="250"/>
      <c r="D6" s="248"/>
      <c r="E6" s="450"/>
      <c r="F6" s="271"/>
      <c r="G6" s="243"/>
      <c r="H6" s="243"/>
      <c r="I6" s="1297" t="s">
        <v>3</v>
      </c>
      <c r="J6" s="129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8"/>
      <c r="J7" s="1304"/>
    </row>
    <row r="8" spans="1:10" ht="15.75" thickTop="1" x14ac:dyDescent="0.25">
      <c r="A8" s="80" t="s">
        <v>32</v>
      </c>
      <c r="B8" s="621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1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1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1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1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1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1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1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1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1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1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1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1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1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1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1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1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1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1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1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1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1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1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1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89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1" t="s">
        <v>11</v>
      </c>
      <c r="D36" s="1262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1" t="s">
        <v>247</v>
      </c>
      <c r="B1" s="1221"/>
      <c r="C1" s="1221"/>
      <c r="D1" s="1221"/>
      <c r="E1" s="1221"/>
      <c r="F1" s="1221"/>
      <c r="G1" s="1221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6"/>
      <c r="H4" s="155"/>
      <c r="I4" s="580"/>
    </row>
    <row r="5" spans="1:10" ht="15" customHeight="1" x14ac:dyDescent="0.25">
      <c r="A5" s="974"/>
      <c r="B5" s="1305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504.88</v>
      </c>
      <c r="H5" s="140">
        <f>E5-G5</f>
        <v>0</v>
      </c>
      <c r="I5" s="577"/>
    </row>
    <row r="6" spans="1:10" ht="15.75" thickBot="1" x14ac:dyDescent="0.3">
      <c r="A6" s="253" t="s">
        <v>54</v>
      </c>
      <c r="B6" s="1306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4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52"/>
      <c r="B9" s="197">
        <f>F4+F5+F6-C9+F7</f>
        <v>139</v>
      </c>
      <c r="C9" s="15">
        <v>2</v>
      </c>
      <c r="D9" s="69">
        <v>59.71</v>
      </c>
      <c r="E9" s="339">
        <v>44676</v>
      </c>
      <c r="F9" s="282">
        <f>D9</f>
        <v>59.71</v>
      </c>
      <c r="G9" s="70" t="s">
        <v>569</v>
      </c>
      <c r="H9" s="71">
        <v>70</v>
      </c>
      <c r="I9" s="573">
        <f>E4+E5+E6-F9+E7</f>
        <v>3854.52</v>
      </c>
      <c r="J9" s="60">
        <f>H9*F9</f>
        <v>4179.7</v>
      </c>
    </row>
    <row r="10" spans="1:10" x14ac:dyDescent="0.25">
      <c r="A10" s="245"/>
      <c r="B10" s="197">
        <f>B9-C10</f>
        <v>135</v>
      </c>
      <c r="C10" s="15">
        <v>4</v>
      </c>
      <c r="D10" s="69">
        <v>117.35</v>
      </c>
      <c r="E10" s="499">
        <v>44676</v>
      </c>
      <c r="F10" s="282">
        <f t="shared" ref="F10:F29" si="0">D10</f>
        <v>117.35</v>
      </c>
      <c r="G10" s="268" t="s">
        <v>556</v>
      </c>
      <c r="H10" s="269">
        <v>70</v>
      </c>
      <c r="I10" s="325">
        <f>I9-F10</f>
        <v>3737.17</v>
      </c>
      <c r="J10" s="60">
        <f t="shared" ref="J10:J28" si="1">H10*F10</f>
        <v>8214.5</v>
      </c>
    </row>
    <row r="11" spans="1:10" x14ac:dyDescent="0.25">
      <c r="A11" s="245"/>
      <c r="B11" s="197">
        <f t="shared" ref="B11:B29" si="2">B10-C11</f>
        <v>124</v>
      </c>
      <c r="C11" s="15">
        <v>11</v>
      </c>
      <c r="D11" s="69">
        <v>327.82</v>
      </c>
      <c r="E11" s="499">
        <v>44677</v>
      </c>
      <c r="F11" s="282">
        <f t="shared" si="0"/>
        <v>327.82</v>
      </c>
      <c r="G11" s="268" t="s">
        <v>581</v>
      </c>
      <c r="H11" s="269">
        <v>70</v>
      </c>
      <c r="I11" s="325">
        <f t="shared" ref="I11:I27" si="3">I10-F11</f>
        <v>3409.35</v>
      </c>
      <c r="J11" s="60">
        <f t="shared" si="1"/>
        <v>22947.399999999998</v>
      </c>
    </row>
    <row r="12" spans="1:10" x14ac:dyDescent="0.25">
      <c r="A12" s="952"/>
      <c r="B12" s="197">
        <f t="shared" si="2"/>
        <v>124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3409.35</v>
      </c>
      <c r="J12" s="60">
        <f t="shared" si="1"/>
        <v>0</v>
      </c>
    </row>
    <row r="13" spans="1:10" x14ac:dyDescent="0.25">
      <c r="A13" s="245"/>
      <c r="B13" s="197">
        <f t="shared" si="2"/>
        <v>124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3409.35</v>
      </c>
      <c r="J13" s="304">
        <f t="shared" si="1"/>
        <v>0</v>
      </c>
    </row>
    <row r="14" spans="1:10" x14ac:dyDescent="0.25">
      <c r="A14" s="245"/>
      <c r="B14" s="197">
        <f t="shared" si="2"/>
        <v>124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3409.35</v>
      </c>
      <c r="J14" s="304">
        <f t="shared" si="1"/>
        <v>0</v>
      </c>
    </row>
    <row r="15" spans="1:10" x14ac:dyDescent="0.25">
      <c r="A15" s="245"/>
      <c r="B15" s="197">
        <f t="shared" si="2"/>
        <v>124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3409.35</v>
      </c>
      <c r="J15" s="304">
        <f t="shared" si="1"/>
        <v>0</v>
      </c>
    </row>
    <row r="16" spans="1:10" x14ac:dyDescent="0.25">
      <c r="A16" s="245"/>
      <c r="B16" s="197">
        <f t="shared" si="2"/>
        <v>124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3409.35</v>
      </c>
      <c r="J16" s="304">
        <f t="shared" si="1"/>
        <v>0</v>
      </c>
    </row>
    <row r="17" spans="1:10" x14ac:dyDescent="0.25">
      <c r="A17" s="245"/>
      <c r="B17" s="197">
        <f t="shared" si="2"/>
        <v>124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3409.35</v>
      </c>
      <c r="J17" s="304">
        <f t="shared" si="1"/>
        <v>0</v>
      </c>
    </row>
    <row r="18" spans="1:10" x14ac:dyDescent="0.25">
      <c r="A18" s="245"/>
      <c r="B18" s="197">
        <f t="shared" si="2"/>
        <v>124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3409.35</v>
      </c>
      <c r="J18" s="304">
        <f t="shared" si="1"/>
        <v>0</v>
      </c>
    </row>
    <row r="19" spans="1:10" x14ac:dyDescent="0.25">
      <c r="A19" s="245"/>
      <c r="B19" s="197">
        <f t="shared" si="2"/>
        <v>124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3409.35</v>
      </c>
      <c r="J19" s="304">
        <f t="shared" si="1"/>
        <v>0</v>
      </c>
    </row>
    <row r="20" spans="1:10" x14ac:dyDescent="0.25">
      <c r="A20" s="75"/>
      <c r="B20" s="197">
        <f t="shared" si="2"/>
        <v>124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3409.35</v>
      </c>
      <c r="J20" s="304">
        <f t="shared" si="1"/>
        <v>0</v>
      </c>
    </row>
    <row r="21" spans="1:10" x14ac:dyDescent="0.25">
      <c r="A21" s="75"/>
      <c r="B21" s="197">
        <f t="shared" si="2"/>
        <v>124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3409.35</v>
      </c>
      <c r="J21" s="60">
        <f t="shared" si="1"/>
        <v>0</v>
      </c>
    </row>
    <row r="22" spans="1:10" x14ac:dyDescent="0.25">
      <c r="A22" s="75"/>
      <c r="B22" s="197">
        <f t="shared" si="2"/>
        <v>124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3409.35</v>
      </c>
      <c r="J22" s="60">
        <f t="shared" si="1"/>
        <v>0</v>
      </c>
    </row>
    <row r="23" spans="1:10" x14ac:dyDescent="0.25">
      <c r="A23" s="19"/>
      <c r="B23" s="197">
        <f t="shared" si="2"/>
        <v>124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3409.35</v>
      </c>
      <c r="J23" s="60">
        <f t="shared" si="1"/>
        <v>0</v>
      </c>
    </row>
    <row r="24" spans="1:10" x14ac:dyDescent="0.25">
      <c r="A24" s="19"/>
      <c r="B24" s="197">
        <f t="shared" si="2"/>
        <v>124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3409.35</v>
      </c>
      <c r="J24" s="60">
        <f t="shared" si="1"/>
        <v>0</v>
      </c>
    </row>
    <row r="25" spans="1:10" x14ac:dyDescent="0.25">
      <c r="A25" s="19"/>
      <c r="B25" s="197">
        <f t="shared" si="2"/>
        <v>124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3409.35</v>
      </c>
      <c r="J25" s="60">
        <f t="shared" si="1"/>
        <v>0</v>
      </c>
    </row>
    <row r="26" spans="1:10" x14ac:dyDescent="0.25">
      <c r="A26" s="19"/>
      <c r="B26" s="197">
        <f t="shared" si="2"/>
        <v>124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3409.35</v>
      </c>
      <c r="J26" s="60">
        <f t="shared" si="1"/>
        <v>0</v>
      </c>
    </row>
    <row r="27" spans="1:10" x14ac:dyDescent="0.25">
      <c r="A27" s="19"/>
      <c r="B27" s="197">
        <f t="shared" si="2"/>
        <v>124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3409.35</v>
      </c>
      <c r="J27" s="60">
        <f t="shared" si="1"/>
        <v>0</v>
      </c>
    </row>
    <row r="28" spans="1:10" x14ac:dyDescent="0.25">
      <c r="B28" s="197">
        <f t="shared" si="2"/>
        <v>124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124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6"/>
      <c r="F30" s="105">
        <f>SUM(F9:F29)</f>
        <v>504.88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26" t="s">
        <v>21</v>
      </c>
      <c r="E32" s="1227"/>
      <c r="F32" s="143">
        <f>G5-F30</f>
        <v>0</v>
      </c>
    </row>
    <row r="33" spans="1:6" ht="15.75" thickBot="1" x14ac:dyDescent="0.3">
      <c r="A33" s="125"/>
      <c r="D33" s="814" t="s">
        <v>4</v>
      </c>
      <c r="E33" s="815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220"/>
      <c r="B5" s="1224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220"/>
      <c r="B6" s="1224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58"/>
      <c r="B10" s="197">
        <f>B9-C10</f>
        <v>0</v>
      </c>
      <c r="C10" s="266"/>
      <c r="D10" s="267"/>
      <c r="E10" s="748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48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48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48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48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7"/>
      <c r="D15" s="267"/>
      <c r="E15" s="748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48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48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7"/>
      <c r="D18" s="267"/>
      <c r="E18" s="748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48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48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48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48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48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48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3" t="s">
        <v>11</v>
      </c>
      <c r="D60" s="123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20" sqref="H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31" t="s">
        <v>242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34" t="s">
        <v>54</v>
      </c>
      <c r="B4" s="753"/>
      <c r="C4" s="128">
        <v>26</v>
      </c>
      <c r="D4" s="137">
        <v>44650</v>
      </c>
      <c r="E4" s="86">
        <v>188.81</v>
      </c>
      <c r="F4" s="73">
        <v>7</v>
      </c>
      <c r="G4" s="957"/>
    </row>
    <row r="5" spans="1:9" x14ac:dyDescent="0.25">
      <c r="A5" s="1309"/>
      <c r="B5" s="1307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1249.8</v>
      </c>
      <c r="H5" s="140">
        <f>E5-G5+E4+E6+E7+E8</f>
        <v>1371.17</v>
      </c>
    </row>
    <row r="6" spans="1:9" ht="16.5" thickBot="1" x14ac:dyDescent="0.3">
      <c r="A6" s="1135"/>
      <c r="B6" s="1308"/>
      <c r="C6" s="948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27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993"/>
      <c r="B10" s="287">
        <f>F4+F5+F6+F7+F8-C10</f>
        <v>82</v>
      </c>
      <c r="C10" s="15">
        <v>7</v>
      </c>
      <c r="D10" s="92">
        <v>188.81</v>
      </c>
      <c r="E10" s="909">
        <v>44650</v>
      </c>
      <c r="F10" s="859">
        <f>D10</f>
        <v>188.81</v>
      </c>
      <c r="G10" s="860" t="s">
        <v>338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3">
        <v>2</v>
      </c>
      <c r="D11" s="435">
        <v>59.54</v>
      </c>
      <c r="E11" s="911">
        <v>44665</v>
      </c>
      <c r="F11" s="910">
        <f t="shared" ref="F11:F41" si="0">D11</f>
        <v>59.54</v>
      </c>
      <c r="G11" s="912" t="s">
        <v>454</v>
      </c>
      <c r="H11" s="913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3">
        <v>11</v>
      </c>
      <c r="D12" s="435">
        <v>324.41000000000003</v>
      </c>
      <c r="E12" s="911">
        <v>44665</v>
      </c>
      <c r="F12" s="910">
        <f t="shared" si="0"/>
        <v>324.41000000000003</v>
      </c>
      <c r="G12" s="912" t="s">
        <v>461</v>
      </c>
      <c r="H12" s="913">
        <v>34</v>
      </c>
      <c r="I12" s="273">
        <f t="shared" ref="I12:I13" si="2">I11-F12</f>
        <v>2048.21</v>
      </c>
    </row>
    <row r="13" spans="1:9" x14ac:dyDescent="0.25">
      <c r="A13" s="993"/>
      <c r="B13" s="461">
        <f t="shared" si="1"/>
        <v>65</v>
      </c>
      <c r="C13" s="434">
        <v>4</v>
      </c>
      <c r="D13" s="574">
        <v>117.4</v>
      </c>
      <c r="E13" s="911">
        <v>44676</v>
      </c>
      <c r="F13" s="910">
        <f t="shared" si="0"/>
        <v>117.4</v>
      </c>
      <c r="G13" s="912" t="s">
        <v>556</v>
      </c>
      <c r="H13" s="913">
        <v>34</v>
      </c>
      <c r="I13" s="273">
        <f t="shared" si="2"/>
        <v>1930.81</v>
      </c>
    </row>
    <row r="14" spans="1:9" x14ac:dyDescent="0.25">
      <c r="A14" s="245"/>
      <c r="B14" s="461">
        <f t="shared" si="1"/>
        <v>64</v>
      </c>
      <c r="C14" s="434">
        <v>1</v>
      </c>
      <c r="D14" s="574">
        <v>30.33</v>
      </c>
      <c r="E14" s="911">
        <v>44676</v>
      </c>
      <c r="F14" s="910">
        <f t="shared" si="0"/>
        <v>30.33</v>
      </c>
      <c r="G14" s="912" t="s">
        <v>571</v>
      </c>
      <c r="H14" s="913">
        <v>34</v>
      </c>
      <c r="I14" s="273">
        <f>I13-F14</f>
        <v>1900.48</v>
      </c>
    </row>
    <row r="15" spans="1:9" x14ac:dyDescent="0.25">
      <c r="A15" s="245"/>
      <c r="B15" s="461">
        <f t="shared" si="1"/>
        <v>63</v>
      </c>
      <c r="C15" s="434">
        <v>1</v>
      </c>
      <c r="D15" s="574">
        <v>29.46</v>
      </c>
      <c r="E15" s="911">
        <v>44676</v>
      </c>
      <c r="F15" s="910">
        <f t="shared" si="0"/>
        <v>29.46</v>
      </c>
      <c r="G15" s="912" t="s">
        <v>572</v>
      </c>
      <c r="H15" s="913">
        <v>34</v>
      </c>
      <c r="I15" s="273">
        <f t="shared" ref="I15:I41" si="3">I14-F15</f>
        <v>1871.02</v>
      </c>
    </row>
    <row r="16" spans="1:9" x14ac:dyDescent="0.25">
      <c r="A16" s="243"/>
      <c r="B16" s="461">
        <f t="shared" si="1"/>
        <v>59</v>
      </c>
      <c r="C16" s="434">
        <v>4</v>
      </c>
      <c r="D16" s="574">
        <v>121.88</v>
      </c>
      <c r="E16" s="911">
        <v>44677</v>
      </c>
      <c r="F16" s="910">
        <f t="shared" si="0"/>
        <v>121.88</v>
      </c>
      <c r="G16" s="912" t="s">
        <v>574</v>
      </c>
      <c r="H16" s="913">
        <v>35</v>
      </c>
      <c r="I16" s="273">
        <f t="shared" si="3"/>
        <v>1749.1399999999999</v>
      </c>
    </row>
    <row r="17" spans="1:9" x14ac:dyDescent="0.25">
      <c r="A17" s="243"/>
      <c r="B17" s="461">
        <f t="shared" si="1"/>
        <v>57</v>
      </c>
      <c r="C17" s="434">
        <v>2</v>
      </c>
      <c r="D17" s="574">
        <v>53.93</v>
      </c>
      <c r="E17" s="911">
        <v>44678</v>
      </c>
      <c r="F17" s="910">
        <f t="shared" si="0"/>
        <v>53.93</v>
      </c>
      <c r="G17" s="912" t="s">
        <v>557</v>
      </c>
      <c r="H17" s="913">
        <v>34</v>
      </c>
      <c r="I17" s="273">
        <f t="shared" si="3"/>
        <v>1695.2099999999998</v>
      </c>
    </row>
    <row r="18" spans="1:9" x14ac:dyDescent="0.25">
      <c r="A18" s="243"/>
      <c r="B18" s="461">
        <f t="shared" si="1"/>
        <v>53</v>
      </c>
      <c r="C18" s="434">
        <v>4</v>
      </c>
      <c r="D18" s="574">
        <v>118.23</v>
      </c>
      <c r="E18" s="911">
        <v>44679</v>
      </c>
      <c r="F18" s="910">
        <f t="shared" si="0"/>
        <v>118.23</v>
      </c>
      <c r="G18" s="912" t="s">
        <v>590</v>
      </c>
      <c r="H18" s="913">
        <v>34</v>
      </c>
      <c r="I18" s="273">
        <f t="shared" si="3"/>
        <v>1576.9799999999998</v>
      </c>
    </row>
    <row r="19" spans="1:9" x14ac:dyDescent="0.25">
      <c r="A19" s="243"/>
      <c r="B19" s="461">
        <f t="shared" si="1"/>
        <v>46</v>
      </c>
      <c r="C19" s="434">
        <v>7</v>
      </c>
      <c r="D19" s="574">
        <v>205.81</v>
      </c>
      <c r="E19" s="911">
        <v>44681</v>
      </c>
      <c r="F19" s="910">
        <f t="shared" si="0"/>
        <v>205.81</v>
      </c>
      <c r="G19" s="912" t="s">
        <v>603</v>
      </c>
      <c r="H19" s="913">
        <v>34</v>
      </c>
      <c r="I19" s="273">
        <f t="shared" si="3"/>
        <v>1371.1699999999998</v>
      </c>
    </row>
    <row r="20" spans="1:9" x14ac:dyDescent="0.25">
      <c r="A20" s="243"/>
      <c r="B20" s="461">
        <f t="shared" si="1"/>
        <v>46</v>
      </c>
      <c r="C20" s="434"/>
      <c r="D20" s="574"/>
      <c r="E20" s="911"/>
      <c r="F20" s="910">
        <f t="shared" si="0"/>
        <v>0</v>
      </c>
      <c r="G20" s="912"/>
      <c r="H20" s="913"/>
      <c r="I20" s="273">
        <f t="shared" si="3"/>
        <v>1371.1699999999998</v>
      </c>
    </row>
    <row r="21" spans="1:9" x14ac:dyDescent="0.25">
      <c r="A21" s="243"/>
      <c r="B21" s="461">
        <f t="shared" si="1"/>
        <v>46</v>
      </c>
      <c r="C21" s="434"/>
      <c r="D21" s="574"/>
      <c r="E21" s="911"/>
      <c r="F21" s="910">
        <f t="shared" si="0"/>
        <v>0</v>
      </c>
      <c r="G21" s="914"/>
      <c r="H21" s="915"/>
      <c r="I21" s="132">
        <f t="shared" si="3"/>
        <v>1371.1699999999998</v>
      </c>
    </row>
    <row r="22" spans="1:9" x14ac:dyDescent="0.25">
      <c r="A22" s="243"/>
      <c r="B22" s="461">
        <f t="shared" si="1"/>
        <v>46</v>
      </c>
      <c r="C22" s="434"/>
      <c r="D22" s="574"/>
      <c r="E22" s="911"/>
      <c r="F22" s="910">
        <f t="shared" si="0"/>
        <v>0</v>
      </c>
      <c r="G22" s="914"/>
      <c r="H22" s="915"/>
      <c r="I22" s="132">
        <f t="shared" si="3"/>
        <v>1371.1699999999998</v>
      </c>
    </row>
    <row r="23" spans="1:9" x14ac:dyDescent="0.25">
      <c r="A23" s="243"/>
      <c r="B23" s="461">
        <f t="shared" si="1"/>
        <v>46</v>
      </c>
      <c r="C23" s="434"/>
      <c r="D23" s="574"/>
      <c r="E23" s="911"/>
      <c r="F23" s="910">
        <f t="shared" si="0"/>
        <v>0</v>
      </c>
      <c r="G23" s="914"/>
      <c r="H23" s="915"/>
      <c r="I23" s="132">
        <f t="shared" si="3"/>
        <v>1371.1699999999998</v>
      </c>
    </row>
    <row r="24" spans="1:9" x14ac:dyDescent="0.25">
      <c r="A24" s="243"/>
      <c r="B24" s="461">
        <f t="shared" si="1"/>
        <v>46</v>
      </c>
      <c r="C24" s="434"/>
      <c r="D24" s="574"/>
      <c r="E24" s="911"/>
      <c r="F24" s="910">
        <f t="shared" si="0"/>
        <v>0</v>
      </c>
      <c r="G24" s="914"/>
      <c r="H24" s="915"/>
      <c r="I24" s="132">
        <f t="shared" si="3"/>
        <v>1371.1699999999998</v>
      </c>
    </row>
    <row r="25" spans="1:9" x14ac:dyDescent="0.25">
      <c r="A25" s="243"/>
      <c r="B25" s="461">
        <f t="shared" si="1"/>
        <v>46</v>
      </c>
      <c r="C25" s="434"/>
      <c r="D25" s="574"/>
      <c r="E25" s="911"/>
      <c r="F25" s="910">
        <f t="shared" si="0"/>
        <v>0</v>
      </c>
      <c r="G25" s="914"/>
      <c r="H25" s="915"/>
      <c r="I25" s="132">
        <f t="shared" si="3"/>
        <v>1371.1699999999998</v>
      </c>
    </row>
    <row r="26" spans="1:9" x14ac:dyDescent="0.25">
      <c r="B26" s="461">
        <f t="shared" si="1"/>
        <v>46</v>
      </c>
      <c r="C26" s="434"/>
      <c r="D26" s="574"/>
      <c r="E26" s="911"/>
      <c r="F26" s="910">
        <f t="shared" si="0"/>
        <v>0</v>
      </c>
      <c r="G26" s="914"/>
      <c r="H26" s="915"/>
      <c r="I26" s="132">
        <f t="shared" si="3"/>
        <v>1371.1699999999998</v>
      </c>
    </row>
    <row r="27" spans="1:9" x14ac:dyDescent="0.25">
      <c r="B27" s="461">
        <f t="shared" si="1"/>
        <v>46</v>
      </c>
      <c r="C27" s="434"/>
      <c r="D27" s="574"/>
      <c r="E27" s="911"/>
      <c r="F27" s="910">
        <f t="shared" si="0"/>
        <v>0</v>
      </c>
      <c r="G27" s="914"/>
      <c r="H27" s="916"/>
      <c r="I27" s="132">
        <f t="shared" si="3"/>
        <v>1371.1699999999998</v>
      </c>
    </row>
    <row r="28" spans="1:9" x14ac:dyDescent="0.25">
      <c r="B28" s="461">
        <f t="shared" si="1"/>
        <v>46</v>
      </c>
      <c r="C28" s="434"/>
      <c r="D28" s="574"/>
      <c r="E28" s="911"/>
      <c r="F28" s="910">
        <f t="shared" si="0"/>
        <v>0</v>
      </c>
      <c r="G28" s="914"/>
      <c r="H28" s="916"/>
      <c r="I28" s="132">
        <f t="shared" si="3"/>
        <v>1371.1699999999998</v>
      </c>
    </row>
    <row r="29" spans="1:9" x14ac:dyDescent="0.25">
      <c r="B29" s="461">
        <f t="shared" si="1"/>
        <v>46</v>
      </c>
      <c r="C29" s="434"/>
      <c r="D29" s="574"/>
      <c r="E29" s="911"/>
      <c r="F29" s="910">
        <f t="shared" si="0"/>
        <v>0</v>
      </c>
      <c r="G29" s="914"/>
      <c r="H29" s="916"/>
      <c r="I29" s="132">
        <f t="shared" si="3"/>
        <v>1371.1699999999998</v>
      </c>
    </row>
    <row r="30" spans="1:9" x14ac:dyDescent="0.25">
      <c r="B30" s="461">
        <f t="shared" si="1"/>
        <v>46</v>
      </c>
      <c r="C30" s="434"/>
      <c r="D30" s="574"/>
      <c r="E30" s="911"/>
      <c r="F30" s="910">
        <f t="shared" si="0"/>
        <v>0</v>
      </c>
      <c r="G30" s="914"/>
      <c r="H30" s="916"/>
      <c r="I30" s="132">
        <f t="shared" si="3"/>
        <v>1371.1699999999998</v>
      </c>
    </row>
    <row r="31" spans="1:9" x14ac:dyDescent="0.25">
      <c r="B31" s="461">
        <f t="shared" si="1"/>
        <v>46</v>
      </c>
      <c r="C31" s="434"/>
      <c r="D31" s="574"/>
      <c r="E31" s="917"/>
      <c r="F31" s="910">
        <f t="shared" si="0"/>
        <v>0</v>
      </c>
      <c r="G31" s="918"/>
      <c r="H31" s="916"/>
      <c r="I31" s="132">
        <f t="shared" si="3"/>
        <v>1371.1699999999998</v>
      </c>
    </row>
    <row r="32" spans="1:9" x14ac:dyDescent="0.25">
      <c r="B32" s="461">
        <f t="shared" si="1"/>
        <v>46</v>
      </c>
      <c r="C32" s="434"/>
      <c r="D32" s="574"/>
      <c r="E32" s="917"/>
      <c r="F32" s="910">
        <f t="shared" si="0"/>
        <v>0</v>
      </c>
      <c r="G32" s="918"/>
      <c r="H32" s="916"/>
      <c r="I32" s="132">
        <f t="shared" si="3"/>
        <v>1371.1699999999998</v>
      </c>
    </row>
    <row r="33" spans="2:9" x14ac:dyDescent="0.25">
      <c r="B33" s="461">
        <f t="shared" si="1"/>
        <v>46</v>
      </c>
      <c r="C33" s="434"/>
      <c r="D33" s="574"/>
      <c r="E33" s="917"/>
      <c r="F33" s="910">
        <f t="shared" si="0"/>
        <v>0</v>
      </c>
      <c r="G33" s="918"/>
      <c r="H33" s="916"/>
      <c r="I33" s="132">
        <f t="shared" si="3"/>
        <v>1371.1699999999998</v>
      </c>
    </row>
    <row r="34" spans="2:9" x14ac:dyDescent="0.25">
      <c r="B34" s="461">
        <f t="shared" si="1"/>
        <v>46</v>
      </c>
      <c r="C34" s="434"/>
      <c r="D34" s="574"/>
      <c r="E34" s="917"/>
      <c r="F34" s="910">
        <f t="shared" si="0"/>
        <v>0</v>
      </c>
      <c r="G34" s="918"/>
      <c r="H34" s="916"/>
      <c r="I34" s="132">
        <f t="shared" si="3"/>
        <v>1371.1699999999998</v>
      </c>
    </row>
    <row r="35" spans="2:9" x14ac:dyDescent="0.25">
      <c r="B35" s="461">
        <f t="shared" si="1"/>
        <v>46</v>
      </c>
      <c r="C35" s="434"/>
      <c r="D35" s="574"/>
      <c r="E35" s="917"/>
      <c r="F35" s="910">
        <f t="shared" si="0"/>
        <v>0</v>
      </c>
      <c r="G35" s="918"/>
      <c r="H35" s="916"/>
      <c r="I35" s="132">
        <f t="shared" si="3"/>
        <v>1371.1699999999998</v>
      </c>
    </row>
    <row r="36" spans="2:9" x14ac:dyDescent="0.25">
      <c r="B36" s="461">
        <f t="shared" si="1"/>
        <v>46</v>
      </c>
      <c r="C36" s="434"/>
      <c r="D36" s="574"/>
      <c r="E36" s="917"/>
      <c r="F36" s="910">
        <f t="shared" si="0"/>
        <v>0</v>
      </c>
      <c r="G36" s="918"/>
      <c r="H36" s="916"/>
      <c r="I36" s="132">
        <f t="shared" si="3"/>
        <v>1371.1699999999998</v>
      </c>
    </row>
    <row r="37" spans="2:9" x14ac:dyDescent="0.25">
      <c r="B37" s="461">
        <f t="shared" si="1"/>
        <v>46</v>
      </c>
      <c r="C37" s="434"/>
      <c r="D37" s="574"/>
      <c r="E37" s="917"/>
      <c r="F37" s="910">
        <f t="shared" si="0"/>
        <v>0</v>
      </c>
      <c r="G37" s="918"/>
      <c r="H37" s="916"/>
      <c r="I37" s="132">
        <f t="shared" si="3"/>
        <v>1371.1699999999998</v>
      </c>
    </row>
    <row r="38" spans="2:9" x14ac:dyDescent="0.25">
      <c r="B38" s="461">
        <f t="shared" si="1"/>
        <v>46</v>
      </c>
      <c r="C38" s="434"/>
      <c r="D38" s="574"/>
      <c r="E38" s="917"/>
      <c r="F38" s="910">
        <f t="shared" si="0"/>
        <v>0</v>
      </c>
      <c r="G38" s="918"/>
      <c r="H38" s="916"/>
      <c r="I38" s="132">
        <f t="shared" si="3"/>
        <v>1371.1699999999998</v>
      </c>
    </row>
    <row r="39" spans="2:9" x14ac:dyDescent="0.25">
      <c r="B39" s="461">
        <f t="shared" si="1"/>
        <v>46</v>
      </c>
      <c r="C39" s="434"/>
      <c r="D39" s="574"/>
      <c r="E39" s="917"/>
      <c r="F39" s="910">
        <f t="shared" si="0"/>
        <v>0</v>
      </c>
      <c r="G39" s="918"/>
      <c r="H39" s="916"/>
      <c r="I39" s="132">
        <f t="shared" si="3"/>
        <v>1371.1699999999998</v>
      </c>
    </row>
    <row r="40" spans="2:9" x14ac:dyDescent="0.25">
      <c r="B40" s="461">
        <f t="shared" si="1"/>
        <v>46</v>
      </c>
      <c r="C40" s="434"/>
      <c r="D40" s="574"/>
      <c r="E40" s="917"/>
      <c r="F40" s="910">
        <f t="shared" si="0"/>
        <v>0</v>
      </c>
      <c r="G40" s="918"/>
      <c r="H40" s="916"/>
      <c r="I40" s="132">
        <f t="shared" si="3"/>
        <v>1371.1699999999998</v>
      </c>
    </row>
    <row r="41" spans="2:9" x14ac:dyDescent="0.25">
      <c r="B41" s="461">
        <f t="shared" si="1"/>
        <v>46</v>
      </c>
      <c r="C41" s="434"/>
      <c r="D41" s="574"/>
      <c r="E41" s="919"/>
      <c r="F41" s="910">
        <f t="shared" si="0"/>
        <v>0</v>
      </c>
      <c r="G41" s="920"/>
      <c r="H41" s="920"/>
      <c r="I41" s="132">
        <f t="shared" si="3"/>
        <v>1371.1699999999998</v>
      </c>
    </row>
    <row r="42" spans="2:9" x14ac:dyDescent="0.25">
      <c r="B42" s="461"/>
      <c r="C42" s="434"/>
      <c r="D42" s="574"/>
      <c r="E42" s="919"/>
      <c r="F42" s="910"/>
      <c r="G42" s="920"/>
      <c r="H42" s="920"/>
      <c r="I42" s="132"/>
    </row>
    <row r="43" spans="2:9" x14ac:dyDescent="0.25">
      <c r="B43" s="461"/>
      <c r="C43" s="434"/>
      <c r="D43" s="574"/>
      <c r="E43" s="919"/>
      <c r="F43" s="910"/>
      <c r="G43" s="920"/>
      <c r="H43" s="920"/>
      <c r="I43" s="132"/>
    </row>
    <row r="44" spans="2:9" x14ac:dyDescent="0.25">
      <c r="B44" s="461"/>
      <c r="C44" s="434"/>
      <c r="D44" s="574"/>
      <c r="E44" s="919"/>
      <c r="F44" s="910"/>
      <c r="G44" s="920"/>
      <c r="H44" s="920"/>
      <c r="I44" s="132"/>
    </row>
    <row r="45" spans="2:9" x14ac:dyDescent="0.25">
      <c r="B45" s="461"/>
      <c r="C45" s="434"/>
      <c r="D45" s="574"/>
      <c r="E45" s="919"/>
      <c r="F45" s="910"/>
      <c r="G45" s="920"/>
      <c r="H45" s="920"/>
      <c r="I45" s="132"/>
    </row>
    <row r="46" spans="2:9" x14ac:dyDescent="0.25">
      <c r="B46" s="461"/>
      <c r="C46" s="434"/>
      <c r="D46" s="574"/>
      <c r="E46" s="919"/>
      <c r="F46" s="910"/>
      <c r="G46" s="920"/>
      <c r="H46" s="920"/>
      <c r="I46" s="132"/>
    </row>
    <row r="47" spans="2:9" x14ac:dyDescent="0.25">
      <c r="B47" s="461"/>
      <c r="C47" s="434"/>
      <c r="D47" s="574"/>
      <c r="E47" s="919"/>
      <c r="F47" s="910"/>
      <c r="G47" s="920"/>
      <c r="H47" s="920"/>
      <c r="I47" s="132"/>
    </row>
    <row r="48" spans="2:9" x14ac:dyDescent="0.25">
      <c r="B48" s="461"/>
      <c r="C48" s="434"/>
      <c r="D48" s="574"/>
      <c r="E48" s="919"/>
      <c r="F48" s="910"/>
      <c r="G48" s="920"/>
      <c r="H48" s="920"/>
      <c r="I48" s="132"/>
    </row>
    <row r="49" spans="1:9" x14ac:dyDescent="0.25">
      <c r="B49" s="461"/>
      <c r="C49" s="434"/>
      <c r="D49" s="574"/>
      <c r="E49" s="919"/>
      <c r="F49" s="910"/>
      <c r="G49" s="920"/>
      <c r="H49" s="920"/>
      <c r="I49" s="132"/>
    </row>
    <row r="50" spans="1:9" x14ac:dyDescent="0.25">
      <c r="B50" s="461"/>
      <c r="C50" s="434"/>
      <c r="D50" s="574"/>
      <c r="E50" s="919"/>
      <c r="F50" s="910"/>
      <c r="G50" s="920"/>
      <c r="H50" s="920"/>
      <c r="I50" s="132"/>
    </row>
    <row r="51" spans="1:9" ht="15.75" thickBot="1" x14ac:dyDescent="0.3">
      <c r="B51" s="74"/>
      <c r="C51" s="436"/>
      <c r="D51" s="928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53" t="s">
        <v>21</v>
      </c>
      <c r="E53" s="954"/>
      <c r="F53" s="143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55" t="s">
        <v>4</v>
      </c>
      <c r="E54" s="956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78</v>
      </c>
      <c r="C4" s="102"/>
      <c r="D4" s="137"/>
      <c r="E4" s="86"/>
      <c r="F4" s="73"/>
      <c r="G4" s="706"/>
    </row>
    <row r="5" spans="1:9" x14ac:dyDescent="0.25">
      <c r="A5" s="75"/>
      <c r="B5" s="1311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2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2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2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2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2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2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2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2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2"/>
      <c r="E16" s="663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4"/>
      <c r="E17" s="663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2"/>
      <c r="E18" s="663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2"/>
      <c r="E19" s="663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2"/>
      <c r="E20" s="663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2"/>
      <c r="E21" s="663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2"/>
      <c r="E22" s="663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2"/>
      <c r="E23" s="663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2"/>
      <c r="E24" s="663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2"/>
      <c r="E25" s="663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2"/>
      <c r="E26" s="663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2" t="s">
        <v>21</v>
      </c>
      <c r="E33" s="703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4" t="s">
        <v>4</v>
      </c>
      <c r="E34" s="70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2" workbookViewId="0">
      <selection activeCell="B33" sqref="B33:B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 t="s">
        <v>248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311"/>
      <c r="C5" s="102">
        <v>100</v>
      </c>
      <c r="D5" s="137">
        <v>44650</v>
      </c>
      <c r="E5" s="86">
        <v>506.1</v>
      </c>
      <c r="F5" s="73">
        <v>28</v>
      </c>
      <c r="G5" s="48">
        <f>F32</f>
        <v>691.88</v>
      </c>
      <c r="H5" s="140">
        <f>E5-G5+E6</f>
        <v>0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93"/>
      <c r="B8" s="94"/>
      <c r="C8" s="15">
        <v>16</v>
      </c>
      <c r="D8" s="14">
        <v>281.52999999999997</v>
      </c>
      <c r="E8" s="1075">
        <v>44663</v>
      </c>
      <c r="F8" s="282">
        <f t="shared" ref="F8:F28" si="0">D8</f>
        <v>281.52999999999997</v>
      </c>
      <c r="G8" s="322" t="s">
        <v>438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22">
        <v>8</v>
      </c>
      <c r="D9" s="1109">
        <v>155.1</v>
      </c>
      <c r="E9" s="1075">
        <v>44681</v>
      </c>
      <c r="F9" s="282">
        <f t="shared" si="0"/>
        <v>155.1</v>
      </c>
      <c r="G9" s="924" t="s">
        <v>604</v>
      </c>
      <c r="H9" s="573">
        <v>102</v>
      </c>
      <c r="I9" s="265">
        <f>I8-D9</f>
        <v>255.25000000000003</v>
      </c>
    </row>
    <row r="10" spans="1:9" x14ac:dyDescent="0.25">
      <c r="A10" s="245"/>
      <c r="B10" s="2"/>
      <c r="C10" s="922">
        <v>12</v>
      </c>
      <c r="D10" s="1110">
        <v>255.25</v>
      </c>
      <c r="E10" s="1075">
        <v>44681</v>
      </c>
      <c r="F10" s="282">
        <f t="shared" si="0"/>
        <v>255.25</v>
      </c>
      <c r="G10" s="924" t="s">
        <v>567</v>
      </c>
      <c r="H10" s="573">
        <v>102</v>
      </c>
      <c r="I10" s="265">
        <f t="shared" ref="I10:I28" si="1">I9-D10</f>
        <v>0</v>
      </c>
    </row>
    <row r="11" spans="1:9" x14ac:dyDescent="0.25">
      <c r="A11" s="993"/>
      <c r="B11" s="2"/>
      <c r="C11" s="922"/>
      <c r="D11" s="1110"/>
      <c r="E11" s="1075"/>
      <c r="F11" s="1112">
        <f t="shared" si="0"/>
        <v>0</v>
      </c>
      <c r="G11" s="1113"/>
      <c r="H11" s="1114"/>
      <c r="I11" s="1115">
        <f t="shared" si="1"/>
        <v>0</v>
      </c>
    </row>
    <row r="12" spans="1:9" x14ac:dyDescent="0.25">
      <c r="A12" s="245"/>
      <c r="B12" s="2"/>
      <c r="C12" s="922"/>
      <c r="D12" s="1110"/>
      <c r="E12" s="1075"/>
      <c r="F12" s="1112">
        <f t="shared" si="0"/>
        <v>0</v>
      </c>
      <c r="G12" s="1113"/>
      <c r="H12" s="1114"/>
      <c r="I12" s="1115">
        <f t="shared" si="1"/>
        <v>0</v>
      </c>
    </row>
    <row r="13" spans="1:9" x14ac:dyDescent="0.25">
      <c r="A13" s="245"/>
      <c r="B13" s="2"/>
      <c r="C13" s="922"/>
      <c r="D13" s="1110"/>
      <c r="E13" s="1075"/>
      <c r="F13" s="1112">
        <f t="shared" si="0"/>
        <v>0</v>
      </c>
      <c r="G13" s="1113"/>
      <c r="H13" s="1114"/>
      <c r="I13" s="1115">
        <f t="shared" si="1"/>
        <v>0</v>
      </c>
    </row>
    <row r="14" spans="1:9" x14ac:dyDescent="0.25">
      <c r="A14" s="243"/>
      <c r="B14" s="2"/>
      <c r="C14" s="922"/>
      <c r="D14" s="1110"/>
      <c r="E14" s="1075"/>
      <c r="F14" s="1112">
        <f t="shared" si="0"/>
        <v>0</v>
      </c>
      <c r="G14" s="1113"/>
      <c r="H14" s="1114"/>
      <c r="I14" s="1115">
        <f t="shared" si="1"/>
        <v>0</v>
      </c>
    </row>
    <row r="15" spans="1:9" x14ac:dyDescent="0.25">
      <c r="A15" s="243"/>
      <c r="B15" s="2"/>
      <c r="C15" s="922"/>
      <c r="D15" s="1110"/>
      <c r="E15" s="1075"/>
      <c r="F15" s="282">
        <f t="shared" si="0"/>
        <v>0</v>
      </c>
      <c r="G15" s="924"/>
      <c r="H15" s="573"/>
      <c r="I15" s="265">
        <f t="shared" si="1"/>
        <v>0</v>
      </c>
    </row>
    <row r="16" spans="1:9" x14ac:dyDescent="0.25">
      <c r="A16" s="243"/>
      <c r="B16" s="2"/>
      <c r="C16" s="922"/>
      <c r="D16" s="1111"/>
      <c r="E16" s="1075"/>
      <c r="F16" s="282">
        <f t="shared" si="0"/>
        <v>0</v>
      </c>
      <c r="G16" s="925"/>
      <c r="H16" s="573"/>
      <c r="I16" s="265">
        <f t="shared" si="1"/>
        <v>0</v>
      </c>
    </row>
    <row r="17" spans="1:9" x14ac:dyDescent="0.25">
      <c r="A17" s="243"/>
      <c r="B17" s="2"/>
      <c r="C17" s="53"/>
      <c r="D17" s="1111"/>
      <c r="E17" s="1075"/>
      <c r="F17" s="282">
        <f t="shared" si="0"/>
        <v>0</v>
      </c>
      <c r="G17" s="925"/>
      <c r="H17" s="573"/>
      <c r="I17" s="265">
        <f t="shared" si="1"/>
        <v>0</v>
      </c>
    </row>
    <row r="18" spans="1:9" x14ac:dyDescent="0.25">
      <c r="A18" s="243"/>
      <c r="B18" s="2"/>
      <c r="C18" s="922"/>
      <c r="D18" s="1111"/>
      <c r="E18" s="1075"/>
      <c r="F18" s="282">
        <f t="shared" si="0"/>
        <v>0</v>
      </c>
      <c r="G18" s="925"/>
      <c r="H18" s="573"/>
      <c r="I18" s="265">
        <f t="shared" si="1"/>
        <v>0</v>
      </c>
    </row>
    <row r="19" spans="1:9" x14ac:dyDescent="0.25">
      <c r="B19" s="2"/>
      <c r="C19" s="922"/>
      <c r="D19" s="1111"/>
      <c r="E19" s="1075"/>
      <c r="F19" s="282">
        <f t="shared" si="0"/>
        <v>0</v>
      </c>
      <c r="G19" s="925"/>
      <c r="H19" s="573"/>
      <c r="I19" s="265">
        <f t="shared" si="1"/>
        <v>0</v>
      </c>
    </row>
    <row r="20" spans="1:9" x14ac:dyDescent="0.25">
      <c r="B20" s="2"/>
      <c r="C20" s="922"/>
      <c r="D20" s="1111"/>
      <c r="E20" s="1075"/>
      <c r="F20" s="282">
        <f t="shared" si="0"/>
        <v>0</v>
      </c>
      <c r="G20" s="925"/>
      <c r="H20" s="573"/>
      <c r="I20" s="265">
        <f t="shared" si="1"/>
        <v>0</v>
      </c>
    </row>
    <row r="21" spans="1:9" x14ac:dyDescent="0.25">
      <c r="B21" s="2"/>
      <c r="C21" s="922"/>
      <c r="D21" s="1111"/>
      <c r="E21" s="1075"/>
      <c r="F21" s="282">
        <f t="shared" si="0"/>
        <v>0</v>
      </c>
      <c r="G21" s="925"/>
      <c r="I21" s="265">
        <f t="shared" si="1"/>
        <v>0</v>
      </c>
    </row>
    <row r="22" spans="1:9" x14ac:dyDescent="0.25">
      <c r="B22" s="2"/>
      <c r="C22" s="922"/>
      <c r="D22" s="1111"/>
      <c r="E22" s="1075"/>
      <c r="F22" s="282">
        <f t="shared" si="0"/>
        <v>0</v>
      </c>
      <c r="G22" s="925"/>
      <c r="I22" s="265">
        <f t="shared" si="1"/>
        <v>0</v>
      </c>
    </row>
    <row r="23" spans="1:9" x14ac:dyDescent="0.25">
      <c r="B23" s="2"/>
      <c r="C23" s="922"/>
      <c r="D23" s="1111"/>
      <c r="E23" s="1075"/>
      <c r="F23" s="282">
        <f t="shared" si="0"/>
        <v>0</v>
      </c>
      <c r="G23" s="925"/>
      <c r="I23" s="265">
        <f t="shared" si="1"/>
        <v>0</v>
      </c>
    </row>
    <row r="24" spans="1:9" x14ac:dyDescent="0.25">
      <c r="B24" s="2"/>
      <c r="C24" s="922"/>
      <c r="D24" s="1111"/>
      <c r="E24" s="1075"/>
      <c r="F24" s="282">
        <f t="shared" si="0"/>
        <v>0</v>
      </c>
      <c r="G24" s="925"/>
      <c r="I24" s="265">
        <f t="shared" si="1"/>
        <v>0</v>
      </c>
    </row>
    <row r="25" spans="1:9" x14ac:dyDescent="0.25">
      <c r="B25" s="2"/>
      <c r="C25" s="922"/>
      <c r="D25" s="1111"/>
      <c r="E25" s="1075"/>
      <c r="F25" s="282">
        <f t="shared" si="0"/>
        <v>0</v>
      </c>
      <c r="G25" s="925"/>
      <c r="I25" s="265">
        <f t="shared" si="1"/>
        <v>0</v>
      </c>
    </row>
    <row r="26" spans="1:9" x14ac:dyDescent="0.25">
      <c r="B26" s="109"/>
      <c r="C26" s="922"/>
      <c r="D26" s="1111"/>
      <c r="E26" s="1075"/>
      <c r="F26" s="282">
        <f t="shared" si="0"/>
        <v>0</v>
      </c>
      <c r="G26" s="926"/>
      <c r="I26" s="265">
        <f t="shared" si="1"/>
        <v>0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0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691.88</v>
      </c>
      <c r="E32" s="75"/>
      <c r="F32" s="105">
        <f>SUM(F8:F31)</f>
        <v>691.88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-185.77999999999997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-8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0" t="s">
        <v>99</v>
      </c>
      <c r="C4" s="102"/>
      <c r="D4" s="137"/>
      <c r="E4" s="86"/>
      <c r="F4" s="73"/>
      <c r="G4" s="840"/>
    </row>
    <row r="5" spans="1:9" x14ac:dyDescent="0.25">
      <c r="A5" s="75"/>
      <c r="B5" s="1311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6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59">
        <f t="shared" si="0"/>
        <v>0</v>
      </c>
      <c r="G27" s="861"/>
      <c r="H27" s="862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5" t="s">
        <v>21</v>
      </c>
      <c r="E33" s="83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7" t="s">
        <v>4</v>
      </c>
      <c r="E34" s="83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2" t="s">
        <v>112</v>
      </c>
      <c r="C4" s="102"/>
      <c r="D4" s="137"/>
      <c r="E4" s="86"/>
      <c r="F4" s="73"/>
      <c r="G4" s="907"/>
    </row>
    <row r="5" spans="1:10" x14ac:dyDescent="0.25">
      <c r="A5" s="75"/>
      <c r="B5" s="1313"/>
      <c r="C5" s="102"/>
      <c r="D5" s="137"/>
      <c r="E5" s="86"/>
      <c r="F5" s="73"/>
      <c r="G5" s="921">
        <f>F32</f>
        <v>0</v>
      </c>
      <c r="H5" s="140">
        <f>E5-G5</f>
        <v>0</v>
      </c>
    </row>
    <row r="6" spans="1:10" ht="15.75" thickBot="1" x14ac:dyDescent="0.3">
      <c r="B6" s="908" t="s">
        <v>113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22"/>
      <c r="D9" s="105"/>
      <c r="E9" s="923"/>
      <c r="F9" s="282">
        <f t="shared" si="0"/>
        <v>0</v>
      </c>
      <c r="G9" s="924"/>
      <c r="H9" s="71"/>
      <c r="I9" s="265">
        <f>I8-D9</f>
        <v>0</v>
      </c>
    </row>
    <row r="10" spans="1:10" x14ac:dyDescent="0.25">
      <c r="A10" s="75"/>
      <c r="B10" s="2"/>
      <c r="C10" s="922"/>
      <c r="D10" s="278"/>
      <c r="E10" s="923"/>
      <c r="F10" s="282">
        <f t="shared" si="0"/>
        <v>0</v>
      </c>
      <c r="G10" s="924"/>
      <c r="H10" s="71"/>
      <c r="I10" s="265">
        <f t="shared" ref="I10:I28" si="1">I9-D10</f>
        <v>0</v>
      </c>
    </row>
    <row r="11" spans="1:10" x14ac:dyDescent="0.25">
      <c r="A11" s="55"/>
      <c r="B11" s="2"/>
      <c r="C11" s="922"/>
      <c r="D11" s="278"/>
      <c r="E11" s="923"/>
      <c r="F11" s="282">
        <f t="shared" si="0"/>
        <v>0</v>
      </c>
      <c r="G11" s="924"/>
      <c r="H11" s="71"/>
      <c r="I11" s="265">
        <f t="shared" si="1"/>
        <v>0</v>
      </c>
    </row>
    <row r="12" spans="1:10" x14ac:dyDescent="0.25">
      <c r="A12" s="75"/>
      <c r="B12" s="2"/>
      <c r="C12" s="922"/>
      <c r="D12" s="278"/>
      <c r="E12" s="923"/>
      <c r="F12" s="282">
        <f t="shared" si="0"/>
        <v>0</v>
      </c>
      <c r="G12" s="924"/>
      <c r="H12" s="269"/>
      <c r="I12" s="265">
        <f t="shared" si="1"/>
        <v>0</v>
      </c>
      <c r="J12" s="243"/>
    </row>
    <row r="13" spans="1:10" x14ac:dyDescent="0.25">
      <c r="A13" s="75"/>
      <c r="B13" s="2"/>
      <c r="C13" s="922"/>
      <c r="D13" s="278"/>
      <c r="E13" s="923"/>
      <c r="F13" s="282">
        <f t="shared" si="0"/>
        <v>0</v>
      </c>
      <c r="G13" s="924"/>
      <c r="H13" s="269"/>
      <c r="I13" s="265">
        <f t="shared" si="1"/>
        <v>0</v>
      </c>
      <c r="J13" s="243"/>
    </row>
    <row r="14" spans="1:10" x14ac:dyDescent="0.25">
      <c r="B14" s="2"/>
      <c r="C14" s="922"/>
      <c r="D14" s="278"/>
      <c r="E14" s="923"/>
      <c r="F14" s="282">
        <f t="shared" si="0"/>
        <v>0</v>
      </c>
      <c r="G14" s="924"/>
      <c r="H14" s="269"/>
      <c r="I14" s="265">
        <f t="shared" si="1"/>
        <v>0</v>
      </c>
      <c r="J14" s="243"/>
    </row>
    <row r="15" spans="1:10" x14ac:dyDescent="0.25">
      <c r="B15" s="2"/>
      <c r="C15" s="922"/>
      <c r="D15" s="278"/>
      <c r="E15" s="923"/>
      <c r="F15" s="282">
        <f t="shared" si="0"/>
        <v>0</v>
      </c>
      <c r="G15" s="924"/>
      <c r="H15" s="269"/>
      <c r="I15" s="265">
        <f t="shared" si="1"/>
        <v>0</v>
      </c>
      <c r="J15" s="243"/>
    </row>
    <row r="16" spans="1:10" x14ac:dyDescent="0.25">
      <c r="B16" s="2"/>
      <c r="C16" s="922"/>
      <c r="D16" s="105"/>
      <c r="E16" s="923"/>
      <c r="F16" s="282">
        <f t="shared" si="0"/>
        <v>0</v>
      </c>
      <c r="G16" s="924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23"/>
      <c r="F17" s="282">
        <f t="shared" si="0"/>
        <v>0</v>
      </c>
      <c r="G17" s="924"/>
      <c r="H17" s="269"/>
      <c r="I17" s="265">
        <f t="shared" si="1"/>
        <v>0</v>
      </c>
      <c r="J17" s="243"/>
    </row>
    <row r="18" spans="1:10" x14ac:dyDescent="0.25">
      <c r="B18" s="2"/>
      <c r="C18" s="922"/>
      <c r="D18" s="105"/>
      <c r="E18" s="923"/>
      <c r="F18" s="282">
        <f t="shared" si="0"/>
        <v>0</v>
      </c>
      <c r="G18" s="924"/>
      <c r="H18" s="269"/>
      <c r="I18" s="265">
        <f t="shared" si="1"/>
        <v>0</v>
      </c>
      <c r="J18" s="243"/>
    </row>
    <row r="19" spans="1:10" x14ac:dyDescent="0.25">
      <c r="B19" s="2"/>
      <c r="C19" s="922"/>
      <c r="D19" s="105"/>
      <c r="E19" s="923"/>
      <c r="F19" s="282">
        <f t="shared" si="0"/>
        <v>0</v>
      </c>
      <c r="G19" s="924"/>
      <c r="H19" s="269"/>
      <c r="I19" s="265">
        <f t="shared" si="1"/>
        <v>0</v>
      </c>
      <c r="J19" s="243"/>
    </row>
    <row r="20" spans="1:10" x14ac:dyDescent="0.25">
      <c r="B20" s="2"/>
      <c r="C20" s="922"/>
      <c r="D20" s="105"/>
      <c r="E20" s="923"/>
      <c r="F20" s="282">
        <f t="shared" si="0"/>
        <v>0</v>
      </c>
      <c r="G20" s="925"/>
      <c r="H20" s="71"/>
      <c r="I20" s="265">
        <f t="shared" si="1"/>
        <v>0</v>
      </c>
    </row>
    <row r="21" spans="1:10" x14ac:dyDescent="0.25">
      <c r="B21" s="2"/>
      <c r="C21" s="922"/>
      <c r="D21" s="105"/>
      <c r="E21" s="923"/>
      <c r="F21" s="282">
        <f t="shared" si="0"/>
        <v>0</v>
      </c>
      <c r="G21" s="925"/>
      <c r="H21" s="71"/>
      <c r="I21" s="265">
        <f t="shared" si="1"/>
        <v>0</v>
      </c>
    </row>
    <row r="22" spans="1:10" x14ac:dyDescent="0.25">
      <c r="B22" s="2"/>
      <c r="C22" s="922"/>
      <c r="D22" s="105"/>
      <c r="E22" s="923"/>
      <c r="F22" s="282">
        <f t="shared" si="0"/>
        <v>0</v>
      </c>
      <c r="G22" s="925"/>
      <c r="H22" s="71"/>
      <c r="I22" s="265">
        <f t="shared" si="1"/>
        <v>0</v>
      </c>
    </row>
    <row r="23" spans="1:10" x14ac:dyDescent="0.25">
      <c r="B23" s="2"/>
      <c r="C23" s="922"/>
      <c r="D23" s="105"/>
      <c r="E23" s="923"/>
      <c r="F23" s="282">
        <f t="shared" si="0"/>
        <v>0</v>
      </c>
      <c r="G23" s="925"/>
      <c r="H23" s="71"/>
      <c r="I23" s="265">
        <f t="shared" si="1"/>
        <v>0</v>
      </c>
    </row>
    <row r="24" spans="1:10" x14ac:dyDescent="0.25">
      <c r="B24" s="2"/>
      <c r="C24" s="922"/>
      <c r="D24" s="105"/>
      <c r="E24" s="923"/>
      <c r="F24" s="282">
        <f t="shared" si="0"/>
        <v>0</v>
      </c>
      <c r="G24" s="925"/>
      <c r="H24" s="71"/>
      <c r="I24" s="265">
        <f t="shared" si="1"/>
        <v>0</v>
      </c>
    </row>
    <row r="25" spans="1:10" x14ac:dyDescent="0.25">
      <c r="B25" s="2"/>
      <c r="C25" s="922"/>
      <c r="D25" s="105"/>
      <c r="E25" s="923"/>
      <c r="F25" s="282">
        <f t="shared" si="0"/>
        <v>0</v>
      </c>
      <c r="G25" s="925"/>
      <c r="H25" s="71"/>
      <c r="I25" s="265">
        <f t="shared" si="1"/>
        <v>0</v>
      </c>
    </row>
    <row r="26" spans="1:10" x14ac:dyDescent="0.25">
      <c r="B26" s="109"/>
      <c r="C26" s="922"/>
      <c r="D26" s="105"/>
      <c r="E26" s="923"/>
      <c r="F26" s="282">
        <f t="shared" si="0"/>
        <v>0</v>
      </c>
      <c r="G26" s="926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03" t="s">
        <v>21</v>
      </c>
      <c r="E33" s="904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05" t="s">
        <v>4</v>
      </c>
      <c r="E34" s="90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activeCell="C44" sqref="C4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1" t="s">
        <v>259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6"/>
      <c r="B4" s="1238" t="s">
        <v>83</v>
      </c>
      <c r="C4" s="325"/>
      <c r="D4" s="251"/>
      <c r="E4" s="735"/>
      <c r="F4" s="246"/>
      <c r="G4" s="162"/>
      <c r="H4" s="162"/>
    </row>
    <row r="5" spans="1:9" ht="26.25" customHeight="1" x14ac:dyDescent="0.25">
      <c r="A5" s="902" t="s">
        <v>368</v>
      </c>
      <c r="B5" s="1235"/>
      <c r="C5" s="325"/>
      <c r="D5" s="251">
        <v>44650</v>
      </c>
      <c r="E5" s="735">
        <v>17458.669999999998</v>
      </c>
      <c r="F5" s="246">
        <v>590</v>
      </c>
      <c r="G5" s="263"/>
    </row>
    <row r="6" spans="1:9" x14ac:dyDescent="0.25">
      <c r="A6" s="899"/>
      <c r="B6" s="1235"/>
      <c r="C6" s="582"/>
      <c r="D6" s="251"/>
      <c r="E6" s="736"/>
      <c r="F6" s="73"/>
      <c r="G6" s="265">
        <f>F79</f>
        <v>11959.959999999997</v>
      </c>
      <c r="H6" s="7">
        <f>E6-G6+E7+E5-G5+E4</f>
        <v>5498.7100000000009</v>
      </c>
    </row>
    <row r="7" spans="1:9" x14ac:dyDescent="0.25">
      <c r="A7" s="898"/>
      <c r="B7" s="275"/>
      <c r="C7" s="286"/>
      <c r="D7" s="277"/>
      <c r="E7" s="735"/>
      <c r="F7" s="246"/>
      <c r="G7" s="243"/>
    </row>
    <row r="8" spans="1:9" ht="15.75" thickBot="1" x14ac:dyDescent="0.3">
      <c r="A8" s="666"/>
      <c r="B8" s="275"/>
      <c r="C8" s="286"/>
      <c r="D8" s="277"/>
      <c r="E8" s="735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369</v>
      </c>
      <c r="H10" s="269">
        <v>140</v>
      </c>
      <c r="I10" s="278">
        <f>E6-F10+E5+E4+E7+E8</f>
        <v>17314.469999999998</v>
      </c>
    </row>
    <row r="11" spans="1:9" x14ac:dyDescent="0.25">
      <c r="A11" s="896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370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377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385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386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394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398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406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413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414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416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418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433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457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424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424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470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473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475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475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422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459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7">
        <v>25.99</v>
      </c>
      <c r="E32" s="296">
        <v>44673</v>
      </c>
      <c r="F32" s="267">
        <f t="shared" si="0"/>
        <v>25.99</v>
      </c>
      <c r="G32" s="268" t="s">
        <v>546</v>
      </c>
      <c r="H32" s="269">
        <v>139</v>
      </c>
      <c r="I32" s="278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7">
        <v>135.53</v>
      </c>
      <c r="E33" s="296">
        <v>44673</v>
      </c>
      <c r="F33" s="267">
        <f t="shared" si="0"/>
        <v>135.53</v>
      </c>
      <c r="G33" s="268" t="s">
        <v>547</v>
      </c>
      <c r="H33" s="269">
        <v>139</v>
      </c>
      <c r="I33" s="278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7">
        <v>28.98</v>
      </c>
      <c r="E34" s="296">
        <v>44674</v>
      </c>
      <c r="F34" s="267">
        <f t="shared" si="0"/>
        <v>28.98</v>
      </c>
      <c r="G34" s="268" t="s">
        <v>554</v>
      </c>
      <c r="H34" s="269">
        <v>139</v>
      </c>
      <c r="I34" s="278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7">
        <v>915.71</v>
      </c>
      <c r="E35" s="296">
        <v>44675</v>
      </c>
      <c r="F35" s="267">
        <f t="shared" si="0"/>
        <v>915.71</v>
      </c>
      <c r="G35" s="268" t="s">
        <v>560</v>
      </c>
      <c r="H35" s="269">
        <v>139</v>
      </c>
      <c r="I35" s="278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7">
        <v>891.61</v>
      </c>
      <c r="E36" s="296">
        <v>44677</v>
      </c>
      <c r="F36" s="267">
        <f t="shared" si="0"/>
        <v>891.61</v>
      </c>
      <c r="G36" s="268" t="s">
        <v>574</v>
      </c>
      <c r="H36" s="269">
        <v>139</v>
      </c>
      <c r="I36" s="278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7">
        <v>56.84</v>
      </c>
      <c r="E37" s="296">
        <v>44677</v>
      </c>
      <c r="F37" s="267">
        <f t="shared" si="0"/>
        <v>56.84</v>
      </c>
      <c r="G37" s="268" t="s">
        <v>574</v>
      </c>
      <c r="H37" s="269">
        <v>139</v>
      </c>
      <c r="I37" s="278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7">
        <v>886.59</v>
      </c>
      <c r="E38" s="296">
        <v>44679</v>
      </c>
      <c r="F38" s="267">
        <f t="shared" si="0"/>
        <v>886.59</v>
      </c>
      <c r="G38" s="268" t="s">
        <v>590</v>
      </c>
      <c r="H38" s="269">
        <v>139</v>
      </c>
      <c r="I38" s="278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7">
        <v>29.3</v>
      </c>
      <c r="E39" s="296">
        <v>44681</v>
      </c>
      <c r="F39" s="267">
        <f t="shared" si="0"/>
        <v>29.3</v>
      </c>
      <c r="G39" s="268" t="s">
        <v>579</v>
      </c>
      <c r="H39" s="269">
        <v>139</v>
      </c>
      <c r="I39" s="278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7">
        <v>869.47</v>
      </c>
      <c r="E40" s="296">
        <v>44681</v>
      </c>
      <c r="F40" s="267">
        <f t="shared" si="0"/>
        <v>869.47</v>
      </c>
      <c r="G40" s="268" t="s">
        <v>603</v>
      </c>
      <c r="H40" s="269">
        <v>139</v>
      </c>
      <c r="I40" s="278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5498.7099999999964</v>
      </c>
      <c r="J55" s="243"/>
    </row>
    <row r="56" spans="1:10" x14ac:dyDescent="0.25">
      <c r="A56" s="122"/>
      <c r="B56" s="83">
        <f t="shared" si="1"/>
        <v>181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5498.7099999999964</v>
      </c>
      <c r="J56" s="243"/>
    </row>
    <row r="57" spans="1:10" x14ac:dyDescent="0.25">
      <c r="A57" s="122"/>
      <c r="B57" s="83">
        <f t="shared" si="1"/>
        <v>181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5498.7099999999964</v>
      </c>
      <c r="J57" s="243"/>
    </row>
    <row r="58" spans="1:10" x14ac:dyDescent="0.25">
      <c r="A58" s="122"/>
      <c r="B58" s="299">
        <f t="shared" si="1"/>
        <v>181</v>
      </c>
      <c r="C58" s="15"/>
      <c r="D58" s="267"/>
      <c r="E58" s="296"/>
      <c r="F58" s="267">
        <v>0</v>
      </c>
      <c r="G58" s="268"/>
      <c r="H58" s="269"/>
      <c r="I58" s="278">
        <f t="shared" si="2"/>
        <v>5498.7099999999964</v>
      </c>
      <c r="J58" s="243"/>
    </row>
    <row r="59" spans="1:10" x14ac:dyDescent="0.25">
      <c r="A59" s="122"/>
      <c r="B59" s="299">
        <f t="shared" si="1"/>
        <v>181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5498.7099999999964</v>
      </c>
      <c r="J59" s="243"/>
    </row>
    <row r="60" spans="1:10" x14ac:dyDescent="0.25">
      <c r="A60" s="122"/>
      <c r="B60" s="299">
        <f t="shared" si="1"/>
        <v>181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5498.7099999999964</v>
      </c>
      <c r="J60" s="243"/>
    </row>
    <row r="61" spans="1:10" x14ac:dyDescent="0.25">
      <c r="A61" s="122"/>
      <c r="B61" s="299">
        <f t="shared" si="1"/>
        <v>181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5498.7099999999964</v>
      </c>
      <c r="J61" s="243"/>
    </row>
    <row r="62" spans="1:10" x14ac:dyDescent="0.25">
      <c r="A62" s="122"/>
      <c r="B62" s="299">
        <f t="shared" si="1"/>
        <v>181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5498.7099999999964</v>
      </c>
    </row>
    <row r="63" spans="1:10" x14ac:dyDescent="0.25">
      <c r="A63" s="122"/>
      <c r="B63" s="299">
        <f t="shared" si="1"/>
        <v>181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5498.7099999999964</v>
      </c>
    </row>
    <row r="64" spans="1:10" x14ac:dyDescent="0.25">
      <c r="A64" s="122"/>
      <c r="B64" s="299">
        <f t="shared" si="1"/>
        <v>181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5498.7099999999964</v>
      </c>
    </row>
    <row r="65" spans="1:9" x14ac:dyDescent="0.25">
      <c r="A65" s="122"/>
      <c r="B65" s="299">
        <f t="shared" si="1"/>
        <v>181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5498.7099999999964</v>
      </c>
    </row>
    <row r="66" spans="1:9" x14ac:dyDescent="0.25">
      <c r="A66" s="122"/>
      <c r="B66" s="299">
        <f t="shared" si="1"/>
        <v>181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5498.7099999999964</v>
      </c>
    </row>
    <row r="67" spans="1:9" x14ac:dyDescent="0.25">
      <c r="A67" s="122"/>
      <c r="B67" s="299">
        <f t="shared" si="1"/>
        <v>181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5498.7099999999964</v>
      </c>
    </row>
    <row r="68" spans="1:9" x14ac:dyDescent="0.25">
      <c r="A68" s="122"/>
      <c r="B68" s="299">
        <f t="shared" si="1"/>
        <v>181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5498.7099999999964</v>
      </c>
    </row>
    <row r="69" spans="1:9" x14ac:dyDescent="0.25">
      <c r="A69" s="122"/>
      <c r="B69" s="299">
        <f t="shared" si="1"/>
        <v>181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5498.7099999999964</v>
      </c>
    </row>
    <row r="70" spans="1:9" x14ac:dyDescent="0.25">
      <c r="A70" s="122"/>
      <c r="B70" s="299">
        <f t="shared" si="1"/>
        <v>181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5498.7099999999964</v>
      </c>
    </row>
    <row r="71" spans="1:9" x14ac:dyDescent="0.25">
      <c r="A71" s="122"/>
      <c r="B71" s="299">
        <f t="shared" si="1"/>
        <v>181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5498.7099999999964</v>
      </c>
    </row>
    <row r="72" spans="1:9" x14ac:dyDescent="0.25">
      <c r="A72" s="122"/>
      <c r="B72" s="299">
        <f t="shared" si="1"/>
        <v>181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5498.7099999999964</v>
      </c>
    </row>
    <row r="73" spans="1:9" x14ac:dyDescent="0.25">
      <c r="A73" s="122"/>
      <c r="B73" s="299">
        <f t="shared" si="1"/>
        <v>181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5498.7099999999964</v>
      </c>
    </row>
    <row r="74" spans="1:9" x14ac:dyDescent="0.25">
      <c r="A74" s="122"/>
      <c r="B74" s="299">
        <f t="shared" si="1"/>
        <v>181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5498.7099999999964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233" t="s">
        <v>11</v>
      </c>
      <c r="D84" s="1234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22"/>
      <c r="B5" s="1239" t="s">
        <v>90</v>
      </c>
      <c r="C5" s="274"/>
      <c r="D5" s="251"/>
      <c r="E5" s="262"/>
      <c r="F5" s="256"/>
      <c r="G5" s="263"/>
    </row>
    <row r="6" spans="1:9" x14ac:dyDescent="0.25">
      <c r="A6" s="1222"/>
      <c r="B6" s="1239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222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08"/>
      <c r="C9" s="685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09"/>
      <c r="C10" s="685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09"/>
      <c r="C11" s="685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09"/>
      <c r="C12" s="685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09"/>
      <c r="C13" s="685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09"/>
      <c r="C14" s="685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09"/>
      <c r="C15" s="685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09"/>
      <c r="C16" s="685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09"/>
      <c r="C17" s="685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09"/>
      <c r="C18" s="685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09"/>
      <c r="C19" s="685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09"/>
      <c r="C20" s="685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7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7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7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7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7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7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7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7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7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7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7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7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7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22"/>
      <c r="B5" s="1240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222"/>
      <c r="B6" s="1240"/>
      <c r="C6" s="707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1" t="s">
        <v>316</v>
      </c>
      <c r="B1" s="1231"/>
      <c r="C1" s="1231"/>
      <c r="D1" s="1231"/>
      <c r="E1" s="1231"/>
      <c r="F1" s="1231"/>
      <c r="G1" s="1231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20" t="s">
        <v>317</v>
      </c>
      <c r="B5" s="1241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220"/>
      <c r="B6" s="1241"/>
      <c r="C6" s="707">
        <v>52</v>
      </c>
      <c r="D6" s="264">
        <v>44679</v>
      </c>
      <c r="E6" s="262">
        <v>2051.25</v>
      </c>
      <c r="F6" s="256">
        <v>72</v>
      </c>
      <c r="G6" s="265">
        <f>F35</f>
        <v>1694.0700000000002</v>
      </c>
      <c r="H6" s="7">
        <f>E6-G6+E7+E5-G5+E4+E8</f>
        <v>1141.6599999999999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72</v>
      </c>
      <c r="C10" s="15">
        <v>31</v>
      </c>
      <c r="D10" s="267">
        <v>784.48</v>
      </c>
      <c r="E10" s="296">
        <v>44673</v>
      </c>
      <c r="F10" s="267">
        <f t="shared" ref="F10:F11" si="0">D10</f>
        <v>784.48</v>
      </c>
      <c r="G10" s="268" t="s">
        <v>551</v>
      </c>
      <c r="H10" s="269">
        <v>48</v>
      </c>
      <c r="I10" s="321">
        <f>E4+E5+E6+E7-F10+E8</f>
        <v>2051.25</v>
      </c>
      <c r="J10" s="243"/>
    </row>
    <row r="11" spans="1:13" x14ac:dyDescent="0.25">
      <c r="A11" s="209"/>
      <c r="B11" s="287">
        <f>B10-C11</f>
        <v>40</v>
      </c>
      <c r="C11" s="15">
        <v>32</v>
      </c>
      <c r="D11" s="267">
        <v>909.59</v>
      </c>
      <c r="E11" s="296">
        <v>44681</v>
      </c>
      <c r="F11" s="267">
        <f t="shared" si="0"/>
        <v>909.59</v>
      </c>
      <c r="G11" s="268" t="s">
        <v>603</v>
      </c>
      <c r="H11" s="269">
        <v>54</v>
      </c>
      <c r="I11" s="321">
        <f>I10-F11</f>
        <v>1141.6599999999999</v>
      </c>
      <c r="J11" s="243"/>
    </row>
    <row r="12" spans="1:13" x14ac:dyDescent="0.25">
      <c r="A12" s="197"/>
      <c r="B12" s="287">
        <f t="shared" ref="B12:B28" si="1">B11-C12</f>
        <v>40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1141.6599999999999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40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1141.6599999999999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40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1141.6599999999999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40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1141.6599999999999</v>
      </c>
      <c r="J15" s="243"/>
      <c r="K15" s="243"/>
      <c r="L15" s="243"/>
      <c r="M15" s="243"/>
    </row>
    <row r="16" spans="1:13" x14ac:dyDescent="0.25">
      <c r="B16" s="287">
        <f t="shared" si="1"/>
        <v>40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1141.6599999999999</v>
      </c>
      <c r="J16" s="243"/>
      <c r="K16" s="243"/>
      <c r="L16" s="243"/>
      <c r="M16" s="243"/>
    </row>
    <row r="17" spans="1:13" x14ac:dyDescent="0.25">
      <c r="B17" s="287">
        <f t="shared" si="1"/>
        <v>40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1141.6599999999999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40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1141.6599999999999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40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1141.6599999999999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40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1141.6599999999999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40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1141.6599999999999</v>
      </c>
      <c r="J21" s="243"/>
    </row>
    <row r="22" spans="1:13" x14ac:dyDescent="0.25">
      <c r="A22" s="122"/>
      <c r="B22" s="287">
        <f t="shared" si="1"/>
        <v>40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1141.6599999999999</v>
      </c>
      <c r="J22" s="243"/>
    </row>
    <row r="23" spans="1:13" x14ac:dyDescent="0.25">
      <c r="A23" s="123"/>
      <c r="B23" s="287">
        <f t="shared" si="1"/>
        <v>40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1141.6599999999999</v>
      </c>
      <c r="J23" s="243"/>
    </row>
    <row r="24" spans="1:13" x14ac:dyDescent="0.25">
      <c r="A24" s="122"/>
      <c r="B24" s="287">
        <f t="shared" si="1"/>
        <v>40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1141.6599999999999</v>
      </c>
      <c r="J24" s="243"/>
    </row>
    <row r="25" spans="1:13" x14ac:dyDescent="0.25">
      <c r="A25" s="122"/>
      <c r="B25" s="287">
        <f t="shared" si="1"/>
        <v>40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1141.6599999999999</v>
      </c>
      <c r="J25" s="243"/>
    </row>
    <row r="26" spans="1:13" x14ac:dyDescent="0.25">
      <c r="A26" s="122"/>
      <c r="B26" s="287">
        <f t="shared" si="1"/>
        <v>40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1141.6599999999999</v>
      </c>
      <c r="J26" s="243"/>
    </row>
    <row r="27" spans="1:13" x14ac:dyDescent="0.25">
      <c r="A27" s="122"/>
      <c r="B27" s="287">
        <f t="shared" si="1"/>
        <v>40</v>
      </c>
      <c r="C27" s="15"/>
      <c r="D27" s="69"/>
      <c r="E27" s="219"/>
      <c r="F27" s="69">
        <v>0</v>
      </c>
      <c r="G27" s="268"/>
      <c r="H27" s="269"/>
      <c r="I27" s="321">
        <f t="shared" si="3"/>
        <v>1141.6599999999999</v>
      </c>
      <c r="J27" s="243"/>
    </row>
    <row r="28" spans="1:13" x14ac:dyDescent="0.25">
      <c r="A28" s="122"/>
      <c r="B28" s="287">
        <f t="shared" si="1"/>
        <v>40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1141.6599999999999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1141.6599999999999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1141.6599999999999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R9" sqref="R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36" t="s">
        <v>237</v>
      </c>
      <c r="B1" s="1236"/>
      <c r="C1" s="1236"/>
      <c r="D1" s="1236"/>
      <c r="E1" s="1236"/>
      <c r="F1" s="1236"/>
      <c r="G1" s="1236"/>
      <c r="H1" s="11">
        <v>1</v>
      </c>
      <c r="K1" s="1231" t="s">
        <v>512</v>
      </c>
      <c r="L1" s="1231"/>
      <c r="M1" s="1231"/>
      <c r="N1" s="1231"/>
      <c r="O1" s="1231"/>
      <c r="P1" s="1231"/>
      <c r="Q1" s="123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4" t="s">
        <v>97</v>
      </c>
      <c r="B5" s="1242" t="s">
        <v>98</v>
      </c>
      <c r="C5" s="795">
        <v>45</v>
      </c>
      <c r="D5" s="796">
        <v>44573</v>
      </c>
      <c r="E5" s="797">
        <v>1506.21</v>
      </c>
      <c r="F5" s="798">
        <v>81</v>
      </c>
      <c r="G5" s="279">
        <f>F36</f>
        <v>1506.21</v>
      </c>
      <c r="H5" s="7">
        <f>E5-G5+E4+E6</f>
        <v>0</v>
      </c>
      <c r="K5" s="1092" t="s">
        <v>97</v>
      </c>
      <c r="L5" s="1242" t="s">
        <v>98</v>
      </c>
      <c r="M5" s="795">
        <v>48.5</v>
      </c>
      <c r="N5" s="796">
        <v>44676</v>
      </c>
      <c r="O5" s="797">
        <v>500</v>
      </c>
      <c r="P5" s="798">
        <v>50</v>
      </c>
      <c r="Q5" s="279">
        <f>P36</f>
        <v>100</v>
      </c>
      <c r="R5" s="7">
        <f>O5-Q5+O4+O6</f>
        <v>400</v>
      </c>
    </row>
    <row r="6" spans="1:19" ht="15.75" customHeight="1" thickBot="1" x14ac:dyDescent="0.3">
      <c r="A6" s="246"/>
      <c r="B6" s="1243"/>
      <c r="C6" s="280"/>
      <c r="D6" s="281"/>
      <c r="E6" s="273"/>
      <c r="F6" s="246"/>
      <c r="K6" s="246"/>
      <c r="L6" s="1243"/>
      <c r="M6" s="280"/>
      <c r="N6" s="281"/>
      <c r="O6" s="273"/>
      <c r="P6" s="246"/>
    </row>
    <row r="7" spans="1:19" ht="16.5" customHeight="1" thickTop="1" thickBot="1" x14ac:dyDescent="0.3">
      <c r="A7" s="246"/>
      <c r="B7" s="88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5"/>
      <c r="B8" s="885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101</v>
      </c>
      <c r="H8" s="269">
        <v>47</v>
      </c>
      <c r="I8" s="272">
        <f>E5-F8+E4+E6</f>
        <v>1321.99</v>
      </c>
      <c r="J8" s="243"/>
      <c r="K8" s="745"/>
      <c r="L8" s="885">
        <f>P4+P5+P6-M8</f>
        <v>40</v>
      </c>
      <c r="M8" s="53">
        <v>10</v>
      </c>
      <c r="N8" s="69">
        <v>100</v>
      </c>
      <c r="O8" s="331">
        <v>44676</v>
      </c>
      <c r="P8" s="278">
        <f t="shared" ref="P8:P35" si="1">N8</f>
        <v>100</v>
      </c>
      <c r="Q8" s="268" t="s">
        <v>573</v>
      </c>
      <c r="R8" s="269">
        <v>50</v>
      </c>
      <c r="S8" s="272">
        <f>O5-P8+O4+O6</f>
        <v>400</v>
      </c>
    </row>
    <row r="9" spans="1:19" ht="15" customHeight="1" x14ac:dyDescent="0.25">
      <c r="B9" s="886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102</v>
      </c>
      <c r="H9" s="269">
        <v>47</v>
      </c>
      <c r="I9" s="272">
        <f>I8-F9</f>
        <v>1304.04</v>
      </c>
      <c r="J9" s="243"/>
      <c r="L9" s="886">
        <f>L8-M9</f>
        <v>40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400</v>
      </c>
    </row>
    <row r="10" spans="1:19" ht="15" customHeight="1" x14ac:dyDescent="0.25">
      <c r="B10" s="886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103</v>
      </c>
      <c r="H10" s="269">
        <v>47</v>
      </c>
      <c r="I10" s="272">
        <f>I9-F10</f>
        <v>1157.1099999999999</v>
      </c>
      <c r="J10" s="243"/>
      <c r="L10" s="886">
        <f t="shared" ref="L10:L35" si="3">L9-M10</f>
        <v>40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400</v>
      </c>
    </row>
    <row r="11" spans="1:19" ht="15" customHeight="1" x14ac:dyDescent="0.25">
      <c r="A11" s="55" t="s">
        <v>33</v>
      </c>
      <c r="B11" s="886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104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86">
        <f t="shared" si="3"/>
        <v>40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400</v>
      </c>
    </row>
    <row r="12" spans="1:19" ht="15" customHeight="1" x14ac:dyDescent="0.25">
      <c r="A12" s="19"/>
      <c r="B12" s="886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105</v>
      </c>
      <c r="H12" s="269">
        <v>47</v>
      </c>
      <c r="I12" s="272">
        <f t="shared" si="4"/>
        <v>952.4799999999999</v>
      </c>
      <c r="J12" s="243"/>
      <c r="K12" s="19"/>
      <c r="L12" s="886">
        <f t="shared" si="3"/>
        <v>40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400</v>
      </c>
    </row>
    <row r="13" spans="1:19" ht="15" customHeight="1" x14ac:dyDescent="0.25">
      <c r="B13" s="886">
        <f t="shared" si="2"/>
        <v>50</v>
      </c>
      <c r="C13" s="53">
        <v>1</v>
      </c>
      <c r="D13" s="230">
        <v>17.37</v>
      </c>
      <c r="E13" s="891">
        <v>44597</v>
      </c>
      <c r="F13" s="892">
        <f t="shared" si="0"/>
        <v>17.37</v>
      </c>
      <c r="G13" s="425" t="s">
        <v>118</v>
      </c>
      <c r="H13" s="426">
        <v>47</v>
      </c>
      <c r="I13" s="272">
        <f t="shared" si="4"/>
        <v>935.1099999999999</v>
      </c>
      <c r="J13" s="243"/>
      <c r="L13" s="886">
        <f t="shared" si="3"/>
        <v>40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400</v>
      </c>
    </row>
    <row r="14" spans="1:19" ht="15" customHeight="1" x14ac:dyDescent="0.25">
      <c r="B14" s="886">
        <f t="shared" si="2"/>
        <v>40</v>
      </c>
      <c r="C14" s="15">
        <v>10</v>
      </c>
      <c r="D14" s="230">
        <v>181.65</v>
      </c>
      <c r="E14" s="891">
        <v>44600</v>
      </c>
      <c r="F14" s="892">
        <f t="shared" si="0"/>
        <v>181.65</v>
      </c>
      <c r="G14" s="425" t="s">
        <v>120</v>
      </c>
      <c r="H14" s="426">
        <v>47</v>
      </c>
      <c r="I14" s="272">
        <f t="shared" si="4"/>
        <v>753.45999999999992</v>
      </c>
      <c r="L14" s="886">
        <f t="shared" si="3"/>
        <v>40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400</v>
      </c>
    </row>
    <row r="15" spans="1:19" ht="15" customHeight="1" x14ac:dyDescent="0.25">
      <c r="B15" s="886">
        <f t="shared" si="2"/>
        <v>30</v>
      </c>
      <c r="C15" s="15">
        <v>10</v>
      </c>
      <c r="D15" s="230">
        <v>188.1</v>
      </c>
      <c r="E15" s="891">
        <v>44609</v>
      </c>
      <c r="F15" s="892">
        <f t="shared" si="0"/>
        <v>188.1</v>
      </c>
      <c r="G15" s="425" t="s">
        <v>122</v>
      </c>
      <c r="H15" s="426">
        <v>47</v>
      </c>
      <c r="I15" s="272">
        <f t="shared" si="4"/>
        <v>565.3599999999999</v>
      </c>
      <c r="L15" s="886">
        <f t="shared" si="3"/>
        <v>40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400</v>
      </c>
    </row>
    <row r="16" spans="1:19" ht="15" customHeight="1" x14ac:dyDescent="0.25">
      <c r="B16" s="886">
        <f t="shared" si="2"/>
        <v>29</v>
      </c>
      <c r="C16" s="15">
        <v>1</v>
      </c>
      <c r="D16" s="230">
        <v>17.91</v>
      </c>
      <c r="E16" s="891">
        <v>44618</v>
      </c>
      <c r="F16" s="892">
        <f t="shared" si="0"/>
        <v>17.91</v>
      </c>
      <c r="G16" s="425" t="s">
        <v>126</v>
      </c>
      <c r="H16" s="426">
        <v>47</v>
      </c>
      <c r="I16" s="272">
        <f t="shared" si="4"/>
        <v>547.44999999999993</v>
      </c>
      <c r="L16" s="886">
        <f t="shared" si="3"/>
        <v>40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400</v>
      </c>
    </row>
    <row r="17" spans="1:19" ht="15" customHeight="1" x14ac:dyDescent="0.25">
      <c r="B17" s="886">
        <f t="shared" si="2"/>
        <v>24</v>
      </c>
      <c r="C17" s="15">
        <v>5</v>
      </c>
      <c r="D17" s="968">
        <v>92.6</v>
      </c>
      <c r="E17" s="969">
        <v>44632</v>
      </c>
      <c r="F17" s="970">
        <f t="shared" si="0"/>
        <v>92.6</v>
      </c>
      <c r="G17" s="971" t="s">
        <v>185</v>
      </c>
      <c r="H17" s="972">
        <v>47</v>
      </c>
      <c r="I17" s="272">
        <f t="shared" si="4"/>
        <v>454.84999999999991</v>
      </c>
      <c r="L17" s="886">
        <f t="shared" si="3"/>
        <v>40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400</v>
      </c>
    </row>
    <row r="18" spans="1:19" ht="15" customHeight="1" x14ac:dyDescent="0.25">
      <c r="B18" s="886">
        <f t="shared" si="2"/>
        <v>23</v>
      </c>
      <c r="C18" s="15">
        <v>1</v>
      </c>
      <c r="D18" s="968">
        <v>19.2</v>
      </c>
      <c r="E18" s="969">
        <v>44634</v>
      </c>
      <c r="F18" s="970">
        <f t="shared" si="0"/>
        <v>19.2</v>
      </c>
      <c r="G18" s="971" t="s">
        <v>188</v>
      </c>
      <c r="H18" s="972">
        <v>47</v>
      </c>
      <c r="I18" s="272">
        <f t="shared" si="4"/>
        <v>435.64999999999992</v>
      </c>
      <c r="L18" s="886">
        <f t="shared" si="3"/>
        <v>40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400</v>
      </c>
    </row>
    <row r="19" spans="1:19" ht="15" customHeight="1" x14ac:dyDescent="0.25">
      <c r="B19" s="886">
        <f t="shared" si="2"/>
        <v>15</v>
      </c>
      <c r="C19" s="15">
        <v>8</v>
      </c>
      <c r="D19" s="968">
        <v>149.22999999999999</v>
      </c>
      <c r="E19" s="969">
        <v>44641</v>
      </c>
      <c r="F19" s="970">
        <f t="shared" si="0"/>
        <v>149.22999999999999</v>
      </c>
      <c r="G19" s="971" t="s">
        <v>213</v>
      </c>
      <c r="H19" s="972">
        <v>47</v>
      </c>
      <c r="I19" s="272">
        <f t="shared" si="4"/>
        <v>286.41999999999996</v>
      </c>
      <c r="L19" s="886">
        <f t="shared" si="3"/>
        <v>40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400</v>
      </c>
    </row>
    <row r="20" spans="1:19" ht="15" customHeight="1" x14ac:dyDescent="0.25">
      <c r="B20" s="886">
        <f t="shared" si="2"/>
        <v>14</v>
      </c>
      <c r="C20" s="15">
        <v>1</v>
      </c>
      <c r="D20" s="968">
        <v>19.07</v>
      </c>
      <c r="E20" s="969">
        <v>44641</v>
      </c>
      <c r="F20" s="970">
        <f t="shared" si="0"/>
        <v>19.07</v>
      </c>
      <c r="G20" s="971" t="s">
        <v>215</v>
      </c>
      <c r="H20" s="972">
        <v>47</v>
      </c>
      <c r="I20" s="272">
        <f t="shared" si="4"/>
        <v>267.34999999999997</v>
      </c>
      <c r="L20" s="886">
        <f t="shared" si="3"/>
        <v>40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400</v>
      </c>
    </row>
    <row r="21" spans="1:19" ht="15" customHeight="1" x14ac:dyDescent="0.25">
      <c r="B21" s="886">
        <f t="shared" si="2"/>
        <v>13</v>
      </c>
      <c r="C21" s="15">
        <v>1</v>
      </c>
      <c r="D21" s="471">
        <v>17.579999999999998</v>
      </c>
      <c r="E21" s="932">
        <v>44653</v>
      </c>
      <c r="F21" s="854">
        <f t="shared" si="0"/>
        <v>17.579999999999998</v>
      </c>
      <c r="G21" s="472" t="s">
        <v>376</v>
      </c>
      <c r="H21" s="539">
        <v>47</v>
      </c>
      <c r="I21" s="272">
        <f t="shared" si="4"/>
        <v>249.76999999999998</v>
      </c>
      <c r="L21" s="886">
        <f t="shared" si="3"/>
        <v>40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400</v>
      </c>
    </row>
    <row r="22" spans="1:19" ht="15" customHeight="1" x14ac:dyDescent="0.25">
      <c r="B22" s="886">
        <f t="shared" si="2"/>
        <v>12</v>
      </c>
      <c r="C22" s="15">
        <v>1</v>
      </c>
      <c r="D22" s="471">
        <v>19.13</v>
      </c>
      <c r="E22" s="932">
        <v>44653</v>
      </c>
      <c r="F22" s="854">
        <f t="shared" si="0"/>
        <v>19.13</v>
      </c>
      <c r="G22" s="540" t="s">
        <v>378</v>
      </c>
      <c r="H22" s="541">
        <v>47</v>
      </c>
      <c r="I22" s="272">
        <f t="shared" si="4"/>
        <v>230.64</v>
      </c>
      <c r="L22" s="886">
        <f t="shared" si="3"/>
        <v>40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400</v>
      </c>
    </row>
    <row r="23" spans="1:19" ht="15" customHeight="1" x14ac:dyDescent="0.25">
      <c r="B23" s="886">
        <f t="shared" si="2"/>
        <v>7</v>
      </c>
      <c r="C23" s="15">
        <v>5</v>
      </c>
      <c r="D23" s="471">
        <v>93.79</v>
      </c>
      <c r="E23" s="932">
        <v>44659</v>
      </c>
      <c r="F23" s="854">
        <f t="shared" si="0"/>
        <v>93.79</v>
      </c>
      <c r="G23" s="540" t="s">
        <v>410</v>
      </c>
      <c r="H23" s="541">
        <v>47</v>
      </c>
      <c r="I23" s="272">
        <f t="shared" si="4"/>
        <v>136.84999999999997</v>
      </c>
      <c r="L23" s="886">
        <f t="shared" si="3"/>
        <v>40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400</v>
      </c>
    </row>
    <row r="24" spans="1:19" ht="15" customHeight="1" x14ac:dyDescent="0.25">
      <c r="B24" s="886">
        <f t="shared" si="2"/>
        <v>6</v>
      </c>
      <c r="C24" s="15">
        <v>1</v>
      </c>
      <c r="D24" s="471">
        <v>19.13</v>
      </c>
      <c r="E24" s="932">
        <v>44660</v>
      </c>
      <c r="F24" s="854">
        <f t="shared" si="0"/>
        <v>19.13</v>
      </c>
      <c r="G24" s="540" t="s">
        <v>363</v>
      </c>
      <c r="H24" s="541">
        <v>47</v>
      </c>
      <c r="I24" s="272">
        <f t="shared" si="4"/>
        <v>117.71999999999997</v>
      </c>
      <c r="L24" s="886">
        <f t="shared" si="3"/>
        <v>40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400</v>
      </c>
    </row>
    <row r="25" spans="1:19" ht="15" customHeight="1" x14ac:dyDescent="0.25">
      <c r="B25" s="886">
        <f t="shared" si="2"/>
        <v>5</v>
      </c>
      <c r="C25" s="15">
        <v>1</v>
      </c>
      <c r="D25" s="471">
        <v>21.18</v>
      </c>
      <c r="E25" s="932">
        <v>44660</v>
      </c>
      <c r="F25" s="854">
        <f t="shared" si="0"/>
        <v>21.18</v>
      </c>
      <c r="G25" s="540" t="s">
        <v>418</v>
      </c>
      <c r="H25" s="541">
        <v>47</v>
      </c>
      <c r="I25" s="272">
        <f t="shared" si="4"/>
        <v>96.539999999999964</v>
      </c>
      <c r="L25" s="886">
        <f t="shared" si="3"/>
        <v>40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400</v>
      </c>
    </row>
    <row r="26" spans="1:19" ht="15" customHeight="1" x14ac:dyDescent="0.25">
      <c r="B26" s="886">
        <f t="shared" si="2"/>
        <v>0</v>
      </c>
      <c r="C26" s="15">
        <v>5</v>
      </c>
      <c r="D26" s="471">
        <v>96.54</v>
      </c>
      <c r="E26" s="932">
        <v>44673</v>
      </c>
      <c r="F26" s="854">
        <f t="shared" si="0"/>
        <v>96.54</v>
      </c>
      <c r="G26" s="540" t="s">
        <v>549</v>
      </c>
      <c r="H26" s="541">
        <v>47</v>
      </c>
      <c r="I26" s="272">
        <f t="shared" si="4"/>
        <v>0</v>
      </c>
      <c r="L26" s="886">
        <f t="shared" si="3"/>
        <v>40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400</v>
      </c>
    </row>
    <row r="27" spans="1:19" ht="15" customHeight="1" x14ac:dyDescent="0.25">
      <c r="B27" s="886">
        <f t="shared" si="2"/>
        <v>0</v>
      </c>
      <c r="C27" s="15"/>
      <c r="D27" s="471">
        <v>0</v>
      </c>
      <c r="E27" s="932"/>
      <c r="F27" s="1100">
        <f t="shared" si="0"/>
        <v>0</v>
      </c>
      <c r="G27" s="1101"/>
      <c r="H27" s="1102"/>
      <c r="I27" s="1103">
        <f t="shared" si="4"/>
        <v>0</v>
      </c>
      <c r="L27" s="886">
        <f t="shared" si="3"/>
        <v>40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400</v>
      </c>
    </row>
    <row r="28" spans="1:19" ht="15" customHeight="1" x14ac:dyDescent="0.25">
      <c r="A28" s="47"/>
      <c r="B28" s="886">
        <f t="shared" si="2"/>
        <v>0</v>
      </c>
      <c r="C28" s="15"/>
      <c r="D28" s="471">
        <v>0</v>
      </c>
      <c r="E28" s="932"/>
      <c r="F28" s="1100">
        <f t="shared" si="0"/>
        <v>0</v>
      </c>
      <c r="G28" s="1101"/>
      <c r="H28" s="1102"/>
      <c r="I28" s="1103">
        <f t="shared" si="4"/>
        <v>0</v>
      </c>
      <c r="K28" s="47"/>
      <c r="L28" s="886">
        <f t="shared" si="3"/>
        <v>40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400</v>
      </c>
    </row>
    <row r="29" spans="1:19" ht="15" customHeight="1" x14ac:dyDescent="0.25">
      <c r="A29" s="47"/>
      <c r="B29" s="886">
        <f t="shared" si="2"/>
        <v>0</v>
      </c>
      <c r="C29" s="15"/>
      <c r="D29" s="471">
        <v>0</v>
      </c>
      <c r="E29" s="932"/>
      <c r="F29" s="1100">
        <f t="shared" si="0"/>
        <v>0</v>
      </c>
      <c r="G29" s="1101"/>
      <c r="H29" s="1102"/>
      <c r="I29" s="1103">
        <f t="shared" si="4"/>
        <v>0</v>
      </c>
      <c r="K29" s="47"/>
      <c r="L29" s="886">
        <f t="shared" si="3"/>
        <v>40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400</v>
      </c>
    </row>
    <row r="30" spans="1:19" ht="15" customHeight="1" x14ac:dyDescent="0.25">
      <c r="A30" s="47"/>
      <c r="B30" s="886">
        <f t="shared" si="2"/>
        <v>0</v>
      </c>
      <c r="C30" s="15"/>
      <c r="D30" s="471">
        <v>0</v>
      </c>
      <c r="E30" s="932"/>
      <c r="F30" s="1100">
        <f t="shared" si="0"/>
        <v>0</v>
      </c>
      <c r="G30" s="1101"/>
      <c r="H30" s="1102"/>
      <c r="I30" s="1103">
        <f t="shared" si="4"/>
        <v>0</v>
      </c>
      <c r="K30" s="47"/>
      <c r="L30" s="886">
        <f t="shared" si="3"/>
        <v>40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400</v>
      </c>
    </row>
    <row r="31" spans="1:19" ht="15" customHeight="1" x14ac:dyDescent="0.25">
      <c r="A31" s="47"/>
      <c r="B31" s="886">
        <f t="shared" si="2"/>
        <v>0</v>
      </c>
      <c r="C31" s="15"/>
      <c r="D31" s="471">
        <v>0</v>
      </c>
      <c r="E31" s="932"/>
      <c r="F31" s="854">
        <f t="shared" si="0"/>
        <v>0</v>
      </c>
      <c r="G31" s="472"/>
      <c r="H31" s="539"/>
      <c r="I31" s="272">
        <f t="shared" si="4"/>
        <v>0</v>
      </c>
      <c r="K31" s="47"/>
      <c r="L31" s="886">
        <f t="shared" si="3"/>
        <v>40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400</v>
      </c>
    </row>
    <row r="32" spans="1:19" ht="15" customHeight="1" x14ac:dyDescent="0.25">
      <c r="A32" s="47"/>
      <c r="B32" s="886">
        <f t="shared" si="2"/>
        <v>0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0</v>
      </c>
      <c r="K32" s="47"/>
      <c r="L32" s="886">
        <f t="shared" si="3"/>
        <v>40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400</v>
      </c>
    </row>
    <row r="33" spans="1:19" ht="15" customHeight="1" x14ac:dyDescent="0.25">
      <c r="A33" s="47"/>
      <c r="B33" s="886">
        <f t="shared" si="2"/>
        <v>0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0</v>
      </c>
      <c r="K33" s="47"/>
      <c r="L33" s="886">
        <f t="shared" si="3"/>
        <v>40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400</v>
      </c>
    </row>
    <row r="34" spans="1:19" ht="15" customHeight="1" x14ac:dyDescent="0.25">
      <c r="A34" s="47"/>
      <c r="B34" s="886">
        <f t="shared" si="2"/>
        <v>0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0</v>
      </c>
      <c r="K34" s="47"/>
      <c r="L34" s="886">
        <f t="shared" si="3"/>
        <v>40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400</v>
      </c>
    </row>
    <row r="35" spans="1:19" ht="15.75" thickBot="1" x14ac:dyDescent="0.3">
      <c r="A35" s="121"/>
      <c r="B35" s="886">
        <f t="shared" si="2"/>
        <v>0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86">
        <f t="shared" si="3"/>
        <v>40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81</v>
      </c>
      <c r="D36" s="105">
        <f>SUM(D8:D35)</f>
        <v>1506.21</v>
      </c>
      <c r="E36" s="75"/>
      <c r="F36" s="105">
        <f>SUM(F8:F35)</f>
        <v>1506.21</v>
      </c>
      <c r="K36" s="47">
        <f>SUM(K28:K35)</f>
        <v>0</v>
      </c>
      <c r="M36" s="73">
        <f>SUM(M8:M35)</f>
        <v>10</v>
      </c>
      <c r="N36" s="105">
        <f>SUM(N8:N35)</f>
        <v>100</v>
      </c>
      <c r="O36" s="75"/>
      <c r="P36" s="105">
        <f>SUM(P8:P35)</f>
        <v>100</v>
      </c>
    </row>
    <row r="37" spans="1:19" ht="15.75" thickBot="1" x14ac:dyDescent="0.3">
      <c r="A37" s="47"/>
      <c r="K37" s="47"/>
    </row>
    <row r="38" spans="1:19" x14ac:dyDescent="0.25">
      <c r="B38" s="884"/>
      <c r="D38" s="1226" t="s">
        <v>21</v>
      </c>
      <c r="E38" s="1227"/>
      <c r="F38" s="143">
        <f>E4+E5-F36+E6</f>
        <v>0</v>
      </c>
      <c r="L38" s="884"/>
      <c r="N38" s="1226" t="s">
        <v>21</v>
      </c>
      <c r="O38" s="1227"/>
      <c r="P38" s="143">
        <f>O4+O5-P36+O6</f>
        <v>400</v>
      </c>
    </row>
    <row r="39" spans="1:19" ht="15.75" thickBot="1" x14ac:dyDescent="0.3">
      <c r="A39" s="125"/>
      <c r="D39" s="743" t="s">
        <v>4</v>
      </c>
      <c r="E39" s="744"/>
      <c r="F39" s="49">
        <f>F4+F5-C36+F6</f>
        <v>0</v>
      </c>
      <c r="K39" s="125"/>
      <c r="N39" s="1093" t="s">
        <v>4</v>
      </c>
      <c r="O39" s="1094"/>
      <c r="P39" s="49">
        <f>P4+P5-M36+P6</f>
        <v>40</v>
      </c>
    </row>
    <row r="40" spans="1:19" x14ac:dyDescent="0.25">
      <c r="B40" s="884"/>
      <c r="L40" s="884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1"/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220"/>
      <c r="B5" s="1244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220"/>
      <c r="B6" s="1245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5"/>
      <c r="D8" s="69">
        <f t="shared" ref="D8:D39" si="0">C8*B8</f>
        <v>0</v>
      </c>
      <c r="E8" s="329"/>
      <c r="F8" s="686">
        <f t="shared" ref="F8:F15" si="1">D8</f>
        <v>0</v>
      </c>
      <c r="G8" s="268"/>
      <c r="H8" s="289"/>
      <c r="I8" s="725">
        <f>E4+E5+E6-F8</f>
        <v>0</v>
      </c>
      <c r="J8" s="684">
        <f>H8*F8</f>
        <v>0</v>
      </c>
    </row>
    <row r="9" spans="1:10" ht="15.75" x14ac:dyDescent="0.25">
      <c r="B9" s="197">
        <v>13</v>
      </c>
      <c r="C9" s="685"/>
      <c r="D9" s="69">
        <f t="shared" si="0"/>
        <v>0</v>
      </c>
      <c r="E9" s="329"/>
      <c r="F9" s="726">
        <f t="shared" si="1"/>
        <v>0</v>
      </c>
      <c r="G9" s="268"/>
      <c r="H9" s="289"/>
      <c r="I9" s="727">
        <f>I8-F9</f>
        <v>0</v>
      </c>
      <c r="J9" s="724">
        <f t="shared" ref="J9:J39" si="2">H9*F9</f>
        <v>0</v>
      </c>
    </row>
    <row r="10" spans="1:10" ht="15.75" x14ac:dyDescent="0.25">
      <c r="B10" s="197">
        <v>13</v>
      </c>
      <c r="C10" s="685"/>
      <c r="D10" s="69">
        <f t="shared" si="0"/>
        <v>0</v>
      </c>
      <c r="E10" s="329"/>
      <c r="F10" s="726">
        <f t="shared" si="1"/>
        <v>0</v>
      </c>
      <c r="G10" s="268"/>
      <c r="H10" s="289"/>
      <c r="I10" s="727">
        <f t="shared" ref="I10:I38" si="3">I9-F10</f>
        <v>0</v>
      </c>
      <c r="J10" s="724">
        <f t="shared" si="2"/>
        <v>0</v>
      </c>
    </row>
    <row r="11" spans="1:10" ht="15.75" x14ac:dyDescent="0.25">
      <c r="A11" s="55" t="s">
        <v>33</v>
      </c>
      <c r="B11" s="197">
        <v>13</v>
      </c>
      <c r="C11" s="685"/>
      <c r="D11" s="69">
        <f t="shared" si="0"/>
        <v>0</v>
      </c>
      <c r="E11" s="329"/>
      <c r="F11" s="726">
        <f t="shared" si="1"/>
        <v>0</v>
      </c>
      <c r="G11" s="268"/>
      <c r="H11" s="289"/>
      <c r="I11" s="727">
        <f t="shared" si="3"/>
        <v>0</v>
      </c>
      <c r="J11" s="724">
        <f t="shared" si="2"/>
        <v>0</v>
      </c>
    </row>
    <row r="12" spans="1:10" ht="15.75" x14ac:dyDescent="0.25">
      <c r="B12" s="197">
        <v>13</v>
      </c>
      <c r="C12" s="685"/>
      <c r="D12" s="69">
        <f t="shared" si="0"/>
        <v>0</v>
      </c>
      <c r="E12" s="329"/>
      <c r="F12" s="726">
        <f t="shared" si="1"/>
        <v>0</v>
      </c>
      <c r="G12" s="268"/>
      <c r="H12" s="289"/>
      <c r="I12" s="727">
        <f t="shared" si="3"/>
        <v>0</v>
      </c>
      <c r="J12" s="724">
        <f t="shared" si="2"/>
        <v>0</v>
      </c>
    </row>
    <row r="13" spans="1:10" ht="15.75" x14ac:dyDescent="0.25">
      <c r="A13" s="19"/>
      <c r="B13" s="197">
        <v>13</v>
      </c>
      <c r="C13" s="933"/>
      <c r="D13" s="69">
        <f t="shared" si="0"/>
        <v>0</v>
      </c>
      <c r="E13" s="329"/>
      <c r="F13" s="726">
        <f t="shared" si="1"/>
        <v>0</v>
      </c>
      <c r="G13" s="268"/>
      <c r="H13" s="289"/>
      <c r="I13" s="727">
        <f t="shared" si="3"/>
        <v>0</v>
      </c>
      <c r="J13" s="724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6">
        <f t="shared" si="1"/>
        <v>0</v>
      </c>
      <c r="G14" s="268"/>
      <c r="H14" s="289"/>
      <c r="I14" s="727">
        <f t="shared" si="3"/>
        <v>0</v>
      </c>
      <c r="J14" s="687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6">
        <f t="shared" si="1"/>
        <v>0</v>
      </c>
      <c r="G15" s="70"/>
      <c r="H15" s="598"/>
      <c r="I15" s="727">
        <f t="shared" si="3"/>
        <v>0</v>
      </c>
      <c r="J15" s="687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6">
        <f>D16</f>
        <v>0</v>
      </c>
      <c r="G16" s="70"/>
      <c r="H16" s="598"/>
      <c r="I16" s="727">
        <f t="shared" si="3"/>
        <v>0</v>
      </c>
      <c r="J16" s="687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6">
        <f>D17</f>
        <v>0</v>
      </c>
      <c r="G17" s="70"/>
      <c r="H17" s="598"/>
      <c r="I17" s="727">
        <f t="shared" si="3"/>
        <v>0</v>
      </c>
      <c r="J17" s="687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6">
        <f t="shared" ref="F18:F39" si="4">D18</f>
        <v>0</v>
      </c>
      <c r="G18" s="70"/>
      <c r="H18" s="850"/>
      <c r="I18" s="727">
        <f t="shared" si="3"/>
        <v>0</v>
      </c>
      <c r="J18" s="687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6">
        <f t="shared" si="4"/>
        <v>0</v>
      </c>
      <c r="G19" s="268"/>
      <c r="H19" s="851"/>
      <c r="I19" s="727">
        <f t="shared" si="3"/>
        <v>0</v>
      </c>
      <c r="J19" s="687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6">
        <f t="shared" si="4"/>
        <v>0</v>
      </c>
      <c r="G20" s="268"/>
      <c r="H20" s="851"/>
      <c r="I20" s="727">
        <f t="shared" si="3"/>
        <v>0</v>
      </c>
      <c r="J20" s="687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6">
        <f t="shared" si="4"/>
        <v>0</v>
      </c>
      <c r="G21" s="268"/>
      <c r="H21" s="851"/>
      <c r="I21" s="727">
        <f t="shared" si="3"/>
        <v>0</v>
      </c>
      <c r="J21" s="687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6">
        <f t="shared" si="4"/>
        <v>0</v>
      </c>
      <c r="G22" s="268"/>
      <c r="H22" s="851"/>
      <c r="I22" s="727">
        <f t="shared" si="3"/>
        <v>0</v>
      </c>
      <c r="J22" s="687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6">
        <f t="shared" si="4"/>
        <v>0</v>
      </c>
      <c r="G23" s="268"/>
      <c r="H23" s="893"/>
      <c r="I23" s="727">
        <f t="shared" si="3"/>
        <v>0</v>
      </c>
      <c r="J23" s="687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6">
        <f t="shared" si="4"/>
        <v>0</v>
      </c>
      <c r="G24" s="268"/>
      <c r="H24" s="893"/>
      <c r="I24" s="728">
        <f t="shared" si="3"/>
        <v>0</v>
      </c>
      <c r="J24" s="687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6">
        <f t="shared" si="4"/>
        <v>0</v>
      </c>
      <c r="G25" s="268"/>
      <c r="H25" s="893"/>
      <c r="I25" s="728">
        <f t="shared" si="3"/>
        <v>0</v>
      </c>
      <c r="J25" s="687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6">
        <f t="shared" si="4"/>
        <v>0</v>
      </c>
      <c r="G26" s="70"/>
      <c r="H26" s="894"/>
      <c r="I26" s="728">
        <f t="shared" si="3"/>
        <v>0</v>
      </c>
      <c r="J26" s="687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6">
        <f t="shared" si="4"/>
        <v>0</v>
      </c>
      <c r="G27" s="70"/>
      <c r="H27" s="894"/>
      <c r="I27" s="728">
        <f t="shared" si="3"/>
        <v>0</v>
      </c>
      <c r="J27" s="687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6">
        <f t="shared" si="4"/>
        <v>0</v>
      </c>
      <c r="G28" s="70"/>
      <c r="H28" s="894"/>
      <c r="I28" s="728">
        <f t="shared" si="3"/>
        <v>0</v>
      </c>
      <c r="J28" s="687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6">
        <f t="shared" si="4"/>
        <v>0</v>
      </c>
      <c r="G29" s="70"/>
      <c r="H29" s="894"/>
      <c r="I29" s="728">
        <f t="shared" si="3"/>
        <v>0</v>
      </c>
      <c r="J29" s="687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6">
        <f t="shared" si="4"/>
        <v>0</v>
      </c>
      <c r="G30" s="70"/>
      <c r="H30" s="894"/>
      <c r="I30" s="728">
        <f t="shared" si="3"/>
        <v>0</v>
      </c>
      <c r="J30" s="687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6">
        <f t="shared" si="4"/>
        <v>0</v>
      </c>
      <c r="G31" s="70"/>
      <c r="H31" s="894"/>
      <c r="I31" s="728">
        <f t="shared" si="3"/>
        <v>0</v>
      </c>
      <c r="J31" s="687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6">
        <f t="shared" si="4"/>
        <v>0</v>
      </c>
      <c r="G32" s="70"/>
      <c r="H32" s="894"/>
      <c r="I32" s="728">
        <f t="shared" si="3"/>
        <v>0</v>
      </c>
      <c r="J32" s="687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6">
        <f t="shared" si="4"/>
        <v>0</v>
      </c>
      <c r="G33" s="70"/>
      <c r="H33" s="894"/>
      <c r="I33" s="728">
        <f t="shared" si="3"/>
        <v>0</v>
      </c>
      <c r="J33" s="687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6">
        <f t="shared" si="4"/>
        <v>0</v>
      </c>
      <c r="G34" s="70"/>
      <c r="H34" s="894"/>
      <c r="I34" s="728">
        <f t="shared" si="3"/>
        <v>0</v>
      </c>
      <c r="J34" s="687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6">
        <f t="shared" si="4"/>
        <v>0</v>
      </c>
      <c r="G35" s="70"/>
      <c r="H35" s="894"/>
      <c r="I35" s="728">
        <f t="shared" si="3"/>
        <v>0</v>
      </c>
      <c r="J35" s="687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6">
        <f t="shared" si="4"/>
        <v>0</v>
      </c>
      <c r="G36" s="70"/>
      <c r="H36" s="598"/>
      <c r="I36" s="728">
        <f t="shared" si="3"/>
        <v>0</v>
      </c>
      <c r="J36" s="687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6">
        <f t="shared" si="4"/>
        <v>0</v>
      </c>
      <c r="G37" s="70"/>
      <c r="H37" s="598"/>
      <c r="I37" s="728">
        <f t="shared" si="3"/>
        <v>0</v>
      </c>
      <c r="J37" s="687">
        <f t="shared" si="2"/>
        <v>0</v>
      </c>
    </row>
    <row r="38" spans="1:10" ht="15.75" x14ac:dyDescent="0.25">
      <c r="A38" s="47"/>
      <c r="B38" s="197">
        <v>13</v>
      </c>
      <c r="C38" s="685"/>
      <c r="D38" s="69">
        <f t="shared" si="0"/>
        <v>0</v>
      </c>
      <c r="E38" s="329"/>
      <c r="F38" s="686">
        <f t="shared" si="4"/>
        <v>0</v>
      </c>
      <c r="G38" s="70"/>
      <c r="H38" s="598"/>
      <c r="I38" s="728">
        <f t="shared" si="3"/>
        <v>0</v>
      </c>
      <c r="J38" s="687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2"/>
      <c r="J39" s="68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6" t="s">
        <v>21</v>
      </c>
      <c r="E42" s="1227"/>
      <c r="F42" s="143">
        <f>E4+E5-F40+E6</f>
        <v>0</v>
      </c>
    </row>
    <row r="43" spans="1:10" ht="15.75" thickBot="1" x14ac:dyDescent="0.3">
      <c r="A43" s="125"/>
      <c r="D43" s="900" t="s">
        <v>4</v>
      </c>
      <c r="E43" s="90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2022-05-24T16:24:52Z</dcterms:modified>
</cp:coreProperties>
</file>