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drawings/drawing9.xml" ContentType="application/vnd.openxmlformats-officedocument.drawing+xml"/>
  <Override PartName="/xl/comments9.xml" ContentType="application/vnd.openxmlformats-officedocument.spreadsheetml.comments+xml"/>
  <Override PartName="/xl/drawings/drawing10.xml" ContentType="application/vnd.openxmlformats-officedocument.drawing+xml"/>
  <Override PartName="/xl/comments10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2 0 2 1\CENTRAL # 09  SEPTIEMBRE 2021\"/>
    </mc:Choice>
  </mc:AlternateContent>
  <bookViews>
    <workbookView xWindow="0" yWindow="0" windowWidth="17190" windowHeight="10725" firstSheet="17" activeTab="17"/>
  </bookViews>
  <sheets>
    <sheet name="E N E R O     2 0 2 1    " sheetId="1" r:id="rId1"/>
    <sheet name="REMISIONES   ENERO  2021  " sheetId="2" r:id="rId2"/>
    <sheet name="FEBRERO    2021   " sheetId="3" r:id="rId3"/>
    <sheet name="REMISIONES  FEBRERO   2021   " sheetId="7" r:id="rId4"/>
    <sheet name="M A R Z O     2 0 2 1     " sheetId="8" r:id="rId5"/>
    <sheet name="REMISIONES  MARZO    2021    " sheetId="9" r:id="rId6"/>
    <sheet name="A B R I L     2 0 2 1     " sheetId="10" r:id="rId7"/>
    <sheet name="REMISIONES    ABRIL   2021   " sheetId="11" r:id="rId8"/>
    <sheet name="M A Y O      2 0 2 1      " sheetId="12" r:id="rId9"/>
    <sheet name="REMISIONES  MAYO   2021   " sheetId="4" r:id="rId10"/>
    <sheet name="J U N I O      2 0 2 1      " sheetId="13" r:id="rId11"/>
    <sheet name="REMISIONES   JUNIO   2021     " sheetId="14" r:id="rId12"/>
    <sheet name="JUNIO    PREREPORTE     " sheetId="15" r:id="rId13"/>
    <sheet name=" J U L I O      2 0 2 1       " sheetId="16" r:id="rId14"/>
    <sheet name="REMISIONES  J U L I O   2021   " sheetId="20" r:id="rId15"/>
    <sheet name="A G O S TO    2 0 2 1     " sheetId="19" r:id="rId16"/>
    <sheet name="REMISIONES  AGOSTO  2021  " sheetId="22" r:id="rId17"/>
    <sheet name="SEPTIEMBRE     2 0 2 1     " sheetId="27" r:id="rId18"/>
    <sheet name="REMISIONES  SEPTIEMBRE 2021 " sheetId="28" r:id="rId19"/>
    <sheet name="Hoja6" sheetId="29" r:id="rId20"/>
    <sheet name="Hoja7" sheetId="30" r:id="rId21"/>
    <sheet name="C A N C E L A C I O N E S   " sheetId="5" r:id="rId22"/>
    <sheet name="REPORTE  JUNIO  JULIO  AGOSTO  " sheetId="23" r:id="rId23"/>
    <sheet name="RELACION DE TIKETS       00000" sheetId="17" r:id="rId24"/>
    <sheet name="Hoja1" sheetId="25" r:id="rId25"/>
    <sheet name="Hoja3" sheetId="26" r:id="rId26"/>
    <sheet name="Hoja2" sheetId="24" r:id="rId2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3" i="27" l="1"/>
  <c r="N19" i="27" l="1"/>
  <c r="N18" i="27" l="1"/>
  <c r="M58" i="19" l="1"/>
  <c r="M39" i="19"/>
  <c r="N15" i="27" l="1"/>
  <c r="L15" i="27"/>
  <c r="N11" i="27" l="1"/>
  <c r="N10" i="27"/>
  <c r="C9" i="27" l="1"/>
  <c r="L8" i="27" l="1"/>
  <c r="E97" i="28" l="1"/>
  <c r="C97" i="28"/>
  <c r="F3" i="28"/>
  <c r="F4" i="28" s="1"/>
  <c r="F5" i="28" s="1"/>
  <c r="F6" i="28" s="1"/>
  <c r="F7" i="28" s="1"/>
  <c r="F8" i="28" s="1"/>
  <c r="F9" i="28" s="1"/>
  <c r="F10" i="28" s="1"/>
  <c r="F11" i="28" s="1"/>
  <c r="F12" i="28" s="1"/>
  <c r="F13" i="28" s="1"/>
  <c r="F14" i="28" s="1"/>
  <c r="F15" i="28" s="1"/>
  <c r="F16" i="28" s="1"/>
  <c r="F17" i="28" s="1"/>
  <c r="F18" i="28" s="1"/>
  <c r="F19" i="28" s="1"/>
  <c r="F20" i="28" s="1"/>
  <c r="F21" i="28" s="1"/>
  <c r="F22" i="28" s="1"/>
  <c r="F23" i="28" s="1"/>
  <c r="F24" i="28" s="1"/>
  <c r="F25" i="28" s="1"/>
  <c r="F26" i="28" s="1"/>
  <c r="F27" i="28" s="1"/>
  <c r="F28" i="28" s="1"/>
  <c r="F29" i="28" s="1"/>
  <c r="F30" i="28" s="1"/>
  <c r="F31" i="28" s="1"/>
  <c r="F32" i="28" s="1"/>
  <c r="F33" i="28" s="1"/>
  <c r="F34" i="28" s="1"/>
  <c r="F35" i="28" s="1"/>
  <c r="F36" i="28" s="1"/>
  <c r="F37" i="28" s="1"/>
  <c r="F38" i="28" s="1"/>
  <c r="F39" i="28" s="1"/>
  <c r="F40" i="28" s="1"/>
  <c r="F41" i="28" s="1"/>
  <c r="F42" i="28" s="1"/>
  <c r="F43" i="28" s="1"/>
  <c r="F44" i="28" s="1"/>
  <c r="F45" i="28" s="1"/>
  <c r="F46" i="28" s="1"/>
  <c r="F47" i="28" s="1"/>
  <c r="F48" i="28" s="1"/>
  <c r="F49" i="28" s="1"/>
  <c r="F50" i="28" s="1"/>
  <c r="F51" i="28" s="1"/>
  <c r="F52" i="28" s="1"/>
  <c r="F53" i="28" s="1"/>
  <c r="F54" i="28" s="1"/>
  <c r="F55" i="28" s="1"/>
  <c r="F56" i="28" s="1"/>
  <c r="F57" i="28" s="1"/>
  <c r="F58" i="28" s="1"/>
  <c r="F59" i="28" s="1"/>
  <c r="F60" i="28" s="1"/>
  <c r="F61" i="28" s="1"/>
  <c r="F62" i="28" s="1"/>
  <c r="F63" i="28" s="1"/>
  <c r="F64" i="28" s="1"/>
  <c r="F65" i="28" s="1"/>
  <c r="F66" i="28" s="1"/>
  <c r="F67" i="28" s="1"/>
  <c r="F68" i="28" s="1"/>
  <c r="F69" i="28" s="1"/>
  <c r="F70" i="28" s="1"/>
  <c r="F71" i="28" s="1"/>
  <c r="F72" i="28" s="1"/>
  <c r="F73" i="28" s="1"/>
  <c r="F74" i="28" s="1"/>
  <c r="F75" i="28" s="1"/>
  <c r="F76" i="28" s="1"/>
  <c r="F77" i="28" s="1"/>
  <c r="F78" i="28" s="1"/>
  <c r="F79" i="28" s="1"/>
  <c r="F80" i="28" s="1"/>
  <c r="F81" i="28" s="1"/>
  <c r="F82" i="28" s="1"/>
  <c r="F83" i="28" s="1"/>
  <c r="F84" i="28" s="1"/>
  <c r="F85" i="28" s="1"/>
  <c r="F86" i="28" s="1"/>
  <c r="F87" i="28" s="1"/>
  <c r="F88" i="28" s="1"/>
  <c r="F89" i="28" s="1"/>
  <c r="F90" i="28" s="1"/>
  <c r="F91" i="28" s="1"/>
  <c r="F92" i="28" s="1"/>
  <c r="F93" i="28" s="1"/>
  <c r="F94" i="28" s="1"/>
  <c r="F95" i="28" s="1"/>
  <c r="F96" i="28" s="1"/>
  <c r="F97" i="28" s="1"/>
  <c r="M58" i="27"/>
  <c r="K73" i="27"/>
  <c r="I67" i="27"/>
  <c r="C67" i="27"/>
  <c r="AG44" i="27"/>
  <c r="M39" i="27"/>
  <c r="R38" i="27"/>
  <c r="R37" i="27"/>
  <c r="R36" i="27"/>
  <c r="R35" i="27"/>
  <c r="S35" i="27" s="1"/>
  <c r="R34" i="27"/>
  <c r="S34" i="27" s="1"/>
  <c r="R33" i="27"/>
  <c r="S33" i="27" s="1"/>
  <c r="R32" i="27"/>
  <c r="S32" i="27" s="1"/>
  <c r="R31" i="27"/>
  <c r="S31" i="27" s="1"/>
  <c r="R30" i="27"/>
  <c r="S30" i="27" s="1"/>
  <c r="AC29" i="27"/>
  <c r="AG25" i="27" s="1"/>
  <c r="R29" i="27"/>
  <c r="S29" i="27" s="1"/>
  <c r="R28" i="27"/>
  <c r="S28" i="27" s="1"/>
  <c r="R27" i="27"/>
  <c r="S27" i="27" s="1"/>
  <c r="R26" i="27"/>
  <c r="S26" i="27" s="1"/>
  <c r="R25" i="27"/>
  <c r="S25" i="27" s="1"/>
  <c r="R24" i="27"/>
  <c r="S24" i="27" s="1"/>
  <c r="AG23" i="27"/>
  <c r="R23" i="27"/>
  <c r="S23" i="27" s="1"/>
  <c r="R22" i="27"/>
  <c r="S22" i="27" s="1"/>
  <c r="R21" i="27"/>
  <c r="S21" i="27" s="1"/>
  <c r="R20" i="27"/>
  <c r="S20" i="27" s="1"/>
  <c r="R19" i="27"/>
  <c r="S19" i="27" s="1"/>
  <c r="R18" i="27"/>
  <c r="R17" i="27"/>
  <c r="S17" i="27" s="1"/>
  <c r="R16" i="27"/>
  <c r="S16" i="27" s="1"/>
  <c r="R15" i="27"/>
  <c r="S15" i="27" s="1"/>
  <c r="R14" i="27"/>
  <c r="S14" i="27" s="1"/>
  <c r="R13" i="27"/>
  <c r="S13" i="27" s="1"/>
  <c r="R12" i="27"/>
  <c r="S12" i="27" s="1"/>
  <c r="R11" i="27"/>
  <c r="S11" i="27" s="1"/>
  <c r="R10" i="27"/>
  <c r="S10" i="27" s="1"/>
  <c r="R9" i="27"/>
  <c r="S9" i="27" s="1"/>
  <c r="L67" i="27"/>
  <c r="F67" i="27"/>
  <c r="R7" i="27"/>
  <c r="S7" i="27" s="1"/>
  <c r="R6" i="27"/>
  <c r="S6" i="27" s="1"/>
  <c r="R5" i="27"/>
  <c r="K69" i="27" l="1"/>
  <c r="F70" i="27" s="1"/>
  <c r="F73" i="27" s="1"/>
  <c r="K71" i="27" s="1"/>
  <c r="K75" i="27" s="1"/>
  <c r="S5" i="27"/>
  <c r="N39" i="27"/>
  <c r="R8" i="27"/>
  <c r="S8" i="27" s="1"/>
  <c r="C67" i="19"/>
  <c r="S67" i="27" l="1"/>
  <c r="R39" i="27"/>
  <c r="R67" i="27" s="1"/>
  <c r="L37" i="19"/>
  <c r="L58" i="19"/>
  <c r="L51" i="19"/>
  <c r="R70" i="27" l="1"/>
  <c r="L43" i="19"/>
  <c r="L41" i="19"/>
  <c r="L36" i="19"/>
  <c r="N39" i="19" l="1"/>
  <c r="N37" i="16" l="1"/>
  <c r="N32" i="19"/>
  <c r="N31" i="19"/>
  <c r="L29" i="19"/>
  <c r="N28" i="19"/>
  <c r="F21" i="22" l="1"/>
  <c r="F22" i="22" s="1"/>
  <c r="F23" i="22" s="1"/>
  <c r="F24" i="22" s="1"/>
  <c r="F25" i="22" s="1"/>
  <c r="R22" i="19" l="1"/>
  <c r="L22" i="19"/>
  <c r="L15" i="19" l="1"/>
  <c r="F14" i="19" l="1"/>
  <c r="F13" i="19"/>
  <c r="N12" i="19"/>
  <c r="F12" i="19"/>
  <c r="F11" i="19"/>
  <c r="R9" i="19" l="1"/>
  <c r="F10" i="19"/>
  <c r="F9" i="19"/>
  <c r="L8" i="19"/>
  <c r="F8" i="19"/>
  <c r="F7" i="19"/>
  <c r="F5" i="19"/>
  <c r="F6" i="19"/>
  <c r="L16" i="23" l="1"/>
  <c r="E29" i="23"/>
  <c r="B19" i="23"/>
  <c r="B16" i="23"/>
  <c r="B13" i="23"/>
  <c r="B12" i="23"/>
  <c r="B6" i="23"/>
  <c r="H37" i="23"/>
  <c r="I35" i="23"/>
  <c r="I28" i="23"/>
  <c r="I24" i="23"/>
  <c r="I21" i="23"/>
  <c r="I17" i="23"/>
  <c r="I13" i="23"/>
  <c r="I11" i="23"/>
  <c r="I10" i="23"/>
  <c r="I6" i="23"/>
  <c r="O53" i="23"/>
  <c r="O37" i="23"/>
  <c r="P15" i="23"/>
  <c r="P10" i="23"/>
  <c r="N17" i="19"/>
  <c r="I37" i="23" l="1"/>
  <c r="L21" i="23"/>
  <c r="P37" i="23"/>
  <c r="O58" i="23"/>
  <c r="O62" i="23" s="1"/>
  <c r="R13" i="19" l="1"/>
  <c r="R12" i="19"/>
  <c r="S12" i="19" s="1"/>
  <c r="E97" i="22"/>
  <c r="C97" i="22"/>
  <c r="F3" i="22"/>
  <c r="F4" i="22" s="1"/>
  <c r="F5" i="22" s="1"/>
  <c r="F6" i="22" s="1"/>
  <c r="F7" i="22" s="1"/>
  <c r="F8" i="22" s="1"/>
  <c r="F9" i="22" s="1"/>
  <c r="F10" i="22" s="1"/>
  <c r="F11" i="22" s="1"/>
  <c r="F12" i="22" s="1"/>
  <c r="F13" i="22" s="1"/>
  <c r="F14" i="22" s="1"/>
  <c r="F15" i="22" s="1"/>
  <c r="F16" i="22" s="1"/>
  <c r="F17" i="22" s="1"/>
  <c r="F18" i="22" s="1"/>
  <c r="F19" i="22" s="1"/>
  <c r="F20" i="22" s="1"/>
  <c r="F26" i="22" s="1"/>
  <c r="F27" i="22" s="1"/>
  <c r="F28" i="22" s="1"/>
  <c r="F29" i="22" s="1"/>
  <c r="F30" i="22" s="1"/>
  <c r="F31" i="22" s="1"/>
  <c r="F32" i="22" s="1"/>
  <c r="F33" i="22" s="1"/>
  <c r="F34" i="22" s="1"/>
  <c r="F35" i="22" s="1"/>
  <c r="F36" i="22" s="1"/>
  <c r="F37" i="22" s="1"/>
  <c r="F38" i="22" s="1"/>
  <c r="F39" i="22" s="1"/>
  <c r="F40" i="22" s="1"/>
  <c r="F41" i="22" s="1"/>
  <c r="F42" i="22" s="1"/>
  <c r="F43" i="22" s="1"/>
  <c r="F44" i="22" s="1"/>
  <c r="F45" i="22" s="1"/>
  <c r="F46" i="22" s="1"/>
  <c r="F47" i="22" s="1"/>
  <c r="F48" i="22" s="1"/>
  <c r="F49" i="22" s="1"/>
  <c r="F50" i="22" s="1"/>
  <c r="F51" i="22" s="1"/>
  <c r="F52" i="22" s="1"/>
  <c r="F53" i="22" s="1"/>
  <c r="F54" i="22" s="1"/>
  <c r="F55" i="22" s="1"/>
  <c r="F56" i="22" s="1"/>
  <c r="F57" i="22" s="1"/>
  <c r="F58" i="22" s="1"/>
  <c r="F59" i="22" s="1"/>
  <c r="F60" i="22" s="1"/>
  <c r="F61" i="22" s="1"/>
  <c r="F62" i="22" s="1"/>
  <c r="F63" i="22" s="1"/>
  <c r="F64" i="22" s="1"/>
  <c r="F65" i="22" s="1"/>
  <c r="F66" i="22" s="1"/>
  <c r="F67" i="22" s="1"/>
  <c r="F68" i="22" s="1"/>
  <c r="F69" i="22" s="1"/>
  <c r="F70" i="22" s="1"/>
  <c r="F71" i="22" s="1"/>
  <c r="F72" i="22" s="1"/>
  <c r="F73" i="22" s="1"/>
  <c r="F74" i="22" s="1"/>
  <c r="F75" i="22" s="1"/>
  <c r="F76" i="22" s="1"/>
  <c r="F77" i="22" s="1"/>
  <c r="F78" i="22" s="1"/>
  <c r="F79" i="22" s="1"/>
  <c r="F80" i="22" s="1"/>
  <c r="F81" i="22" s="1"/>
  <c r="F82" i="22" s="1"/>
  <c r="F83" i="22" s="1"/>
  <c r="F84" i="22" s="1"/>
  <c r="F85" i="22" s="1"/>
  <c r="F86" i="22" s="1"/>
  <c r="F87" i="22" s="1"/>
  <c r="F88" i="22" s="1"/>
  <c r="F89" i="22" s="1"/>
  <c r="F90" i="22" s="1"/>
  <c r="F91" i="22" s="1"/>
  <c r="F92" i="22" s="1"/>
  <c r="F93" i="22" s="1"/>
  <c r="F94" i="22" s="1"/>
  <c r="F95" i="22" s="1"/>
  <c r="F96" i="22" s="1"/>
  <c r="F97" i="22" s="1"/>
  <c r="K73" i="19"/>
  <c r="I67" i="19"/>
  <c r="F67" i="19"/>
  <c r="AG44" i="19"/>
  <c r="R38" i="19"/>
  <c r="R37" i="19"/>
  <c r="R36" i="19"/>
  <c r="R35" i="19"/>
  <c r="S35" i="19" s="1"/>
  <c r="R34" i="19"/>
  <c r="S34" i="19" s="1"/>
  <c r="R33" i="19"/>
  <c r="S33" i="19" s="1"/>
  <c r="R32" i="19"/>
  <c r="S32" i="19" s="1"/>
  <c r="R31" i="19"/>
  <c r="S31" i="19" s="1"/>
  <c r="R30" i="19"/>
  <c r="S30" i="19" s="1"/>
  <c r="AC29" i="19"/>
  <c r="R29" i="19"/>
  <c r="S29" i="19" s="1"/>
  <c r="R28" i="19"/>
  <c r="S28" i="19" s="1"/>
  <c r="R27" i="19"/>
  <c r="S27" i="19" s="1"/>
  <c r="R26" i="19"/>
  <c r="S26" i="19" s="1"/>
  <c r="R25" i="19"/>
  <c r="S25" i="19" s="1"/>
  <c r="R24" i="19"/>
  <c r="S24" i="19" s="1"/>
  <c r="AG23" i="19"/>
  <c r="R23" i="19"/>
  <c r="S23" i="19" s="1"/>
  <c r="S22" i="19"/>
  <c r="R21" i="19"/>
  <c r="S21" i="19" s="1"/>
  <c r="R20" i="19"/>
  <c r="S20" i="19" s="1"/>
  <c r="R19" i="19"/>
  <c r="S19" i="19" s="1"/>
  <c r="R18" i="19"/>
  <c r="S18" i="19" s="1"/>
  <c r="R17" i="19"/>
  <c r="S17" i="19" s="1"/>
  <c r="R16" i="19"/>
  <c r="S16" i="19" s="1"/>
  <c r="R15" i="19"/>
  <c r="S15" i="19" s="1"/>
  <c r="R14" i="19"/>
  <c r="S14" i="19" s="1"/>
  <c r="S13" i="19"/>
  <c r="R11" i="19"/>
  <c r="S11" i="19" s="1"/>
  <c r="R10" i="19"/>
  <c r="S10" i="19" s="1"/>
  <c r="S9" i="19"/>
  <c r="R7" i="19"/>
  <c r="S7" i="19" s="1"/>
  <c r="L67" i="19"/>
  <c r="R6" i="19"/>
  <c r="S6" i="19" s="1"/>
  <c r="R5" i="19"/>
  <c r="S5" i="19" s="1"/>
  <c r="AG25" i="19" l="1"/>
  <c r="K69" i="19"/>
  <c r="F70" i="19" s="1"/>
  <c r="F73" i="19" s="1"/>
  <c r="K71" i="19" s="1"/>
  <c r="K75" i="19" s="1"/>
  <c r="R8" i="19"/>
  <c r="S8" i="19" s="1"/>
  <c r="S67" i="19" s="1"/>
  <c r="R39" i="19" l="1"/>
  <c r="R67" i="19" s="1"/>
  <c r="R70" i="19" s="1"/>
  <c r="M57" i="16"/>
  <c r="M39" i="16"/>
  <c r="M62" i="16" l="1"/>
  <c r="C52" i="16"/>
  <c r="L60" i="16" l="1"/>
  <c r="L54" i="16"/>
  <c r="C51" i="16"/>
  <c r="L40" i="16" l="1"/>
  <c r="L53" i="16"/>
  <c r="L43" i="16"/>
  <c r="L51" i="16"/>
  <c r="N26" i="16" l="1"/>
  <c r="L35" i="16"/>
  <c r="N30" i="16"/>
  <c r="L28" i="16"/>
  <c r="P8" i="16" l="1"/>
  <c r="P30" i="16" s="1"/>
  <c r="N23" i="16"/>
  <c r="L21" i="16"/>
  <c r="R21" i="16" s="1"/>
  <c r="N19" i="16" l="1"/>
  <c r="N15" i="16"/>
  <c r="L14" i="16" l="1"/>
  <c r="R14" i="16" s="1"/>
  <c r="L7" i="16"/>
  <c r="R15" i="16"/>
  <c r="R16" i="16"/>
  <c r="R17" i="16"/>
  <c r="R18" i="16"/>
  <c r="R19" i="16"/>
  <c r="N13" i="16"/>
  <c r="N12" i="16"/>
  <c r="N8" i="16"/>
  <c r="N39" i="16" l="1"/>
  <c r="R12" i="16"/>
  <c r="R8" i="16" l="1"/>
  <c r="R9" i="16"/>
  <c r="R10" i="16"/>
  <c r="R11" i="16"/>
  <c r="R13" i="16"/>
  <c r="R20" i="16"/>
  <c r="R22" i="16"/>
  <c r="R23" i="16"/>
  <c r="R24" i="16"/>
  <c r="R25" i="16"/>
  <c r="R26" i="16"/>
  <c r="R27" i="16"/>
  <c r="R28" i="16"/>
  <c r="R29" i="16"/>
  <c r="R30" i="16"/>
  <c r="R31" i="16"/>
  <c r="R32" i="16"/>
  <c r="R33" i="16"/>
  <c r="R34" i="16"/>
  <c r="R35" i="16"/>
  <c r="R36" i="16"/>
  <c r="R37" i="16"/>
  <c r="R38" i="16"/>
  <c r="R6" i="16"/>
  <c r="R5" i="16"/>
  <c r="R7" i="16"/>
  <c r="R39" i="16" l="1"/>
  <c r="S8" i="16"/>
  <c r="E98" i="20"/>
  <c r="C98" i="20"/>
  <c r="F3" i="20"/>
  <c r="F4" i="20" s="1"/>
  <c r="F5" i="20" s="1"/>
  <c r="F6" i="20" s="1"/>
  <c r="F7" i="20" s="1"/>
  <c r="F8" i="20" s="1"/>
  <c r="F9" i="20" s="1"/>
  <c r="F10" i="20" s="1"/>
  <c r="F11" i="20" s="1"/>
  <c r="F12" i="20" s="1"/>
  <c r="F13" i="20" s="1"/>
  <c r="F14" i="20" s="1"/>
  <c r="F15" i="20" s="1"/>
  <c r="F16" i="20" s="1"/>
  <c r="F17" i="20" s="1"/>
  <c r="F18" i="20" s="1"/>
  <c r="F19" i="20" s="1"/>
  <c r="F20" i="20" s="1"/>
  <c r="F21" i="20" s="1"/>
  <c r="F22" i="20" s="1"/>
  <c r="F23" i="20" s="1"/>
  <c r="F24" i="20" s="1"/>
  <c r="F25" i="20" s="1"/>
  <c r="F26" i="20" s="1"/>
  <c r="F27" i="20" s="1"/>
  <c r="F28" i="20" s="1"/>
  <c r="F29" i="20" s="1"/>
  <c r="F30" i="20" s="1"/>
  <c r="F31" i="20" s="1"/>
  <c r="K73" i="16"/>
  <c r="C67" i="16"/>
  <c r="AG44" i="16"/>
  <c r="S35" i="16"/>
  <c r="S34" i="16"/>
  <c r="S33" i="16"/>
  <c r="S32" i="16"/>
  <c r="S31" i="16"/>
  <c r="S30" i="16"/>
  <c r="AC29" i="16"/>
  <c r="S29" i="16"/>
  <c r="S28" i="16"/>
  <c r="S27" i="16"/>
  <c r="S26" i="16"/>
  <c r="S25" i="16"/>
  <c r="I67" i="16"/>
  <c r="AG23" i="16"/>
  <c r="S23" i="16"/>
  <c r="S22" i="16"/>
  <c r="S21" i="16"/>
  <c r="S20" i="16"/>
  <c r="S19" i="16"/>
  <c r="S18" i="16"/>
  <c r="S17" i="16"/>
  <c r="S16" i="16"/>
  <c r="S15" i="16"/>
  <c r="S14" i="16"/>
  <c r="S13" i="16"/>
  <c r="S12" i="16"/>
  <c r="S11" i="16"/>
  <c r="L67" i="16"/>
  <c r="S9" i="16"/>
  <c r="S6" i="16"/>
  <c r="F67" i="16"/>
  <c r="S5" i="16"/>
  <c r="AG25" i="16" l="1"/>
  <c r="F32" i="20"/>
  <c r="F33" i="20" s="1"/>
  <c r="F34" i="20" s="1"/>
  <c r="F35" i="20" s="1"/>
  <c r="F36" i="20" s="1"/>
  <c r="F37" i="20" s="1"/>
  <c r="F38" i="20" s="1"/>
  <c r="F39" i="20" s="1"/>
  <c r="F40" i="20" s="1"/>
  <c r="F41" i="20" s="1"/>
  <c r="F42" i="20" s="1"/>
  <c r="F43" i="20" s="1"/>
  <c r="K69" i="16"/>
  <c r="F70" i="16" s="1"/>
  <c r="F73" i="16" s="1"/>
  <c r="K71" i="16" s="1"/>
  <c r="K75" i="16" s="1"/>
  <c r="S7" i="16"/>
  <c r="S10" i="16"/>
  <c r="S24" i="16"/>
  <c r="K54" i="15"/>
  <c r="N48" i="15"/>
  <c r="C48" i="15"/>
  <c r="L43" i="15"/>
  <c r="L42" i="15"/>
  <c r="L40" i="15"/>
  <c r="L31" i="15"/>
  <c r="L30" i="15"/>
  <c r="R29" i="15"/>
  <c r="L24" i="15"/>
  <c r="I24" i="15"/>
  <c r="I48" i="15" s="1"/>
  <c r="V23" i="15"/>
  <c r="M20" i="15"/>
  <c r="L17" i="15"/>
  <c r="M13" i="15"/>
  <c r="L10" i="15"/>
  <c r="F8" i="15"/>
  <c r="F48" i="15" s="1"/>
  <c r="M7" i="15"/>
  <c r="F6" i="15"/>
  <c r="M48" i="15" l="1"/>
  <c r="M50" i="15" s="1"/>
  <c r="V25" i="15"/>
  <c r="F44" i="20"/>
  <c r="F45" i="20" s="1"/>
  <c r="F46" i="20" s="1"/>
  <c r="F47" i="20" s="1"/>
  <c r="F48" i="20" s="1"/>
  <c r="F49" i="20" s="1"/>
  <c r="F50" i="20" s="1"/>
  <c r="F51" i="20" s="1"/>
  <c r="F52" i="20" s="1"/>
  <c r="S67" i="16"/>
  <c r="R67" i="16"/>
  <c r="L48" i="15"/>
  <c r="K50" i="15" s="1"/>
  <c r="F51" i="15" s="1"/>
  <c r="F54" i="15" s="1"/>
  <c r="K52" i="15" s="1"/>
  <c r="K56" i="15" s="1"/>
  <c r="F53" i="20" l="1"/>
  <c r="F54" i="20" s="1"/>
  <c r="F55" i="20" s="1"/>
  <c r="F56" i="20" s="1"/>
  <c r="F57" i="20" s="1"/>
  <c r="F58" i="20" s="1"/>
  <c r="F59" i="20" s="1"/>
  <c r="F60" i="20" s="1"/>
  <c r="F61" i="20" s="1"/>
  <c r="F62" i="20" s="1"/>
  <c r="F63" i="20" s="1"/>
  <c r="F64" i="20" s="1"/>
  <c r="F65" i="20" s="1"/>
  <c r="F66" i="20" s="1"/>
  <c r="F67" i="20" s="1"/>
  <c r="F68" i="20" s="1"/>
  <c r="F69" i="20" s="1"/>
  <c r="F70" i="20" s="1"/>
  <c r="F71" i="20" s="1"/>
  <c r="F72" i="20" s="1"/>
  <c r="F73" i="20" s="1"/>
  <c r="F74" i="20" s="1"/>
  <c r="F75" i="20" s="1"/>
  <c r="F76" i="20" s="1"/>
  <c r="F77" i="20" s="1"/>
  <c r="F78" i="20" s="1"/>
  <c r="F79" i="20" s="1"/>
  <c r="F80" i="20" s="1"/>
  <c r="F81" i="20" s="1"/>
  <c r="F82" i="20" s="1"/>
  <c r="F83" i="20" s="1"/>
  <c r="F84" i="20" s="1"/>
  <c r="F85" i="20" s="1"/>
  <c r="F86" i="20" s="1"/>
  <c r="F87" i="20" s="1"/>
  <c r="F88" i="20" s="1"/>
  <c r="F89" i="20" s="1"/>
  <c r="F90" i="20" s="1"/>
  <c r="F91" i="20" s="1"/>
  <c r="F92" i="20" s="1"/>
  <c r="F93" i="20" s="1"/>
  <c r="F94" i="20" s="1"/>
  <c r="F95" i="20" s="1"/>
  <c r="F96" i="20" s="1"/>
  <c r="F97" i="20" s="1"/>
  <c r="F98" i="20" s="1"/>
  <c r="R70" i="16"/>
  <c r="T26" i="13"/>
  <c r="R6" i="13"/>
  <c r="P30" i="13"/>
  <c r="M17" i="13"/>
  <c r="M14" i="13"/>
  <c r="M13" i="13"/>
  <c r="M7" i="13"/>
  <c r="R7" i="13" s="1"/>
  <c r="R5" i="13"/>
  <c r="AG44" i="13" l="1"/>
  <c r="Q38" i="12"/>
  <c r="Q39" i="12"/>
  <c r="Q40" i="12"/>
  <c r="Q41" i="12"/>
  <c r="Q42" i="12"/>
  <c r="Q43" i="12"/>
  <c r="Q44" i="12"/>
  <c r="Q45" i="12"/>
  <c r="Q46" i="12"/>
  <c r="Q47" i="12"/>
  <c r="Q48" i="12"/>
  <c r="Q49" i="12"/>
  <c r="Q50" i="12"/>
  <c r="Q51" i="12"/>
  <c r="Q52" i="12"/>
  <c r="Q53" i="12"/>
  <c r="Q54" i="12"/>
  <c r="Q55" i="12"/>
  <c r="Q56" i="12"/>
  <c r="Q57" i="12"/>
  <c r="Q58" i="12"/>
  <c r="Q59" i="12"/>
  <c r="Q60" i="12"/>
  <c r="Q61" i="12"/>
  <c r="F62" i="12"/>
  <c r="P7" i="12"/>
  <c r="Q7" i="12" s="1"/>
  <c r="P9" i="12"/>
  <c r="Q9" i="12" s="1"/>
  <c r="P10" i="12"/>
  <c r="Q10" i="12" s="1"/>
  <c r="P11" i="12"/>
  <c r="Q11" i="12" s="1"/>
  <c r="P12" i="12"/>
  <c r="Q12" i="12" s="1"/>
  <c r="P13" i="12"/>
  <c r="Q13" i="12" s="1"/>
  <c r="P16" i="12"/>
  <c r="Q16" i="12" s="1"/>
  <c r="P17" i="12"/>
  <c r="Q17" i="12" s="1"/>
  <c r="P18" i="12"/>
  <c r="Q18" i="12" s="1"/>
  <c r="P20" i="12"/>
  <c r="Q20" i="12" s="1"/>
  <c r="P21" i="12"/>
  <c r="Q21" i="12" s="1"/>
  <c r="P23" i="12"/>
  <c r="Q23" i="12" s="1"/>
  <c r="P25" i="12"/>
  <c r="Q25" i="12" s="1"/>
  <c r="P26" i="12"/>
  <c r="Q26" i="12" s="1"/>
  <c r="P28" i="12"/>
  <c r="Q28" i="12" s="1"/>
  <c r="P29" i="12"/>
  <c r="Q29" i="12" s="1"/>
  <c r="P30" i="12"/>
  <c r="Q30" i="12" s="1"/>
  <c r="P33" i="12"/>
  <c r="Q33" i="12" s="1"/>
  <c r="P35" i="12"/>
  <c r="Q35" i="12" s="1"/>
  <c r="P6" i="12"/>
  <c r="Q6" i="12" s="1"/>
  <c r="L22" i="12"/>
  <c r="P22" i="12" s="1"/>
  <c r="Q22" i="12" s="1"/>
  <c r="P6" i="10" l="1"/>
  <c r="AG23" i="13" l="1"/>
  <c r="L40" i="13" l="1"/>
  <c r="L42" i="13"/>
  <c r="L43" i="13"/>
  <c r="L31" i="13"/>
  <c r="L30" i="13"/>
  <c r="L59" i="12"/>
  <c r="L58" i="12"/>
  <c r="R8" i="13"/>
  <c r="R9" i="13"/>
  <c r="R11" i="13"/>
  <c r="R12" i="13"/>
  <c r="R14" i="13"/>
  <c r="R15" i="13"/>
  <c r="R16" i="13"/>
  <c r="R18" i="13"/>
  <c r="R19" i="13"/>
  <c r="R21" i="13"/>
  <c r="R22" i="13"/>
  <c r="R23" i="13"/>
  <c r="R25" i="13"/>
  <c r="R26" i="13"/>
  <c r="R27" i="13"/>
  <c r="R28" i="13"/>
  <c r="AC29" i="13"/>
  <c r="AG25" i="13" s="1"/>
  <c r="I24" i="13"/>
  <c r="S5" i="13"/>
  <c r="I62" i="12" l="1"/>
  <c r="N62" i="12"/>
  <c r="L52" i="12" l="1"/>
  <c r="L51" i="12"/>
  <c r="L39" i="12" l="1"/>
  <c r="R13" i="13"/>
  <c r="M20" i="13"/>
  <c r="R20" i="13" l="1"/>
  <c r="M62" i="13"/>
  <c r="L24" i="13"/>
  <c r="R24" i="13" s="1"/>
  <c r="S7" i="13" l="1"/>
  <c r="L17" i="13"/>
  <c r="R17" i="13" s="1"/>
  <c r="S17" i="13" s="1"/>
  <c r="L10" i="13"/>
  <c r="E78" i="14"/>
  <c r="C78" i="14"/>
  <c r="F3" i="14"/>
  <c r="F4" i="14" s="1"/>
  <c r="F5" i="14" s="1"/>
  <c r="F6" i="14" s="1"/>
  <c r="F7" i="14" s="1"/>
  <c r="F8" i="14" s="1"/>
  <c r="F9" i="14" s="1"/>
  <c r="F10" i="14" s="1"/>
  <c r="F11" i="14" s="1"/>
  <c r="F12" i="14" s="1"/>
  <c r="F13" i="14" s="1"/>
  <c r="F14" i="14" s="1"/>
  <c r="F15" i="14" s="1"/>
  <c r="F16" i="14" s="1"/>
  <c r="F17" i="14" s="1"/>
  <c r="F18" i="14" s="1"/>
  <c r="F19" i="14" s="1"/>
  <c r="F20" i="14" s="1"/>
  <c r="F21" i="14" s="1"/>
  <c r="F22" i="14" s="1"/>
  <c r="F23" i="14" s="1"/>
  <c r="F24" i="14" s="1"/>
  <c r="F25" i="14" s="1"/>
  <c r="F26" i="14" s="1"/>
  <c r="F27" i="14" s="1"/>
  <c r="F28" i="14" s="1"/>
  <c r="F29" i="14" s="1"/>
  <c r="F30" i="14" s="1"/>
  <c r="F31" i="14" s="1"/>
  <c r="F32" i="14" s="1"/>
  <c r="F33" i="14" s="1"/>
  <c r="F34" i="14" s="1"/>
  <c r="F35" i="14" s="1"/>
  <c r="F36" i="14" s="1"/>
  <c r="F37" i="14" s="1"/>
  <c r="F38" i="14" s="1"/>
  <c r="F39" i="14" s="1"/>
  <c r="F40" i="14" s="1"/>
  <c r="F41" i="14" s="1"/>
  <c r="F42" i="14" s="1"/>
  <c r="F43" i="14" s="1"/>
  <c r="F44" i="14" s="1"/>
  <c r="F45" i="14" s="1"/>
  <c r="F46" i="14" s="1"/>
  <c r="F47" i="14" s="1"/>
  <c r="F48" i="14" s="1"/>
  <c r="F49" i="14" s="1"/>
  <c r="F50" i="14" s="1"/>
  <c r="F51" i="14" s="1"/>
  <c r="F52" i="14" s="1"/>
  <c r="F53" i="14" s="1"/>
  <c r="F54" i="14" s="1"/>
  <c r="F55" i="14" s="1"/>
  <c r="F56" i="14" s="1"/>
  <c r="F57" i="14" s="1"/>
  <c r="F58" i="14" s="1"/>
  <c r="F59" i="14" s="1"/>
  <c r="F60" i="14" s="1"/>
  <c r="F61" i="14" s="1"/>
  <c r="F62" i="14" s="1"/>
  <c r="F63" i="14" s="1"/>
  <c r="F64" i="14" s="1"/>
  <c r="F65" i="14" s="1"/>
  <c r="F66" i="14" s="1"/>
  <c r="F67" i="14" s="1"/>
  <c r="F68" i="14" s="1"/>
  <c r="F69" i="14" s="1"/>
  <c r="F70" i="14" s="1"/>
  <c r="F71" i="14" s="1"/>
  <c r="F72" i="14" s="1"/>
  <c r="F73" i="14" s="1"/>
  <c r="F74" i="14" s="1"/>
  <c r="F75" i="14" s="1"/>
  <c r="F76" i="14" s="1"/>
  <c r="F77" i="14" s="1"/>
  <c r="F78" i="14" s="1"/>
  <c r="R10" i="13" l="1"/>
  <c r="R62" i="13" s="1"/>
  <c r="S35" i="13"/>
  <c r="M37" i="12" l="1"/>
  <c r="P37" i="12" s="1"/>
  <c r="Q37" i="12" s="1"/>
  <c r="M36" i="12"/>
  <c r="L36" i="12"/>
  <c r="S12" i="13"/>
  <c r="S13" i="13"/>
  <c r="S14" i="13"/>
  <c r="S15" i="13"/>
  <c r="S21" i="13"/>
  <c r="F8" i="13"/>
  <c r="F6" i="13"/>
  <c r="P36" i="12" l="1"/>
  <c r="Q36" i="12" s="1"/>
  <c r="K68" i="13"/>
  <c r="N62" i="13"/>
  <c r="I62" i="13"/>
  <c r="F62" i="13"/>
  <c r="C62" i="13"/>
  <c r="S34" i="13"/>
  <c r="S33" i="13"/>
  <c r="S32" i="13"/>
  <c r="S31" i="13"/>
  <c r="S30" i="13"/>
  <c r="S29" i="13"/>
  <c r="S28" i="13"/>
  <c r="S27" i="13"/>
  <c r="S26" i="13"/>
  <c r="S25" i="13"/>
  <c r="S24" i="13"/>
  <c r="S23" i="13"/>
  <c r="S22" i="13"/>
  <c r="S20" i="13"/>
  <c r="S19" i="13"/>
  <c r="S18" i="13"/>
  <c r="S16" i="13"/>
  <c r="S11" i="13"/>
  <c r="S10" i="13"/>
  <c r="S9" i="13"/>
  <c r="S8" i="13"/>
  <c r="L62" i="13"/>
  <c r="S6" i="13"/>
  <c r="M34" i="12"/>
  <c r="P34" i="12" s="1"/>
  <c r="Q34" i="12" s="1"/>
  <c r="M32" i="12"/>
  <c r="P32" i="12" s="1"/>
  <c r="Q32" i="12" s="1"/>
  <c r="K64" i="13" l="1"/>
  <c r="F65" i="13" s="1"/>
  <c r="F68" i="13" s="1"/>
  <c r="M64" i="13"/>
  <c r="M31" i="12"/>
  <c r="P31" i="12" s="1"/>
  <c r="Q31" i="12" s="1"/>
  <c r="K66" i="13" l="1"/>
  <c r="K70" i="13" s="1"/>
  <c r="S62" i="13"/>
  <c r="R65" i="13" s="1"/>
  <c r="M27" i="12"/>
  <c r="P27" i="12" s="1"/>
  <c r="Q27" i="12" s="1"/>
  <c r="M24" i="12"/>
  <c r="P24" i="12" s="1"/>
  <c r="Q24" i="12" s="1"/>
  <c r="M19" i="12" l="1"/>
  <c r="P19" i="12" s="1"/>
  <c r="Q19" i="12" s="1"/>
  <c r="L15" i="12" l="1"/>
  <c r="P15" i="12" s="1"/>
  <c r="Q15" i="12" s="1"/>
  <c r="M14" i="12" l="1"/>
  <c r="P14" i="12" s="1"/>
  <c r="Q14" i="12" s="1"/>
  <c r="L8" i="12" l="1"/>
  <c r="P8" i="12" s="1"/>
  <c r="Q8" i="12" s="1"/>
  <c r="M5" i="12" l="1"/>
  <c r="P5" i="12" l="1"/>
  <c r="P62" i="12" s="1"/>
  <c r="M62" i="12"/>
  <c r="L46" i="10"/>
  <c r="L45" i="10"/>
  <c r="L41" i="10"/>
  <c r="L37" i="10"/>
  <c r="L35" i="10"/>
  <c r="P5" i="10"/>
  <c r="Q6" i="10"/>
  <c r="P7" i="10"/>
  <c r="Q7" i="10" s="1"/>
  <c r="M8" i="10"/>
  <c r="P8" i="10"/>
  <c r="Q8" i="10" s="1"/>
  <c r="L9" i="10"/>
  <c r="P9" i="10"/>
  <c r="Q9" i="10" s="1"/>
  <c r="P10" i="10"/>
  <c r="Q10" i="10" s="1"/>
  <c r="P11" i="10"/>
  <c r="Q11" i="10" s="1"/>
  <c r="P12" i="10"/>
  <c r="Q12" i="10" s="1"/>
  <c r="P13" i="10"/>
  <c r="Q13" i="10" s="1"/>
  <c r="P14" i="10"/>
  <c r="Q14" i="10" s="1"/>
  <c r="M15" i="10"/>
  <c r="P15" i="10"/>
  <c r="Q15" i="10" s="1"/>
  <c r="L16" i="10"/>
  <c r="P16" i="10"/>
  <c r="Q16" i="10" s="1"/>
  <c r="P17" i="10"/>
  <c r="Q17" i="10" s="1"/>
  <c r="P18" i="10"/>
  <c r="Q18" i="10" s="1"/>
  <c r="P19" i="10"/>
  <c r="Q19" i="10" s="1"/>
  <c r="M20" i="10"/>
  <c r="P20" i="10" s="1"/>
  <c r="Q20" i="10" s="1"/>
  <c r="P21" i="10"/>
  <c r="Q21" i="10" s="1"/>
  <c r="P22" i="10"/>
  <c r="Q22" i="10" s="1"/>
  <c r="L23" i="10"/>
  <c r="P23" i="10" s="1"/>
  <c r="Q23" i="10" s="1"/>
  <c r="M24" i="10"/>
  <c r="P24" i="10" s="1"/>
  <c r="Q24" i="10" s="1"/>
  <c r="P25" i="10"/>
  <c r="Q25" i="10" s="1"/>
  <c r="P26" i="10"/>
  <c r="Q26" i="10" s="1"/>
  <c r="P27" i="10"/>
  <c r="Q27" i="10" s="1"/>
  <c r="P28" i="10"/>
  <c r="Q28" i="10" s="1"/>
  <c r="P29" i="10"/>
  <c r="Q29" i="10" s="1"/>
  <c r="P30" i="10"/>
  <c r="Q30" i="10" s="1"/>
  <c r="P31" i="10"/>
  <c r="Q31" i="10" s="1"/>
  <c r="P32" i="10"/>
  <c r="Q32" i="10" s="1"/>
  <c r="P33" i="10"/>
  <c r="Q33" i="10" s="1"/>
  <c r="P34" i="10"/>
  <c r="Q34" i="10" s="1"/>
  <c r="Q35" i="10"/>
  <c r="Q36" i="10"/>
  <c r="Q37" i="10"/>
  <c r="Q38" i="10"/>
  <c r="Q39" i="10"/>
  <c r="Q40" i="10"/>
  <c r="Q41" i="10"/>
  <c r="Q42" i="10"/>
  <c r="C56" i="10"/>
  <c r="F56" i="10"/>
  <c r="I56" i="10"/>
  <c r="M56" i="10"/>
  <c r="N56" i="10"/>
  <c r="K62" i="10"/>
  <c r="E78" i="4"/>
  <c r="C78" i="4"/>
  <c r="F3" i="4"/>
  <c r="F4" i="4" s="1"/>
  <c r="F5" i="4" s="1"/>
  <c r="F6" i="4" s="1"/>
  <c r="F7" i="4" s="1"/>
  <c r="F8" i="4" s="1"/>
  <c r="F9" i="4" s="1"/>
  <c r="F10" i="4" s="1"/>
  <c r="F11" i="4" s="1"/>
  <c r="F12" i="4" s="1"/>
  <c r="F13" i="4" s="1"/>
  <c r="F14" i="4" s="1"/>
  <c r="F15" i="4" s="1"/>
  <c r="F16" i="4" s="1"/>
  <c r="F17" i="4" s="1"/>
  <c r="F18" i="4" s="1"/>
  <c r="F19" i="4" s="1"/>
  <c r="F20" i="4" s="1"/>
  <c r="F21" i="4" s="1"/>
  <c r="F22" i="4" s="1"/>
  <c r="F23" i="4" s="1"/>
  <c r="F24" i="4" s="1"/>
  <c r="F25" i="4" s="1"/>
  <c r="F26" i="4" s="1"/>
  <c r="F27" i="4" s="1"/>
  <c r="F28" i="4" s="1"/>
  <c r="F29" i="4" s="1"/>
  <c r="F30" i="4" s="1"/>
  <c r="F31" i="4" s="1"/>
  <c r="F32" i="4" s="1"/>
  <c r="F33" i="4" s="1"/>
  <c r="F34" i="4" s="1"/>
  <c r="F35" i="4" s="1"/>
  <c r="F36" i="4" s="1"/>
  <c r="F37" i="4" s="1"/>
  <c r="F38" i="4" s="1"/>
  <c r="F39" i="4" s="1"/>
  <c r="F40" i="4" s="1"/>
  <c r="F41" i="4" s="1"/>
  <c r="F42" i="4" s="1"/>
  <c r="F43" i="4" s="1"/>
  <c r="F44" i="4" s="1"/>
  <c r="F45" i="4" s="1"/>
  <c r="F46" i="4" s="1"/>
  <c r="F47" i="4" s="1"/>
  <c r="F48" i="4" s="1"/>
  <c r="F49" i="4" s="1"/>
  <c r="F50" i="4" s="1"/>
  <c r="F51" i="4" s="1"/>
  <c r="F52" i="4" s="1"/>
  <c r="F53" i="4" s="1"/>
  <c r="F54" i="4" s="1"/>
  <c r="F55" i="4" s="1"/>
  <c r="F56" i="4" s="1"/>
  <c r="F57" i="4" s="1"/>
  <c r="F58" i="4" s="1"/>
  <c r="F59" i="4" s="1"/>
  <c r="F60" i="4" s="1"/>
  <c r="F61" i="4" s="1"/>
  <c r="F62" i="4" s="1"/>
  <c r="F63" i="4" s="1"/>
  <c r="F64" i="4" s="1"/>
  <c r="F65" i="4" s="1"/>
  <c r="F66" i="4" s="1"/>
  <c r="F67" i="4" s="1"/>
  <c r="F68" i="4" s="1"/>
  <c r="F69" i="4" s="1"/>
  <c r="F70" i="4" s="1"/>
  <c r="F71" i="4" s="1"/>
  <c r="F72" i="4" s="1"/>
  <c r="F73" i="4" s="1"/>
  <c r="F74" i="4" s="1"/>
  <c r="F75" i="4" s="1"/>
  <c r="F76" i="4" s="1"/>
  <c r="F77" i="4" s="1"/>
  <c r="F78" i="4" s="1"/>
  <c r="K68" i="12"/>
  <c r="C62" i="12"/>
  <c r="L62" i="12"/>
  <c r="Q5" i="12"/>
  <c r="Q62" i="12" s="1"/>
  <c r="L56" i="10" l="1"/>
  <c r="Q5" i="10"/>
  <c r="Q43" i="10" s="1"/>
  <c r="P43" i="10"/>
  <c r="K58" i="10"/>
  <c r="F59" i="10" s="1"/>
  <c r="F62" i="10" s="1"/>
  <c r="K60" i="10" s="1"/>
  <c r="K64" i="10" s="1"/>
  <c r="K64" i="12"/>
  <c r="F65" i="12" s="1"/>
  <c r="F68" i="12" s="1"/>
  <c r="K66" i="12" s="1"/>
  <c r="K70" i="12" s="1"/>
  <c r="M58" i="10"/>
  <c r="Q56" i="10"/>
  <c r="P56" i="10"/>
  <c r="M64" i="12"/>
  <c r="L54" i="8"/>
  <c r="L42" i="8"/>
  <c r="L48" i="8"/>
  <c r="L49" i="8"/>
  <c r="L46" i="8"/>
  <c r="L41" i="8"/>
  <c r="P59" i="10" l="1"/>
  <c r="P65" i="12"/>
  <c r="M11" i="3" l="1"/>
  <c r="M38" i="8"/>
  <c r="E36" i="11" l="1"/>
  <c r="C36" i="11"/>
  <c r="F36" i="11" s="1"/>
  <c r="F3" i="11"/>
  <c r="P38" i="8"/>
  <c r="F4" i="11" l="1"/>
  <c r="F5" i="11" s="1"/>
  <c r="F6" i="11" s="1"/>
  <c r="F7" i="11" s="1"/>
  <c r="F8" i="11" s="1"/>
  <c r="F9" i="11" s="1"/>
  <c r="F10" i="11" s="1"/>
  <c r="F11" i="11" s="1"/>
  <c r="F12" i="11" s="1"/>
  <c r="F13" i="11" s="1"/>
  <c r="F14" i="11" s="1"/>
  <c r="F15" i="11" s="1"/>
  <c r="F16" i="11" s="1"/>
  <c r="F17" i="11" s="1"/>
  <c r="F18" i="11" s="1"/>
  <c r="F19" i="11" s="1"/>
  <c r="F20" i="11" s="1"/>
  <c r="F21" i="11" s="1"/>
  <c r="F22" i="11" s="1"/>
  <c r="F23" i="11" s="1"/>
  <c r="F24" i="11" s="1"/>
  <c r="F25" i="11" s="1"/>
  <c r="F26" i="11" s="1"/>
  <c r="F27" i="11" s="1"/>
  <c r="F28" i="11" s="1"/>
  <c r="F29" i="11" s="1"/>
  <c r="F30" i="11" s="1"/>
  <c r="F31" i="11" s="1"/>
  <c r="F32" i="11" s="1"/>
  <c r="F33" i="11" s="1"/>
  <c r="F34" i="11" s="1"/>
  <c r="F35" i="11" s="1"/>
  <c r="L36" i="8"/>
  <c r="P34" i="8" l="1"/>
  <c r="P35" i="8"/>
  <c r="P36" i="8"/>
  <c r="P37" i="8"/>
  <c r="P39" i="8"/>
  <c r="M33" i="8"/>
  <c r="P33" i="8" s="1"/>
  <c r="M28" i="8" l="1"/>
  <c r="L29" i="8"/>
  <c r="P29" i="8" s="1"/>
  <c r="M23" i="8" l="1"/>
  <c r="L22" i="8" l="1"/>
  <c r="M18" i="8"/>
  <c r="L15" i="8" l="1"/>
  <c r="M12" i="8" l="1"/>
  <c r="P11" i="8" l="1"/>
  <c r="P12" i="8"/>
  <c r="P13" i="8"/>
  <c r="P14" i="8"/>
  <c r="Q14" i="8" s="1"/>
  <c r="P10" i="8"/>
  <c r="L8" i="8"/>
  <c r="L43" i="3" l="1"/>
  <c r="P5" i="8"/>
  <c r="E78" i="9" l="1"/>
  <c r="C78" i="9"/>
  <c r="F3" i="9"/>
  <c r="F4" i="9" s="1"/>
  <c r="F5" i="9" s="1"/>
  <c r="F6" i="9" s="1"/>
  <c r="F7" i="9" s="1"/>
  <c r="F8" i="9" s="1"/>
  <c r="F9" i="9" s="1"/>
  <c r="F10" i="9" s="1"/>
  <c r="F11" i="9" s="1"/>
  <c r="F12" i="9" s="1"/>
  <c r="F13" i="9" s="1"/>
  <c r="F14" i="9" s="1"/>
  <c r="F15" i="9" s="1"/>
  <c r="F16" i="9" s="1"/>
  <c r="F17" i="9" s="1"/>
  <c r="F18" i="9" s="1"/>
  <c r="F19" i="9" s="1"/>
  <c r="F20" i="9" s="1"/>
  <c r="F21" i="9" s="1"/>
  <c r="F22" i="9" s="1"/>
  <c r="F23" i="9" s="1"/>
  <c r="F24" i="9" s="1"/>
  <c r="F25" i="9" s="1"/>
  <c r="F26" i="9" s="1"/>
  <c r="F27" i="9" s="1"/>
  <c r="F28" i="9" s="1"/>
  <c r="F29" i="9" s="1"/>
  <c r="F30" i="9" s="1"/>
  <c r="F31" i="9" s="1"/>
  <c r="F32" i="9" s="1"/>
  <c r="F33" i="9" s="1"/>
  <c r="F34" i="9" s="1"/>
  <c r="F35" i="9" s="1"/>
  <c r="F36" i="9" s="1"/>
  <c r="F37" i="9" s="1"/>
  <c r="F38" i="9" s="1"/>
  <c r="F39" i="9" s="1"/>
  <c r="F40" i="9" s="1"/>
  <c r="F41" i="9" s="1"/>
  <c r="F42" i="9" s="1"/>
  <c r="K66" i="8"/>
  <c r="N60" i="8"/>
  <c r="I60" i="8"/>
  <c r="F60" i="8"/>
  <c r="C60" i="8"/>
  <c r="Q39" i="8"/>
  <c r="Q38" i="8"/>
  <c r="Q37" i="8"/>
  <c r="Q36" i="8"/>
  <c r="Q35" i="8"/>
  <c r="Q34" i="8"/>
  <c r="Q33" i="8"/>
  <c r="P32" i="8"/>
  <c r="Q32" i="8" s="1"/>
  <c r="P31" i="8"/>
  <c r="Q31" i="8" s="1"/>
  <c r="P30" i="8"/>
  <c r="Q30" i="8" s="1"/>
  <c r="Q29" i="8"/>
  <c r="P28" i="8"/>
  <c r="Q28" i="8" s="1"/>
  <c r="P27" i="8"/>
  <c r="Q27" i="8" s="1"/>
  <c r="P26" i="8"/>
  <c r="Q26" i="8" s="1"/>
  <c r="P25" i="8"/>
  <c r="Q25" i="8" s="1"/>
  <c r="P24" i="8"/>
  <c r="Q24" i="8" s="1"/>
  <c r="P23" i="8"/>
  <c r="Q23" i="8" s="1"/>
  <c r="P22" i="8"/>
  <c r="Q22" i="8" s="1"/>
  <c r="P21" i="8"/>
  <c r="Q21" i="8" s="1"/>
  <c r="P20" i="8"/>
  <c r="Q20" i="8" s="1"/>
  <c r="P19" i="8"/>
  <c r="Q19" i="8" s="1"/>
  <c r="P18" i="8"/>
  <c r="Q18" i="8" s="1"/>
  <c r="P17" i="8"/>
  <c r="Q17" i="8" s="1"/>
  <c r="P16" i="8"/>
  <c r="Q16" i="8" s="1"/>
  <c r="P15" i="8"/>
  <c r="Q15" i="8" s="1"/>
  <c r="Q13" i="8"/>
  <c r="Q12" i="8"/>
  <c r="Q11" i="8"/>
  <c r="M60" i="8"/>
  <c r="P9" i="8"/>
  <c r="Q9" i="8" s="1"/>
  <c r="P8" i="8"/>
  <c r="Q8" i="8" s="1"/>
  <c r="P7" i="8"/>
  <c r="Q7" i="8" s="1"/>
  <c r="P6" i="8"/>
  <c r="Q6" i="8" s="1"/>
  <c r="C62" i="3"/>
  <c r="L36" i="3"/>
  <c r="L33" i="3"/>
  <c r="L38" i="3"/>
  <c r="F43" i="9" l="1"/>
  <c r="F44" i="9" s="1"/>
  <c r="F45" i="9" s="1"/>
  <c r="F46" i="9" s="1"/>
  <c r="F47" i="9" s="1"/>
  <c r="F48" i="9" s="1"/>
  <c r="F49" i="9" s="1"/>
  <c r="F50" i="9" s="1"/>
  <c r="F51" i="9" s="1"/>
  <c r="F52" i="9" s="1"/>
  <c r="F53" i="9" s="1"/>
  <c r="F54" i="9" s="1"/>
  <c r="F55" i="9" s="1"/>
  <c r="F56" i="9" s="1"/>
  <c r="F57" i="9" s="1"/>
  <c r="F58" i="9" s="1"/>
  <c r="F59" i="9" s="1"/>
  <c r="F60" i="9" s="1"/>
  <c r="F61" i="9" s="1"/>
  <c r="F62" i="9" s="1"/>
  <c r="F63" i="9" s="1"/>
  <c r="F64" i="9" s="1"/>
  <c r="F65" i="9" s="1"/>
  <c r="F66" i="9" s="1"/>
  <c r="F67" i="9" s="1"/>
  <c r="F68" i="9" s="1"/>
  <c r="F69" i="9" s="1"/>
  <c r="F70" i="9" s="1"/>
  <c r="F71" i="9" s="1"/>
  <c r="F72" i="9" s="1"/>
  <c r="F73" i="9" s="1"/>
  <c r="F74" i="9" s="1"/>
  <c r="F75" i="9" s="1"/>
  <c r="F76" i="9" s="1"/>
  <c r="F77" i="9" s="1"/>
  <c r="F78" i="9" s="1"/>
  <c r="M62" i="8"/>
  <c r="L60" i="8"/>
  <c r="K62" i="8" s="1"/>
  <c r="F63" i="8" s="1"/>
  <c r="F66" i="8" s="1"/>
  <c r="K64" i="8" s="1"/>
  <c r="K68" i="8" s="1"/>
  <c r="Q10" i="8"/>
  <c r="Q5" i="8"/>
  <c r="C67" i="7"/>
  <c r="P60" i="8" l="1"/>
  <c r="Q60" i="8"/>
  <c r="L35" i="3"/>
  <c r="P63" i="8" l="1"/>
  <c r="M18" i="3"/>
  <c r="M29" i="3"/>
  <c r="M27" i="3"/>
  <c r="L28" i="3" l="1"/>
  <c r="M22" i="3" l="1"/>
  <c r="L21" i="3" l="1"/>
  <c r="M16" i="3" l="1"/>
  <c r="P16" i="3" s="1"/>
  <c r="P15" i="3" l="1"/>
  <c r="Q15" i="3" s="1"/>
  <c r="L14" i="3"/>
  <c r="M10" i="3" l="1"/>
  <c r="M8" i="3" l="1"/>
  <c r="L7" i="3" l="1"/>
  <c r="P7" i="3" s="1"/>
  <c r="E67" i="7" l="1"/>
  <c r="F3" i="7"/>
  <c r="F4" i="7" s="1"/>
  <c r="F5" i="7" s="1"/>
  <c r="F6" i="7" s="1"/>
  <c r="F7" i="7" s="1"/>
  <c r="F8" i="7" s="1"/>
  <c r="F9" i="7" s="1"/>
  <c r="F10" i="7" s="1"/>
  <c r="F11" i="7" s="1"/>
  <c r="F12" i="7" s="1"/>
  <c r="F13" i="7" s="1"/>
  <c r="F14" i="7" s="1"/>
  <c r="F15" i="7" s="1"/>
  <c r="F16" i="7" s="1"/>
  <c r="F17" i="7" s="1"/>
  <c r="F18" i="7" s="1"/>
  <c r="F19" i="7" s="1"/>
  <c r="F20" i="7" s="1"/>
  <c r="F21" i="7" s="1"/>
  <c r="F22" i="7" s="1"/>
  <c r="F23" i="7" s="1"/>
  <c r="F24" i="7" s="1"/>
  <c r="F25" i="7" s="1"/>
  <c r="F26" i="7" s="1"/>
  <c r="F27" i="7" s="1"/>
  <c r="F28" i="7" s="1"/>
  <c r="F29" i="7" s="1"/>
  <c r="F30" i="7" s="1"/>
  <c r="F31" i="7" s="1"/>
  <c r="F32" i="7" s="1"/>
  <c r="F33" i="7" s="1"/>
  <c r="F34" i="7" s="1"/>
  <c r="F35" i="7" s="1"/>
  <c r="F36" i="7" s="1"/>
  <c r="F37" i="7" s="1"/>
  <c r="F38" i="7" s="1"/>
  <c r="F39" i="7" s="1"/>
  <c r="F40" i="7" s="1"/>
  <c r="F41" i="7" s="1"/>
  <c r="F42" i="7" s="1"/>
  <c r="F43" i="7" s="1"/>
  <c r="F44" i="7" s="1"/>
  <c r="F45" i="7" s="1"/>
  <c r="F46" i="7" s="1"/>
  <c r="F47" i="7" s="1"/>
  <c r="F48" i="7" s="1"/>
  <c r="F49" i="7" s="1"/>
  <c r="F50" i="7" s="1"/>
  <c r="F51" i="7" s="1"/>
  <c r="F52" i="7" s="1"/>
  <c r="F53" i="7" s="1"/>
  <c r="F54" i="7" s="1"/>
  <c r="F55" i="7" s="1"/>
  <c r="F56" i="7" s="1"/>
  <c r="F57" i="7" s="1"/>
  <c r="F58" i="7" s="1"/>
  <c r="F59" i="7" s="1"/>
  <c r="F60" i="7" s="1"/>
  <c r="F61" i="7" s="1"/>
  <c r="F62" i="7" s="1"/>
  <c r="F63" i="7" s="1"/>
  <c r="F64" i="7" s="1"/>
  <c r="F65" i="7" s="1"/>
  <c r="F66" i="7" s="1"/>
  <c r="F67" i="7" s="1"/>
  <c r="K68" i="3"/>
  <c r="N62" i="3"/>
  <c r="I62" i="3"/>
  <c r="F62" i="3"/>
  <c r="Q42" i="3"/>
  <c r="Q41" i="3"/>
  <c r="Q40" i="3"/>
  <c r="Q39" i="3"/>
  <c r="Q38" i="3"/>
  <c r="Q37" i="3"/>
  <c r="Q36" i="3"/>
  <c r="Q35" i="3"/>
  <c r="Q34" i="3"/>
  <c r="Q33" i="3"/>
  <c r="P32" i="3"/>
  <c r="Q32" i="3" s="1"/>
  <c r="P31" i="3"/>
  <c r="Q31" i="3" s="1"/>
  <c r="P30" i="3"/>
  <c r="Q30" i="3" s="1"/>
  <c r="P29" i="3"/>
  <c r="Q29" i="3" s="1"/>
  <c r="P28" i="3"/>
  <c r="Q28" i="3" s="1"/>
  <c r="P27" i="3"/>
  <c r="Q27" i="3" s="1"/>
  <c r="P26" i="3"/>
  <c r="Q26" i="3" s="1"/>
  <c r="P25" i="3"/>
  <c r="Q25" i="3" s="1"/>
  <c r="P24" i="3"/>
  <c r="Q24" i="3" s="1"/>
  <c r="P23" i="3"/>
  <c r="Q23" i="3" s="1"/>
  <c r="P22" i="3"/>
  <c r="Q22" i="3" s="1"/>
  <c r="P21" i="3"/>
  <c r="Q21" i="3" s="1"/>
  <c r="P20" i="3"/>
  <c r="Q20" i="3" s="1"/>
  <c r="P19" i="3"/>
  <c r="Q19" i="3" s="1"/>
  <c r="P18" i="3"/>
  <c r="Q18" i="3" s="1"/>
  <c r="P17" i="3"/>
  <c r="Q17" i="3" s="1"/>
  <c r="Q16" i="3"/>
  <c r="L62" i="3"/>
  <c r="P14" i="3"/>
  <c r="Q14" i="3" s="1"/>
  <c r="P13" i="3"/>
  <c r="Q13" i="3" s="1"/>
  <c r="P12" i="3"/>
  <c r="Q12" i="3" s="1"/>
  <c r="P11" i="3"/>
  <c r="Q11" i="3" s="1"/>
  <c r="P10" i="3"/>
  <c r="Q10" i="3" s="1"/>
  <c r="P9" i="3"/>
  <c r="Q9" i="3" s="1"/>
  <c r="P8" i="3"/>
  <c r="Q8" i="3" s="1"/>
  <c r="Q7" i="3"/>
  <c r="P6" i="3"/>
  <c r="Q6" i="3" s="1"/>
  <c r="M62" i="3"/>
  <c r="M64" i="3" l="1"/>
  <c r="K64" i="3"/>
  <c r="P5" i="3"/>
  <c r="L46" i="1"/>
  <c r="L44" i="1"/>
  <c r="L42" i="1"/>
  <c r="F65" i="3" l="1"/>
  <c r="F68" i="3" s="1"/>
  <c r="K66" i="3" s="1"/>
  <c r="K70" i="3" s="1"/>
  <c r="Q5" i="3"/>
  <c r="Q62" i="3" s="1"/>
  <c r="P62" i="3"/>
  <c r="M33" i="1"/>
  <c r="M17" i="1"/>
  <c r="P65" i="3" l="1"/>
  <c r="L29" i="1"/>
  <c r="P29" i="1" s="1"/>
  <c r="P27" i="1" l="1"/>
  <c r="M26" i="1" l="1"/>
  <c r="M22" i="1" l="1"/>
  <c r="L22" i="1"/>
  <c r="P22" i="1" l="1"/>
  <c r="M21" i="1"/>
  <c r="L15" i="1" l="1"/>
  <c r="P15" i="1" s="1"/>
  <c r="P13" i="1" l="1"/>
  <c r="Q13" i="1" s="1"/>
  <c r="P14" i="1"/>
  <c r="P16" i="1"/>
  <c r="P17" i="1"/>
  <c r="M12" i="1"/>
  <c r="P12" i="1" s="1"/>
  <c r="P20" i="1" l="1"/>
  <c r="M8" i="1"/>
  <c r="L8" i="1"/>
  <c r="P8" i="1" l="1"/>
  <c r="M5" i="1"/>
  <c r="E47" i="2" l="1"/>
  <c r="C47" i="2"/>
  <c r="F3" i="2"/>
  <c r="F4" i="2" s="1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K68" i="1"/>
  <c r="N62" i="1"/>
  <c r="I62" i="1"/>
  <c r="F62" i="1"/>
  <c r="C62" i="1"/>
  <c r="P34" i="1"/>
  <c r="Q34" i="1" s="1"/>
  <c r="P33" i="1"/>
  <c r="Q33" i="1" s="1"/>
  <c r="P32" i="1"/>
  <c r="Q32" i="1" s="1"/>
  <c r="P31" i="1"/>
  <c r="Q31" i="1" s="1"/>
  <c r="P30" i="1"/>
  <c r="Q30" i="1" s="1"/>
  <c r="Q29" i="1"/>
  <c r="P28" i="1"/>
  <c r="Q28" i="1" s="1"/>
  <c r="Q27" i="1"/>
  <c r="P26" i="1"/>
  <c r="Q26" i="1" s="1"/>
  <c r="P25" i="1"/>
  <c r="Q25" i="1" s="1"/>
  <c r="P24" i="1"/>
  <c r="Q24" i="1" s="1"/>
  <c r="L62" i="1"/>
  <c r="Q22" i="1"/>
  <c r="P21" i="1"/>
  <c r="Q21" i="1" s="1"/>
  <c r="Q20" i="1"/>
  <c r="P19" i="1"/>
  <c r="Q19" i="1" s="1"/>
  <c r="P18" i="1"/>
  <c r="Q18" i="1" s="1"/>
  <c r="Q17" i="1"/>
  <c r="Q16" i="1"/>
  <c r="Q15" i="1"/>
  <c r="Q14" i="1"/>
  <c r="Q12" i="1"/>
  <c r="P11" i="1"/>
  <c r="Q11" i="1" s="1"/>
  <c r="P10" i="1"/>
  <c r="Q10" i="1" s="1"/>
  <c r="P9" i="1"/>
  <c r="Q9" i="1" s="1"/>
  <c r="Q8" i="1"/>
  <c r="P7" i="1"/>
  <c r="Q7" i="1" s="1"/>
  <c r="P6" i="1"/>
  <c r="P5" i="1"/>
  <c r="Q5" i="1" s="1"/>
  <c r="F40" i="2" l="1"/>
  <c r="F41" i="2" s="1"/>
  <c r="F42" i="2" s="1"/>
  <c r="F43" i="2" s="1"/>
  <c r="F44" i="2" s="1"/>
  <c r="F45" i="2" s="1"/>
  <c r="F46" i="2" s="1"/>
  <c r="F47" i="2" s="1"/>
  <c r="K64" i="1"/>
  <c r="F65" i="1" s="1"/>
  <c r="F68" i="1" s="1"/>
  <c r="K66" i="1" s="1"/>
  <c r="K70" i="1" s="1"/>
  <c r="P23" i="1"/>
  <c r="Q23" i="1" s="1"/>
  <c r="Q62" i="1" s="1"/>
  <c r="M62" i="1"/>
  <c r="M64" i="1" s="1"/>
  <c r="P62" i="1" l="1"/>
  <c r="P65" i="1" s="1"/>
  <c r="M66" i="27"/>
  <c r="M62" i="19"/>
  <c r="M66" i="19" s="1"/>
</calcChain>
</file>

<file path=xl/comments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<sst xmlns="http://schemas.openxmlformats.org/spreadsheetml/2006/main" count="2394" uniqueCount="898">
  <si>
    <t>MORRALLA EN CAJA DE 11 SUR   2,800.00  +  $ 1,200.00 Total    $  4,000.00</t>
  </si>
  <si>
    <t>COMPRAS</t>
  </si>
  <si>
    <t>MANUEL ATLATENCO</t>
  </si>
  <si>
    <t>REPOSICION</t>
  </si>
  <si>
    <t>con fecha 07 Enero   de  2019</t>
  </si>
  <si>
    <t>FECHA</t>
  </si>
  <si>
    <t>INVENTARIO INICIAL</t>
  </si>
  <si>
    <t xml:space="preserve">VENTAS  </t>
  </si>
  <si>
    <t>GASTOS</t>
  </si>
  <si>
    <t>BANCO</t>
  </si>
  <si>
    <t>TARJETAS</t>
  </si>
  <si>
    <t xml:space="preserve"> </t>
  </si>
  <si>
    <t>RENTA</t>
  </si>
  <si>
    <t>TOTAL</t>
  </si>
  <si>
    <t>TOTAL 1</t>
  </si>
  <si>
    <t>TOTAL  2</t>
  </si>
  <si>
    <t>GRAN TOTAL GASTOS</t>
  </si>
  <si>
    <t>VENTAS NETAS</t>
  </si>
  <si>
    <t>PROVEEDOREES</t>
  </si>
  <si>
    <t>SUB TOTAL</t>
  </si>
  <si>
    <t>Sub Total 1</t>
  </si>
  <si>
    <t>INVENTARIO  INICIAL</t>
  </si>
  <si>
    <t>MAS</t>
  </si>
  <si>
    <t>CREDITOS</t>
  </si>
  <si>
    <t>INVENTARIO FINAL</t>
  </si>
  <si>
    <t>GANANCIA</t>
  </si>
  <si>
    <t>BALANCE      ABASTO 4 CARNES   E N E R O          2 0 2 1</t>
  </si>
  <si>
    <t>#</t>
  </si>
  <si>
    <t>IMPORTE</t>
  </si>
  <si>
    <t xml:space="preserve">Fecha </t>
  </si>
  <si>
    <t>PAGOS</t>
  </si>
  <si>
    <t>REMISIONES  ABASTO 4 CARNES       2 0 2 1</t>
  </si>
  <si>
    <t>CANCELACION DE TIKETS</t>
  </si>
  <si>
    <t xml:space="preserve">Cambio x </t>
  </si>
  <si>
    <t>17569 A</t>
  </si>
  <si>
    <t>17974 A</t>
  </si>
  <si>
    <t>17977 A</t>
  </si>
  <si>
    <t>18018 A</t>
  </si>
  <si>
    <t>18144 A</t>
  </si>
  <si>
    <t>18146 A</t>
  </si>
  <si>
    <t>18190-A</t>
  </si>
  <si>
    <t>18227-A</t>
  </si>
  <si>
    <t>18301 A</t>
  </si>
  <si>
    <t>LONGANIZA-POLLO-QUESOS-MAIZ</t>
  </si>
  <si>
    <t>SALSAS--POLLO</t>
  </si>
  <si>
    <t>POLLO</t>
  </si>
  <si>
    <t>LONGANIZA-POLLO-QUESO-MAIZ-PAPA</t>
  </si>
  <si>
    <t>NOMINA 2</t>
  </si>
  <si>
    <t>POLLO-LONGANIZA-PAPA-QUESO</t>
  </si>
  <si>
    <t>Nomina ANGELICA</t>
  </si>
  <si>
    <t xml:space="preserve">POLLO-LONGANIZA-CHORIZO  </t>
  </si>
  <si>
    <t>POLLO-MAIZ-QUESO-CHORIZO</t>
  </si>
  <si>
    <t>CONTADOR</t>
  </si>
  <si>
    <t>SEMANA</t>
  </si>
  <si>
    <t># 01</t>
  </si>
  <si>
    <t># 02</t>
  </si>
  <si>
    <t># 03</t>
  </si>
  <si>
    <t># 04</t>
  </si>
  <si>
    <t># 05</t>
  </si>
  <si>
    <t># 06</t>
  </si>
  <si>
    <t># 07</t>
  </si>
  <si>
    <t># 08</t>
  </si>
  <si>
    <t># 09</t>
  </si>
  <si>
    <t># 10</t>
  </si>
  <si>
    <t># 11</t>
  </si>
  <si>
    <t># 12</t>
  </si>
  <si>
    <t># 13</t>
  </si>
  <si>
    <t># 14</t>
  </si>
  <si>
    <t># 15</t>
  </si>
  <si>
    <t># 16</t>
  </si>
  <si>
    <t># 17</t>
  </si>
  <si>
    <t># 18</t>
  </si>
  <si>
    <t># 19</t>
  </si>
  <si>
    <t># 20</t>
  </si>
  <si>
    <t># 21</t>
  </si>
  <si>
    <t># 22</t>
  </si>
  <si>
    <t># 23</t>
  </si>
  <si>
    <t># 24</t>
  </si>
  <si>
    <t># 25</t>
  </si>
  <si>
    <t># 26</t>
  </si>
  <si>
    <t># 27</t>
  </si>
  <si>
    <t># 28</t>
  </si>
  <si>
    <t># 29</t>
  </si>
  <si>
    <t># 30</t>
  </si>
  <si>
    <t># 31</t>
  </si>
  <si>
    <t># 32</t>
  </si>
  <si>
    <t># 33</t>
  </si>
  <si>
    <t># 34</t>
  </si>
  <si>
    <t># 35</t>
  </si>
  <si>
    <t># 36</t>
  </si>
  <si>
    <t># 37</t>
  </si>
  <si>
    <t># 38</t>
  </si>
  <si>
    <t># 39</t>
  </si>
  <si>
    <t># 40</t>
  </si>
  <si>
    <t># 41</t>
  </si>
  <si>
    <t># 42</t>
  </si>
  <si>
    <t># 43</t>
  </si>
  <si>
    <t># 44</t>
  </si>
  <si>
    <t># 45</t>
  </si>
  <si>
    <t># 46</t>
  </si>
  <si>
    <t># 47</t>
  </si>
  <si>
    <t># 48</t>
  </si>
  <si>
    <t># 49</t>
  </si>
  <si>
    <t># 50</t>
  </si>
  <si>
    <t># 51</t>
  </si>
  <si>
    <t># 52</t>
  </si>
  <si>
    <t>POLLO-SALSA INGLESA</t>
  </si>
  <si>
    <t>LONGANIZA-POLLO</t>
  </si>
  <si>
    <t>POLLO-MAIZ-TOASTADAS-QUESO</t>
  </si>
  <si>
    <t>NOMINA 3</t>
  </si>
  <si>
    <t>TOCINETA-SALCHICHA-ESPECIES</t>
  </si>
  <si>
    <t>QUESOS-POLLO-LONGANIZA-CONDIMENTOS</t>
  </si>
  <si>
    <t>18412 A</t>
  </si>
  <si>
    <t>18499 A</t>
  </si>
  <si>
    <t>18550 A</t>
  </si>
  <si>
    <t>18639 A</t>
  </si>
  <si>
    <t>18769 A</t>
  </si>
  <si>
    <t>18803 A</t>
  </si>
  <si>
    <t>POLLO-MAIZ-CHORIZO</t>
  </si>
  <si>
    <t>POLLO--LONGANIZA</t>
  </si>
  <si>
    <t>POLLO-ENCHILADA-PAPAS-QUESOS</t>
  </si>
  <si>
    <t>POLLO-MAIZ</t>
  </si>
  <si>
    <t>NOMINA 4</t>
  </si>
  <si>
    <t>POLLO-LONGANIZA-JAMON-QUESO-TOCINETA etc</t>
  </si>
  <si>
    <t>POLLO-CHORIZO--</t>
  </si>
  <si>
    <t>POLLO-MAIZ-LONGANIZA-QUESOS</t>
  </si>
  <si>
    <t>PAPA-POLLO-MAIZ-QUESOS</t>
  </si>
  <si>
    <t>NOMINA 5</t>
  </si>
  <si>
    <t>TOCINETA-POLLO-LONGANIZA</t>
  </si>
  <si>
    <t>POLLO-TOSTADAS-TOTOPOS-ENCHILADA</t>
  </si>
  <si>
    <t>POLLO-LONGANIZAS</t>
  </si>
  <si>
    <t>ROLLO TERMICO</t>
  </si>
  <si>
    <t>ADT</t>
  </si>
  <si>
    <t>COMPRA BOLSAS</t>
  </si>
  <si>
    <t>RENTA J.V.</t>
  </si>
  <si>
    <t>VIGILANTE</t>
  </si>
  <si>
    <t>FUMIGACION</t>
  </si>
  <si>
    <t>POSTES UNIFILA</t>
  </si>
  <si>
    <t xml:space="preserve">TAPETES </t>
  </si>
  <si>
    <t>IMPRESORA TIKETS</t>
  </si>
  <si>
    <t>BASCULAS</t>
  </si>
  <si>
    <t>LUZ</t>
  </si>
  <si>
    <t>DELANTALES</t>
  </si>
  <si>
    <t>CELULARES</t>
  </si>
  <si>
    <t>SISTEMA NOMINAS</t>
  </si>
  <si>
    <t>Impuestos federales</t>
  </si>
  <si>
    <t>comisiones bancarias</t>
  </si>
  <si>
    <t>BALANCE      ABASTO 4 CARNES   FEBRERO          2 0 2 1</t>
  </si>
  <si>
    <t>QUESOS-</t>
  </si>
  <si>
    <t>Vac. Aide Mar</t>
  </si>
  <si>
    <t>LONGANIZA-POLLO-MAIZ-</t>
  </si>
  <si>
    <t>NOMINA  5</t>
  </si>
  <si>
    <t>QUESOS-SALCHICHA-TOCINETA-POLLO</t>
  </si>
  <si>
    <t>Transfer sobrante $ 200</t>
  </si>
  <si>
    <t>CHORIZO-POLLO-QUESOS-SALSAS VERDURA</t>
  </si>
  <si>
    <t>MAIZ-POLLO-CHORIZO</t>
  </si>
  <si>
    <t>LONGANIZA-POLLO-QUESOS-TOSTADAS-PAPA</t>
  </si>
  <si>
    <t>POLLO-</t>
  </si>
  <si>
    <t>MANCHEGO-LONGANIZAS-POLLO</t>
  </si>
  <si>
    <t>POLLO-TOSTADAS-CHORIZO</t>
  </si>
  <si>
    <t>Vacaciones VICTOR ADOLFO</t>
  </si>
  <si>
    <t>POLLO-QUESOS-VERDURA</t>
  </si>
  <si>
    <t>POLLO-LONGANIZA-PAPA</t>
  </si>
  <si>
    <t>NOMINA # 7</t>
  </si>
  <si>
    <t>NOMINA # 6</t>
  </si>
  <si>
    <t>NOMINA  #6</t>
  </si>
  <si>
    <t>TOCINETA-SALCHICHA-POLLO-ENCHILADA</t>
  </si>
  <si>
    <t>POLLO-CHORIZO</t>
  </si>
  <si>
    <t>LONGANIZA-POLLO-QUESOS-CHORIZO-SALSAS</t>
  </si>
  <si>
    <t xml:space="preserve">MAIZ  </t>
  </si>
  <si>
    <t>POLLO-TOSTADAS</t>
  </si>
  <si>
    <t>QUESOS-CREMA-TOSTADAS-POLLO-VERDURA</t>
  </si>
  <si>
    <t>RENTA+ NOMINA 8</t>
  </si>
  <si>
    <t>TOCINETA-QUESOS-CHORIZO-POLLO</t>
  </si>
  <si>
    <t>19000 A</t>
  </si>
  <si>
    <t>19054 A</t>
  </si>
  <si>
    <t>19210 A</t>
  </si>
  <si>
    <t>19211 A</t>
  </si>
  <si>
    <t>19279 A</t>
  </si>
  <si>
    <t>19312 A</t>
  </si>
  <si>
    <t>19364 A</t>
  </si>
  <si>
    <t>19473 A</t>
  </si>
  <si>
    <t>19525 A</t>
  </si>
  <si>
    <t>19526 A</t>
  </si>
  <si>
    <t>19711 A</t>
  </si>
  <si>
    <t>19795 A</t>
  </si>
  <si>
    <t>19992 A</t>
  </si>
  <si>
    <t>20093 A</t>
  </si>
  <si>
    <t>20256 A</t>
  </si>
  <si>
    <t>20476 A</t>
  </si>
  <si>
    <t>20495 A</t>
  </si>
  <si>
    <t>20516 A</t>
  </si>
  <si>
    <t>20643 A</t>
  </si>
  <si>
    <t>20694A</t>
  </si>
  <si>
    <t>20695 A</t>
  </si>
  <si>
    <t>20923 A</t>
  </si>
  <si>
    <t>21086 A</t>
  </si>
  <si>
    <t>21091 A</t>
  </si>
  <si>
    <t>21096 A</t>
  </si>
  <si>
    <t>21193 A</t>
  </si>
  <si>
    <t>21340 A</t>
  </si>
  <si>
    <t>21426 A</t>
  </si>
  <si>
    <t>21441 A</t>
  </si>
  <si>
    <t>21679 A</t>
  </si>
  <si>
    <t>21724 A</t>
  </si>
  <si>
    <t>21749 A</t>
  </si>
  <si>
    <t>21907 A</t>
  </si>
  <si>
    <t xml:space="preserve">Transfer </t>
  </si>
  <si>
    <t xml:space="preserve">Transfer   </t>
  </si>
  <si>
    <t>Aplica sobtrante del 7-FEB-21</t>
  </si>
  <si>
    <t>FEB ,2021</t>
  </si>
  <si>
    <t>VIGILANCIA</t>
  </si>
  <si>
    <t>Res   F-255</t>
  </si>
  <si>
    <t>Res   F-261</t>
  </si>
  <si>
    <t>Res   F-263</t>
  </si>
  <si>
    <t>Res   F-252</t>
  </si>
  <si>
    <t>Res   F-290</t>
  </si>
  <si>
    <t>Res   F-271</t>
  </si>
  <si>
    <t>Res   F-275</t>
  </si>
  <si>
    <t>Res   F-312</t>
  </si>
  <si>
    <t>Res   F-310</t>
  </si>
  <si>
    <t>Res   F-311</t>
  </si>
  <si>
    <t>Res   F-309</t>
  </si>
  <si>
    <t>fumigacion</t>
  </si>
  <si>
    <t>CAMARAS</t>
  </si>
  <si>
    <t>GASOLINA</t>
  </si>
  <si>
    <t>TELEFONOS</t>
  </si>
  <si>
    <t>SERV MOTO</t>
  </si>
  <si>
    <t xml:space="preserve">COMISIONES BANCARIAS </t>
  </si>
  <si>
    <t>22127 A</t>
  </si>
  <si>
    <t>22163 A</t>
  </si>
  <si>
    <t>22165 A</t>
  </si>
  <si>
    <t>22228 A</t>
  </si>
  <si>
    <t>22430 A</t>
  </si>
  <si>
    <t>22433 A</t>
  </si>
  <si>
    <t>22486 A</t>
  </si>
  <si>
    <t>22503 A</t>
  </si>
  <si>
    <t>22556 A</t>
  </si>
  <si>
    <t>22560 A</t>
  </si>
  <si>
    <t>22714 A</t>
  </si>
  <si>
    <t>22909 A</t>
  </si>
  <si>
    <t>22930 A</t>
  </si>
  <si>
    <t>22992 A</t>
  </si>
  <si>
    <t>22993 A</t>
  </si>
  <si>
    <t>23090 A</t>
  </si>
  <si>
    <t>23183 A</t>
  </si>
  <si>
    <t>23184 A</t>
  </si>
  <si>
    <t>23198 A</t>
  </si>
  <si>
    <t>23288 A</t>
  </si>
  <si>
    <t>23290 A</t>
  </si>
  <si>
    <t>23447 A</t>
  </si>
  <si>
    <t>23683 A</t>
  </si>
  <si>
    <t>23705 A</t>
  </si>
  <si>
    <t>23736 A</t>
  </si>
  <si>
    <t>23971 A</t>
  </si>
  <si>
    <t>24027 A</t>
  </si>
  <si>
    <t>POLLO-QUESO-CHORIZO</t>
  </si>
  <si>
    <t>POLLO-MAIZ-LONGANIZA</t>
  </si>
  <si>
    <t>FEB ,2021-Mar-21</t>
  </si>
  <si>
    <t>COMIDAS PERSONALES</t>
  </si>
  <si>
    <t>DESECHABLES</t>
  </si>
  <si>
    <t>IMSS Dic-2020</t>
  </si>
  <si>
    <t>IMSS Ene-2021</t>
  </si>
  <si>
    <t>Axa seguros</t>
  </si>
  <si>
    <t>Comidas Personales</t>
  </si>
  <si>
    <t>nomina # 10</t>
  </si>
  <si>
    <t>TOCINETAQUESOS-PAPA-CHORIZO</t>
  </si>
  <si>
    <t>POLLO-SALSAS-LONGANIZAS</t>
  </si>
  <si>
    <t>QUESO-POLLO-CHORIZO-SAZONADOR</t>
  </si>
  <si>
    <t>QUESOS-POLLO-VERDURA-SALSAS</t>
  </si>
  <si>
    <t xml:space="preserve">POLLO-MAIZ </t>
  </si>
  <si>
    <t>NOMINA # 11</t>
  </si>
  <si>
    <t>TOCINETA-SALCHICHA-QUESOS-POLLO-CHISTORRA</t>
  </si>
  <si>
    <t>LONGANIZA-POLLO-SAZONADORES</t>
  </si>
  <si>
    <t>LONGANIZA-POLLO-CHORIZO</t>
  </si>
  <si>
    <t>LONGANIZA-QUESOS-POLLO-CONDIMENTOS</t>
  </si>
  <si>
    <t>POLLO-PAPA-TOSTADAS-MAIZ</t>
  </si>
  <si>
    <t>NOMINA # 12</t>
  </si>
  <si>
    <t>TOCINETA-POLLO-CHISTORRA-SALCHICHAS</t>
  </si>
  <si>
    <t>Transfer</t>
  </si>
  <si>
    <t>LONGANIZAS-CHORIZO-POLLO</t>
  </si>
  <si>
    <t>LONGANIZA-POLLO-SALSAS</t>
  </si>
  <si>
    <t>C/23-Mar</t>
  </si>
  <si>
    <t>c/22-Mar</t>
  </si>
  <si>
    <t>CHORIZO-QUESOS</t>
  </si>
  <si>
    <t>PAPA-LONGANIZA-POLLO</t>
  </si>
  <si>
    <t>POLLO-QUESOS-MAIZ</t>
  </si>
  <si>
    <t>NOMINA # 13</t>
  </si>
  <si>
    <t>TOCINETA-QUESOS-POLLO-TOSTADAS-VERDURA</t>
  </si>
  <si>
    <t>LONGANIZA-POLLO-JAMON-CHORIZO</t>
  </si>
  <si>
    <t xml:space="preserve">CHORIZO   </t>
  </si>
  <si>
    <t xml:space="preserve">RENTA </t>
  </si>
  <si>
    <t>LONGANIZAS-POLLO</t>
  </si>
  <si>
    <t xml:space="preserve"> Transfer</t>
  </si>
  <si>
    <t>POLLO-QUESOS-PAPA</t>
  </si>
  <si>
    <t>NOMINA $ 14</t>
  </si>
  <si>
    <t>24235 A</t>
  </si>
  <si>
    <t>24236 A</t>
  </si>
  <si>
    <t>24319 A</t>
  </si>
  <si>
    <t>24397 A</t>
  </si>
  <si>
    <t>24402 A</t>
  </si>
  <si>
    <t>24552 A</t>
  </si>
  <si>
    <t>24825 A</t>
  </si>
  <si>
    <t>24903 A</t>
  </si>
  <si>
    <t>24947 A</t>
  </si>
  <si>
    <t>00002 B</t>
  </si>
  <si>
    <t>00029 A</t>
  </si>
  <si>
    <t>00031 A</t>
  </si>
  <si>
    <t>00049 A</t>
  </si>
  <si>
    <t>00179 A</t>
  </si>
  <si>
    <t>00320 A</t>
  </si>
  <si>
    <t>00390 A</t>
  </si>
  <si>
    <t>00406 A</t>
  </si>
  <si>
    <t>00410 A</t>
  </si>
  <si>
    <t>00600 A</t>
  </si>
  <si>
    <t>00609 A</t>
  </si>
  <si>
    <t>00751 A</t>
  </si>
  <si>
    <t>00933 A</t>
  </si>
  <si>
    <t>00934 A</t>
  </si>
  <si>
    <t>00937 A</t>
  </si>
  <si>
    <t>01084 A</t>
  </si>
  <si>
    <t>01171 A</t>
  </si>
  <si>
    <t>01176 A</t>
  </si>
  <si>
    <t>01542 A</t>
  </si>
  <si>
    <t>01560 A</t>
  </si>
  <si>
    <t>01614 A</t>
  </si>
  <si>
    <t>01661 A</t>
  </si>
  <si>
    <t>01769 A</t>
  </si>
  <si>
    <t>01791 A</t>
  </si>
  <si>
    <t>01850 A</t>
  </si>
  <si>
    <t>01877 A</t>
  </si>
  <si>
    <t>01939 A</t>
  </si>
  <si>
    <t>01948 A</t>
  </si>
  <si>
    <t>02054 A</t>
  </si>
  <si>
    <t>02113 A</t>
  </si>
  <si>
    <t>02240 A</t>
  </si>
  <si>
    <t>02363 A</t>
  </si>
  <si>
    <t>02582 A</t>
  </si>
  <si>
    <t>02611 A</t>
  </si>
  <si>
    <t>02766 A</t>
  </si>
  <si>
    <t>02900 A</t>
  </si>
  <si>
    <t>RES</t>
  </si>
  <si>
    <t>POLLO-QUESOS-LONGANIZA-TOSTADAS-MAIZ</t>
  </si>
  <si>
    <t>LONGANIZA-CHORIZO</t>
  </si>
  <si>
    <t>Tranfer</t>
  </si>
  <si>
    <t>NOMINA #  15</t>
  </si>
  <si>
    <t>LONGANIZA-POLLO-QUESOS</t>
  </si>
  <si>
    <t>QUESOS-POLLO</t>
  </si>
  <si>
    <t>POLLO-MAIZ-PAPA</t>
  </si>
  <si>
    <t>CHORIZO-TOSTADAS</t>
  </si>
  <si>
    <t>MULTA TRANSITO</t>
  </si>
  <si>
    <t>NLP</t>
  </si>
  <si>
    <t>Prestamo DANIELA pagado 15-Abril-21</t>
  </si>
  <si>
    <t>LONGANIZAS-POLLO-MAIZ-QUESOS</t>
  </si>
  <si>
    <t>JAMON-CHISTORRA POLLO</t>
  </si>
  <si>
    <t>POLLO-SALSAS</t>
  </si>
  <si>
    <t>VACACIONES  JOSE OSORIO</t>
  </si>
  <si>
    <t>QUESOS-POLLO-MAIZ-LONGANIZA-VERDURAS</t>
  </si>
  <si>
    <t>PAPA-LONGANIZA-POLLO-TOSTADAS</t>
  </si>
  <si>
    <t>NOMINA  # 16</t>
  </si>
  <si>
    <t>LONGANIZA-TOSTADAS-POLLO-SAZONADORES</t>
  </si>
  <si>
    <t>NOMINA # 17</t>
  </si>
  <si>
    <t>QUESOS-SALCHICHAS-CHISCHORRA-CREMA-POLLO</t>
  </si>
  <si>
    <t>LONGANIZAS POLLO</t>
  </si>
  <si>
    <t xml:space="preserve">POLLO-MAIZ  </t>
  </si>
  <si>
    <t>LONGANIZA-POLLO-CONDIMENTOS</t>
  </si>
  <si>
    <t>QUESOS-MAIZ</t>
  </si>
  <si>
    <t>TOCINETA-CHISTORRA-MANCHECO-LONGANIZAS-POLLO</t>
  </si>
  <si>
    <t xml:space="preserve">comidas personales </t>
  </si>
  <si>
    <t>marzo</t>
  </si>
  <si>
    <t>AT&amp;T</t>
  </si>
  <si>
    <t>BOLSA</t>
  </si>
  <si>
    <t xml:space="preserve">REDES SOCIALES </t>
  </si>
  <si>
    <t>Impuestos Fed</t>
  </si>
  <si>
    <t>OPENPAY</t>
  </si>
  <si>
    <t>longaniza--chorizo-´pollo</t>
  </si>
  <si>
    <t>COMPRA  Bolsa</t>
  </si>
  <si>
    <t xml:space="preserve">comisiones bancarias </t>
  </si>
  <si>
    <t xml:space="preserve">IMSS </t>
  </si>
  <si>
    <t>SEGURO Qualitas</t>
  </si>
  <si>
    <t>vigilante</t>
  </si>
  <si>
    <t>abril</t>
  </si>
  <si>
    <t>desechables</t>
  </si>
  <si>
    <t xml:space="preserve">vacaciones     </t>
  </si>
  <si>
    <t xml:space="preserve">impuestos federales </t>
  </si>
  <si>
    <t>SKY</t>
  </si>
  <si>
    <t>ADT MEXICO</t>
  </si>
  <si>
    <t>REDES SOCIALES</t>
  </si>
  <si>
    <t>02977 B</t>
  </si>
  <si>
    <t>03016 B</t>
  </si>
  <si>
    <t>03026 B</t>
  </si>
  <si>
    <t>03108 B</t>
  </si>
  <si>
    <t>03189 B</t>
  </si>
  <si>
    <t>03272 B</t>
  </si>
  <si>
    <t>03411 B</t>
  </si>
  <si>
    <t>03575 B</t>
  </si>
  <si>
    <t>03730 B</t>
  </si>
  <si>
    <t>03836 B</t>
  </si>
  <si>
    <t>03933 B</t>
  </si>
  <si>
    <t>03978 B</t>
  </si>
  <si>
    <t>04024 B</t>
  </si>
  <si>
    <t>04065 B</t>
  </si>
  <si>
    <t>04089 B</t>
  </si>
  <si>
    <t>04202 B</t>
  </si>
  <si>
    <t>04343 B</t>
  </si>
  <si>
    <t>04518 B</t>
  </si>
  <si>
    <t>04712 B</t>
  </si>
  <si>
    <t>04800 B</t>
  </si>
  <si>
    <t>05011 B</t>
  </si>
  <si>
    <t>05192 B</t>
  </si>
  <si>
    <t>05243 B</t>
  </si>
  <si>
    <t>05336 B</t>
  </si>
  <si>
    <t>05439 B</t>
  </si>
  <si>
    <t>05528 B</t>
  </si>
  <si>
    <t>05663 B</t>
  </si>
  <si>
    <t>05700 B</t>
  </si>
  <si>
    <t>05762 B</t>
  </si>
  <si>
    <t>05888 B</t>
  </si>
  <si>
    <t>06046 B</t>
  </si>
  <si>
    <t>06079 B</t>
  </si>
  <si>
    <t>06141 B</t>
  </si>
  <si>
    <t>06226 B</t>
  </si>
  <si>
    <t xml:space="preserve">INTERNET </t>
  </si>
  <si>
    <t>Maquina p/sellar bolsas</t>
  </si>
  <si>
    <t>Botargas</t>
  </si>
  <si>
    <t>pago IMSS</t>
  </si>
  <si>
    <t>PAGO Impuesto 3%</t>
  </si>
  <si>
    <t>Gasto no deducible</t>
  </si>
  <si>
    <t>comisiones bancaria</t>
  </si>
  <si>
    <t>BALANCE      ABASTO 4 CARNES   MARZO          2 0 2 1</t>
  </si>
  <si>
    <t>BALANCE      ABASTO 4 CARNES   ABRIL          2 0 2 1</t>
  </si>
  <si>
    <t>PERDIDA</t>
  </si>
  <si>
    <t>LONGANIZA-POLLO-MAIZ-CHORIZO</t>
  </si>
  <si>
    <t>CHORIZO-MAIZ-CECINA-POLLO</t>
  </si>
  <si>
    <t>NOMINA # 19</t>
  </si>
  <si>
    <t>TOCINETA-CHISTORRA-MANCHEGO-QUESOS-LONGANIZA-POLLO</t>
  </si>
  <si>
    <t xml:space="preserve">LONGANIZA-POLLO  </t>
  </si>
  <si>
    <t>Vacaciones Marco A</t>
  </si>
  <si>
    <t>CHORIZO ARGENTINO</t>
  </si>
  <si>
    <t>PAPA-POLLO-CHORIZO-MAIZ</t>
  </si>
  <si>
    <t>POLLO-LONANIZA-TOSTADAS</t>
  </si>
  <si>
    <t>QUESOS-POLL.O-MAIZ</t>
  </si>
  <si>
    <t>NOMINA # 20</t>
  </si>
  <si>
    <t>QUESOS-TOCINETA-CHISTORRA-POLLO-LONGANIZA</t>
  </si>
  <si>
    <t xml:space="preserve">PAPA-POLLO  </t>
  </si>
  <si>
    <t>CHORIZO</t>
  </si>
  <si>
    <t>SALSAS-QUESOS-POLLO-MAIZ</t>
  </si>
  <si>
    <t>CECINA--ENCHILADA-POLLO</t>
  </si>
  <si>
    <t>CHORIZO-POLLO</t>
  </si>
  <si>
    <t>POLLO--MAIZ</t>
  </si>
  <si>
    <t>NOMINA #  21</t>
  </si>
  <si>
    <t>POLLO-CHISTORRA-JAMON-TOCINETA-SALCHICHA</t>
  </si>
  <si>
    <t>POLLO-LONGANIZA-QUESOS</t>
  </si>
  <si>
    <t>POLLO-CHORIZO-LON GANIZA</t>
  </si>
  <si>
    <t>TOSTADAS</t>
  </si>
  <si>
    <t>POLLO-MAIZ-QUESOS-CREMA</t>
  </si>
  <si>
    <t>POLLO-LONGANIZAS-TOCINETA-QUESOS-CHISTORRA-</t>
  </si>
  <si>
    <t>06375 B</t>
  </si>
  <si>
    <t>06419 B</t>
  </si>
  <si>
    <t>06506 B</t>
  </si>
  <si>
    <t>06586 B</t>
  </si>
  <si>
    <t>06680 B</t>
  </si>
  <si>
    <t>06730 B</t>
  </si>
  <si>
    <t>06793 B</t>
  </si>
  <si>
    <t>06917 B</t>
  </si>
  <si>
    <t>07027 B</t>
  </si>
  <si>
    <t>07178 B</t>
  </si>
  <si>
    <t>07233 B</t>
  </si>
  <si>
    <t>07403 B</t>
  </si>
  <si>
    <t>07572 B</t>
  </si>
  <si>
    <t>07579 B</t>
  </si>
  <si>
    <t>07580 B</t>
  </si>
  <si>
    <t>07768 B</t>
  </si>
  <si>
    <t>07799 B</t>
  </si>
  <si>
    <t>07811 B</t>
  </si>
  <si>
    <t>07885 B</t>
  </si>
  <si>
    <t>08027 B</t>
  </si>
  <si>
    <t>08029 B</t>
  </si>
  <si>
    <t>08207 B</t>
  </si>
  <si>
    <t>08259 B</t>
  </si>
  <si>
    <t>08261 B</t>
  </si>
  <si>
    <t>08297 B</t>
  </si>
  <si>
    <t>08502 B</t>
  </si>
  <si>
    <t>08620 B</t>
  </si>
  <si>
    <t>08720 B</t>
  </si>
  <si>
    <t>08742 B</t>
  </si>
  <si>
    <t>08844 B</t>
  </si>
  <si>
    <t>08868 B</t>
  </si>
  <si>
    <t>09054 B</t>
  </si>
  <si>
    <t>09093 B</t>
  </si>
  <si>
    <t>09133 B</t>
  </si>
  <si>
    <t>09262 B</t>
  </si>
  <si>
    <t>09330 B</t>
  </si>
  <si>
    <t>POLLO-PAPA-CHORIZO-SALSAS</t>
  </si>
  <si>
    <t xml:space="preserve">P.T.U.- Y RENTA </t>
  </si>
  <si>
    <t>MAIZ-QUESO</t>
  </si>
  <si>
    <t>TELMEX</t>
  </si>
  <si>
    <t>POLLO-LONGANIZAS-CECINA</t>
  </si>
  <si>
    <t>09411 B</t>
  </si>
  <si>
    <t>09485 B</t>
  </si>
  <si>
    <t>09545 B</t>
  </si>
  <si>
    <t>09576 B</t>
  </si>
  <si>
    <t xml:space="preserve">PROVEEDOREES ODELPA </t>
  </si>
  <si>
    <t>BALANCE      ABASTO 4 CARNES   JUNIO          2 0 2 1</t>
  </si>
  <si>
    <t>BALANCE      ABASTO 4 CARNES   MAYO          2 0 2 1</t>
  </si>
  <si>
    <t>LONGANIZA</t>
  </si>
  <si>
    <t>CHORIZO-POLLO-QUESOS-MAIZ</t>
  </si>
  <si>
    <t>JAMON-POLLO-TOSTADAS</t>
  </si>
  <si>
    <t>QUESOS-POLLO-LONGANIZA-MAIZ</t>
  </si>
  <si>
    <t>NOMINA 23</t>
  </si>
  <si>
    <t>POLLO-TOCINETA-SALCHICHA</t>
  </si>
  <si>
    <t>CUERO-POLLO-MAIZ</t>
  </si>
  <si>
    <t>LONGANIZA-SALCHICHA-QUESO-POLLO-SAZONADORES</t>
  </si>
  <si>
    <t>PAPA-QUESOS-POLLO</t>
  </si>
  <si>
    <t>POLLO-CHORIZO-CONDIMENTOS</t>
  </si>
  <si>
    <t>c/7 Jun</t>
  </si>
  <si>
    <t>c/6 Jun</t>
  </si>
  <si>
    <t>POLLO-MAIZ-CECINA-CHORIZO</t>
  </si>
  <si>
    <t>QUESOS-JAMON-POLLO</t>
  </si>
  <si>
    <t>LONGANIZAS--POLLO</t>
  </si>
  <si>
    <t>NOMINA # 25</t>
  </si>
  <si>
    <t>NOMINA # 24</t>
  </si>
  <si>
    <t>TOCINETA-MANCHEGO-LONGANIZA-POLLO</t>
  </si>
  <si>
    <t>QUESOS -POLLO-MAIZ-CHORIZO</t>
  </si>
  <si>
    <t>POLLO--TOSTADAS</t>
  </si>
  <si>
    <t>POLLO-MAIZ--MARINADOR</t>
  </si>
  <si>
    <t>NOMINA # 26</t>
  </si>
  <si>
    <t>VENTAS EN EFECTIVO</t>
  </si>
  <si>
    <t xml:space="preserve">CORTE DE ADMINISTRACION </t>
  </si>
  <si>
    <t>ELIAS &amp; PEPE</t>
  </si>
  <si>
    <t>09666 B</t>
  </si>
  <si>
    <t>09714 B</t>
  </si>
  <si>
    <t>09784 B</t>
  </si>
  <si>
    <t>09919 B</t>
  </si>
  <si>
    <t>10040 B</t>
  </si>
  <si>
    <t>10037 B</t>
  </si>
  <si>
    <t>10047 B</t>
  </si>
  <si>
    <t>10103 B</t>
  </si>
  <si>
    <t>10220 B</t>
  </si>
  <si>
    <t>10276 B</t>
  </si>
  <si>
    <t>10452 B</t>
  </si>
  <si>
    <t>10627 B</t>
  </si>
  <si>
    <t>10663 B</t>
  </si>
  <si>
    <t>10705 B</t>
  </si>
  <si>
    <t>10780 B</t>
  </si>
  <si>
    <t>10807 B</t>
  </si>
  <si>
    <t>10825 B</t>
  </si>
  <si>
    <t>MAYO</t>
  </si>
  <si>
    <t>VIGILANTES</t>
  </si>
  <si>
    <t>COMISION X CREDITO</t>
  </si>
  <si>
    <t>ROLLOS TERMICOS</t>
  </si>
  <si>
    <t>CINTAS P/SIERRA</t>
  </si>
  <si>
    <t>Impuestos Federales</t>
  </si>
  <si>
    <t>DESECHABLES VICMAN</t>
  </si>
  <si>
    <t>SERVICIO MOTO</t>
  </si>
  <si>
    <t>PAGO DE PTU</t>
  </si>
  <si>
    <t>ULTRAVISION</t>
  </si>
  <si>
    <t>RADIOMOVIL</t>
  </si>
  <si>
    <t>COMISION BANCARIA</t>
  </si>
  <si>
    <t xml:space="preserve">FOTO MULTA </t>
  </si>
  <si>
    <t>QUESOS-LONGANIZAS-POLLO-TOSTADAS</t>
  </si>
  <si>
    <t>TOSTADAS-POLLO-LONGANIZA</t>
  </si>
  <si>
    <t>EFECTIVOS PENDIENTES</t>
  </si>
  <si>
    <t>PEPE</t>
  </si>
  <si>
    <t>DEPOSITOS PEPE</t>
  </si>
  <si>
    <t xml:space="preserve">EFECTIVO PENDIENTE </t>
  </si>
  <si>
    <t>OFICINA</t>
  </si>
  <si>
    <t>DEPOSITOS HECHOS</t>
  </si>
  <si>
    <t>JUNIO</t>
  </si>
  <si>
    <t>Pulpa Contra</t>
  </si>
  <si>
    <t>Licencia Facturacion</t>
  </si>
  <si>
    <t>ADT Private</t>
  </si>
  <si>
    <t>Gasolina</t>
  </si>
  <si>
    <t>PAY PAL</t>
  </si>
  <si>
    <t>ERSA REGRIG</t>
  </si>
  <si>
    <t>SESOS</t>
  </si>
  <si>
    <t>IMPUESTOS FED</t>
  </si>
  <si>
    <t>PAGO Prestamo</t>
  </si>
  <si>
    <t>intereses</t>
  </si>
  <si>
    <t>EXTINTORES</t>
  </si>
  <si>
    <t>INTERNET</t>
  </si>
  <si>
    <t>IMPRENTA</t>
  </si>
  <si>
    <t>TELCEL</t>
  </si>
  <si>
    <t>COMISIONES BANCARIAS</t>
  </si>
  <si>
    <t>10939 B</t>
  </si>
  <si>
    <t>11080 B</t>
  </si>
  <si>
    <t>11172 B</t>
  </si>
  <si>
    <t>11347 B</t>
  </si>
  <si>
    <t>11469 B</t>
  </si>
  <si>
    <t>11526 B</t>
  </si>
  <si>
    <t>11560 B</t>
  </si>
  <si>
    <t>11736 B</t>
  </si>
  <si>
    <t>11750 B</t>
  </si>
  <si>
    <t>11974 B</t>
  </si>
  <si>
    <t>12088 B</t>
  </si>
  <si>
    <t>12109 B</t>
  </si>
  <si>
    <t xml:space="preserve">ABASTO DE 4 CARNES </t>
  </si>
  <si>
    <t>LUZ BIMESTRAL</t>
  </si>
  <si>
    <t>PAGO IMSS</t>
  </si>
  <si>
    <t>IMPUESTO 3%</t>
  </si>
  <si>
    <t>COM.  Garantia Fira</t>
  </si>
  <si>
    <t xml:space="preserve">CREDITOS COBRADOS DE MAYO </t>
  </si>
  <si>
    <t>NOMINAS X TRANSFER Y MANUEL</t>
  </si>
  <si>
    <t xml:space="preserve">NOMINAS   </t>
  </si>
  <si>
    <t xml:space="preserve">GASTOS </t>
  </si>
  <si>
    <t>COMPRAS CHICAS</t>
  </si>
  <si>
    <t>BANCOS</t>
  </si>
  <si>
    <t>DEPOSITOS EFECTIVOS</t>
  </si>
  <si>
    <t>C/16-Jun</t>
  </si>
  <si>
    <t>c/15-Jun</t>
  </si>
  <si>
    <t>EFECTIVO PENDIENTE DE DEPOSITAR</t>
  </si>
  <si>
    <t xml:space="preserve"># </t>
  </si>
  <si>
    <t>12197 B</t>
  </si>
  <si>
    <t>12198 B</t>
  </si>
  <si>
    <t>12203 B</t>
  </si>
  <si>
    <t>12206 B</t>
  </si>
  <si>
    <t>12377 B</t>
  </si>
  <si>
    <t>12379 B</t>
  </si>
  <si>
    <t>12522 B</t>
  </si>
  <si>
    <t>12523 B</t>
  </si>
  <si>
    <t>12569 B</t>
  </si>
  <si>
    <t>12643 B</t>
  </si>
  <si>
    <t>12702 B</t>
  </si>
  <si>
    <t>12705 B</t>
  </si>
  <si>
    <t>12837 B</t>
  </si>
  <si>
    <t>12980 B</t>
  </si>
  <si>
    <t>12998 B</t>
  </si>
  <si>
    <t>13106 B</t>
  </si>
  <si>
    <t>13113 B</t>
  </si>
  <si>
    <t>13131 B</t>
  </si>
  <si>
    <t>13218 B</t>
  </si>
  <si>
    <t>13257 B</t>
  </si>
  <si>
    <t>13411 B</t>
  </si>
  <si>
    <t>13439 B</t>
  </si>
  <si>
    <t>13512 B</t>
  </si>
  <si>
    <t>13630 B</t>
  </si>
  <si>
    <t>16804 B</t>
  </si>
  <si>
    <t>13850 B</t>
  </si>
  <si>
    <t>13921 B</t>
  </si>
  <si>
    <t>13929 B</t>
  </si>
  <si>
    <t>13968 B</t>
  </si>
  <si>
    <t xml:space="preserve">13969 B </t>
  </si>
  <si>
    <t>13970 B</t>
  </si>
  <si>
    <t>14043 B</t>
  </si>
  <si>
    <t>14093 B</t>
  </si>
  <si>
    <t>14233 B</t>
  </si>
  <si>
    <t>14235 B</t>
  </si>
  <si>
    <t>14236 B</t>
  </si>
  <si>
    <t>14338 B</t>
  </si>
  <si>
    <t>14383 B</t>
  </si>
  <si>
    <t>14432 B</t>
  </si>
  <si>
    <t>14496 B</t>
  </si>
  <si>
    <t>14530 B</t>
  </si>
  <si>
    <t>14537 B</t>
  </si>
  <si>
    <t>14632 B</t>
  </si>
  <si>
    <t>14640 B</t>
  </si>
  <si>
    <t>14650 B</t>
  </si>
  <si>
    <t>14797 B</t>
  </si>
  <si>
    <t>14839 B</t>
  </si>
  <si>
    <t>14979 B</t>
  </si>
  <si>
    <t>15083 B</t>
  </si>
  <si>
    <t>LONGANIZA-QUESOS-POLLO</t>
  </si>
  <si>
    <t>ELIAS/PEPE</t>
  </si>
  <si>
    <t>CREDITOS MES PASADO</t>
  </si>
  <si>
    <t>NOMINA # 27</t>
  </si>
  <si>
    <t>NOMIA X TRANSFER</t>
  </si>
  <si>
    <t>QUESO-TOCINETA-JAMON-PAVO</t>
  </si>
  <si>
    <t>POLLO-SALSAS-JUGOS</t>
  </si>
  <si>
    <t>Impresora+Programa</t>
  </si>
  <si>
    <t>POLLO-ENCHILDA</t>
  </si>
  <si>
    <t>QUESOS-POLLO-JAMON</t>
  </si>
  <si>
    <t>NOMINA # 28</t>
  </si>
  <si>
    <t>QUESOS-POLLO-LONGANIZA-TOCINETA-SACHICAH</t>
  </si>
  <si>
    <t>LONGANIZA-POLLO-TOSTADAS-PAPA-CHORIZO</t>
  </si>
  <si>
    <t>POLLO-CONDIMENTOS-MAIZ</t>
  </si>
  <si>
    <t>MEDICINA PEPE</t>
  </si>
  <si>
    <t>QUESOS-LONGANIZA-PAPA-POLLO</t>
  </si>
  <si>
    <t>NOMINA # 29</t>
  </si>
  <si>
    <t>POLLO-TOCINETA-CHISTORRA</t>
  </si>
  <si>
    <t>QUESOS-POLLO-LONGANIZA-SALCHICHA-CHORIZO-CONDIMENTOS-SALSAS</t>
  </si>
  <si>
    <t>Finiquito ISMAEL</t>
  </si>
  <si>
    <t>POLLO--CHORIZO</t>
  </si>
  <si>
    <t>LONGANIZA-POLLO-PAPA</t>
  </si>
  <si>
    <t>QUESO-POLLO-MOLE</t>
  </si>
  <si>
    <t>POLLO-SALSAS-ENCHILADA-MAIZ</t>
  </si>
  <si>
    <t>NOMINA # 30</t>
  </si>
  <si>
    <t>ENCHILADA-POLLO-LONGANIZA</t>
  </si>
  <si>
    <t>POLLO-PAPA</t>
  </si>
  <si>
    <t>LONZANIZA-QUESOS-POLLO-MAIZ</t>
  </si>
  <si>
    <t>CECINA-LONGANIZA-CHORIZO-QUESO-POLLO</t>
  </si>
  <si>
    <t>ELIAS/PEPE--Renta</t>
  </si>
  <si>
    <t>JAMON-PAPA-POLLO-MAIZ-MOLE</t>
  </si>
  <si>
    <t>NOMINA # 31</t>
  </si>
  <si>
    <t>pollo</t>
  </si>
  <si>
    <t>TOCINETA-SALCHICHA-CHISTORRA-LONGANIZA-POLLO-SALSAS</t>
  </si>
  <si>
    <t>JULIO</t>
  </si>
  <si>
    <t xml:space="preserve">JULIO </t>
  </si>
  <si>
    <t xml:space="preserve">basculas </t>
  </si>
  <si>
    <t>CPU Herradura</t>
  </si>
  <si>
    <t>Megacable WEB</t>
  </si>
  <si>
    <t>IMPRESORAS Tiket</t>
  </si>
  <si>
    <t>CALENDARIOS</t>
  </si>
  <si>
    <t>REFRIGERACION</t>
  </si>
  <si>
    <t xml:space="preserve">IMPRENTA </t>
  </si>
  <si>
    <t xml:space="preserve">CONTRA ( Roel ) </t>
  </si>
  <si>
    <t>PRESTAMO 2/18</t>
  </si>
  <si>
    <t>INTERESES S/Prest 2/18</t>
  </si>
  <si>
    <t>PAGO Prestamo  1/18</t>
  </si>
  <si>
    <t>intereses  1/18</t>
  </si>
  <si>
    <t>BASURA</t>
  </si>
  <si>
    <t>GARANTIA FIRA  1</t>
  </si>
  <si>
    <t>COM.  Garantia Fira 2</t>
  </si>
  <si>
    <t>GARANTIA FIRA  3</t>
  </si>
  <si>
    <t>SEGURO VIDA 1</t>
  </si>
  <si>
    <t>SEGURO VIDA 2</t>
  </si>
  <si>
    <t>SEGURO DE VIDA 3</t>
  </si>
  <si>
    <t>VENTA EFECTIVO</t>
  </si>
  <si>
    <t>VENTAS EFECTIVO</t>
  </si>
  <si>
    <t>PERNIL  ( ROEL )</t>
  </si>
  <si>
    <t>FALTANTE DE EFEC TIVO</t>
  </si>
  <si>
    <t>BALANCE      ABASTO 4 CARNES   JULIO          2 0 2 1</t>
  </si>
  <si>
    <t>BALANCE      ABASTO 4 CARNES   AGOSTO           2 0 2 1</t>
  </si>
  <si>
    <t>ELIAS/ PEPE</t>
  </si>
  <si>
    <t>NOMIN # 33</t>
  </si>
  <si>
    <t>NOMIN # 32</t>
  </si>
  <si>
    <t xml:space="preserve">ABASTOS  11 SUR </t>
  </si>
  <si>
    <t xml:space="preserve">ABASTOS DE 4 CARNES   11 SUR </t>
  </si>
  <si>
    <t>4-al-17 Agosto</t>
  </si>
  <si>
    <t>1-al-3-Agosto</t>
  </si>
  <si>
    <t>7- al-30-Junio</t>
  </si>
  <si>
    <t>ENCHILADA-POLLO-TOSTADAS-MAIZ</t>
  </si>
  <si>
    <t>´POLLO-CHORIZO</t>
  </si>
  <si>
    <t># 288871</t>
  </si>
  <si>
    <t># 288912</t>
  </si>
  <si>
    <t>´POLLO-QUESOS</t>
  </si>
  <si>
    <t># 289139</t>
  </si>
  <si>
    <t># 289140</t>
  </si>
  <si>
    <t># 289378</t>
  </si>
  <si>
    <t># 289379</t>
  </si>
  <si>
    <t># 289270</t>
  </si>
  <si>
    <t># 289271</t>
  </si>
  <si>
    <t>LONGANIZA--POLLO-MAIZ</t>
  </si>
  <si>
    <t># 289487</t>
  </si>
  <si>
    <t># 289489</t>
  </si>
  <si>
    <t># 289583</t>
  </si>
  <si>
    <t># 289584</t>
  </si>
  <si>
    <t># 289602</t>
  </si>
  <si>
    <t># 289601</t>
  </si>
  <si>
    <t>#  289651</t>
  </si>
  <si>
    <t># 289652</t>
  </si>
  <si>
    <t>TOCINETA-SALCHICHA-POLLO</t>
  </si>
  <si>
    <t>PAPA-POLLO</t>
  </si>
  <si>
    <t>CHORIZO-POLLO-LONGANIZA</t>
  </si>
  <si>
    <t xml:space="preserve">                               </t>
  </si>
  <si>
    <t>#  290560</t>
  </si>
  <si>
    <t># 290561</t>
  </si>
  <si>
    <t># 290608</t>
  </si>
  <si>
    <t># 290609</t>
  </si>
  <si>
    <t>ENCHILADA-CREMA-QUESOS-POLLO-MAIZ</t>
  </si>
  <si>
    <t>#  290688</t>
  </si>
  <si>
    <t>#  290689</t>
  </si>
  <si>
    <t># 290694</t>
  </si>
  <si>
    <t># 290695</t>
  </si>
  <si>
    <t>RETAZO-CHORIZO-POLLO</t>
  </si>
  <si>
    <t># 291261</t>
  </si>
  <si>
    <t># 291265</t>
  </si>
  <si>
    <t># 291275</t>
  </si>
  <si>
    <t># 291276</t>
  </si>
  <si>
    <t>RETAZO-QUESOS-POLLO</t>
  </si>
  <si>
    <t>LONGANIZA--POLLO-MAIZ--SASONADORES</t>
  </si>
  <si>
    <t>MANTECA-POLLO</t>
  </si>
  <si>
    <t xml:space="preserve">CHORIZO-POLLO  </t>
  </si>
  <si>
    <t xml:space="preserve">LICENCIAS HERRADURA </t>
  </si>
  <si>
    <t>RETAZO-ENCHILADA-QUESOS-POLLO-MAIZ-PAPA</t>
  </si>
  <si>
    <t>RETAZO--POLLO</t>
  </si>
  <si>
    <t>LONGANIZA-QUESOS-TOSTADAS-TOTOPOS-POLLO</t>
  </si>
  <si>
    <t>NOMINA #  34</t>
  </si>
  <si>
    <t>QUESOS -CECINA-LONGANIZA-POLLO</t>
  </si>
  <si>
    <t>15197 B</t>
  </si>
  <si>
    <t>15202 B</t>
  </si>
  <si>
    <t>15480 B</t>
  </si>
  <si>
    <t>15556 B</t>
  </si>
  <si>
    <t>15674 B</t>
  </si>
  <si>
    <t>15676 B</t>
  </si>
  <si>
    <t>15711 B</t>
  </si>
  <si>
    <t>15734 B</t>
  </si>
  <si>
    <t>15902 B</t>
  </si>
  <si>
    <t>16024 B</t>
  </si>
  <si>
    <t xml:space="preserve">16176 B </t>
  </si>
  <si>
    <t>16256 B</t>
  </si>
  <si>
    <t>16264 B</t>
  </si>
  <si>
    <t>16285 B</t>
  </si>
  <si>
    <t>16362 B</t>
  </si>
  <si>
    <t>16474 B</t>
  </si>
  <si>
    <t>16578 B</t>
  </si>
  <si>
    <t>16695 B</t>
  </si>
  <si>
    <t>16725 B</t>
  </si>
  <si>
    <t>16887 B</t>
  </si>
  <si>
    <t>16997 B</t>
  </si>
  <si>
    <t>16998 B</t>
  </si>
  <si>
    <t>17036 B</t>
  </si>
  <si>
    <t>17191 B</t>
  </si>
  <si>
    <t>JAMON-CHORIZO-POLLO-SALSAS-MAIZ</t>
  </si>
  <si>
    <t>POLLO-SALSAS-</t>
  </si>
  <si>
    <t>QUESOS-POLLO-SALSAS</t>
  </si>
  <si>
    <t>NOMINA #  35</t>
  </si>
  <si>
    <t>POLLO-QUESO-TOSTADAS</t>
  </si>
  <si>
    <t>POLLO-CHICHARRON-CHORIZO</t>
  </si>
  <si>
    <t xml:space="preserve">      </t>
  </si>
  <si>
    <t>17340 B</t>
  </si>
  <si>
    <t>17601 B</t>
  </si>
  <si>
    <t>17604 B</t>
  </si>
  <si>
    <t>17681 B</t>
  </si>
  <si>
    <t>17781 B</t>
  </si>
  <si>
    <t>17889 B</t>
  </si>
  <si>
    <t>18135 B</t>
  </si>
  <si>
    <t>18334 B</t>
  </si>
  <si>
    <t>18424 B</t>
  </si>
  <si>
    <t>Julio -2021,.</t>
  </si>
  <si>
    <t>Junio.,2021</t>
  </si>
  <si>
    <t>Agosto.,2021</t>
  </si>
  <si>
    <t>total de FALTANTE</t>
  </si>
  <si>
    <t>AGOSTO.,</t>
  </si>
  <si>
    <t>SERV CAMARA</t>
  </si>
  <si>
    <t>Reinst Basculas</t>
  </si>
  <si>
    <t>ROLLOS BASCULAS</t>
  </si>
  <si>
    <t>ETIQUETADORA</t>
  </si>
  <si>
    <t>PRESTAMO 3/18</t>
  </si>
  <si>
    <t>INTERESES S/Prest 3/18</t>
  </si>
  <si>
    <t>TARJETA +  SSD</t>
  </si>
  <si>
    <t>IMPUESTOS</t>
  </si>
  <si>
    <t xml:space="preserve">DESECHABLES </t>
  </si>
  <si>
    <t>COMISION AFILIACION</t>
  </si>
  <si>
    <t>3%  IMPUESTO</t>
  </si>
  <si>
    <t>GARANTIA FIRA  4</t>
  </si>
  <si>
    <t>INERNET</t>
  </si>
  <si>
    <t>BALANCE      ABASTO 4 CARNES   SEPTIEMBRE            2 0 2 1</t>
  </si>
  <si>
    <t>18646 B</t>
  </si>
  <si>
    <t>18564 B</t>
  </si>
  <si>
    <t>18574 B</t>
  </si>
  <si>
    <t>18486 B</t>
  </si>
  <si>
    <t>18793 B</t>
  </si>
  <si>
    <t>18884 B</t>
  </si>
  <si>
    <t>19042 B</t>
  </si>
  <si>
    <t>19184 B</t>
  </si>
  <si>
    <t>19185 B</t>
  </si>
  <si>
    <t>19282 B</t>
  </si>
  <si>
    <t>19400 B</t>
  </si>
  <si>
    <t>19428 B</t>
  </si>
  <si>
    <t>19654 B</t>
  </si>
  <si>
    <t>19509 B</t>
  </si>
  <si>
    <t>19687 B</t>
  </si>
  <si>
    <t>19810 B</t>
  </si>
  <si>
    <t>19876 B</t>
  </si>
  <si>
    <t>20001 B</t>
  </si>
  <si>
    <t>20008 B</t>
  </si>
  <si>
    <t>20016 B</t>
  </si>
  <si>
    <t>20173 B</t>
  </si>
  <si>
    <t>20332 B</t>
  </si>
  <si>
    <t>20437 B</t>
  </si>
  <si>
    <t>20454 B</t>
  </si>
  <si>
    <t>20689 B</t>
  </si>
  <si>
    <t>20692 B</t>
  </si>
  <si>
    <t>20721 B</t>
  </si>
  <si>
    <t>20913 B</t>
  </si>
  <si>
    <t>20986 B</t>
  </si>
  <si>
    <t>21037 B</t>
  </si>
  <si>
    <t>QUESOS-POLLO-MAIZ-PAPA</t>
  </si>
  <si>
    <t xml:space="preserve">DIFERENCIA </t>
  </si>
  <si>
    <t>RES-POLLO-CHORIZO</t>
  </si>
  <si>
    <t>LONGANIZA-QUESOS-TOSTADAS-SALSAS-CONDIMENTOS</t>
  </si>
  <si>
    <t>ELIAS /  PEPE</t>
  </si>
  <si>
    <t>POLLO-MAIZ-,MANTECA</t>
  </si>
  <si>
    <t>NOMINA #  36</t>
  </si>
  <si>
    <t>TOCINETA-CHISCHORRA-CECINA-POLLO</t>
  </si>
  <si>
    <t xml:space="preserve">POLLO  </t>
  </si>
  <si>
    <t>DESTAPAR DRENAJE</t>
  </si>
  <si>
    <t>CHORIZO--LONGANIZA--MANTECA--POLLO</t>
  </si>
  <si>
    <t xml:space="preserve">ELIAS  </t>
  </si>
  <si>
    <t>POLLO-CHORIZO-MOLE--TOSTADAS-MAIZ</t>
  </si>
  <si>
    <t>RETAZO-POLLO</t>
  </si>
  <si>
    <t>ELIAS</t>
  </si>
  <si>
    <t>QUESOS--POLLO--TOSTADAS</t>
  </si>
  <si>
    <t>LONGANIZA-POLLO-CHORIZO-MAIZ</t>
  </si>
  <si>
    <t>NOMINA #  37</t>
  </si>
  <si>
    <t xml:space="preserve">#  </t>
  </si>
  <si>
    <t>TOCINETA-CHISTORRA-QUESO-MANTECA-POLLO</t>
  </si>
  <si>
    <t xml:space="preserve">             </t>
  </si>
  <si>
    <t>CECINA---CHORIZO</t>
  </si>
  <si>
    <t xml:space="preserve">       </t>
  </si>
  <si>
    <t>LONGANIZAS--POLLO-MANTECA--MAIZ--TOSTADAS</t>
  </si>
  <si>
    <t>QUESOS-CECINA-POLLO-MAIZ</t>
  </si>
  <si>
    <t>ELIS</t>
  </si>
  <si>
    <t>#  302667</t>
  </si>
  <si>
    <t># 302668</t>
  </si>
  <si>
    <t>#  302638</t>
  </si>
  <si>
    <t># 302641</t>
  </si>
  <si>
    <t>NOMINA # 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</si>
</sst>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7" formatCode="&quot;$&quot;#,##0.00;\-&quot;$&quot;#,##0.00"/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5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8"/>
      <color rgb="FF0000FF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0"/>
      <color rgb="FF990099"/>
      <name val="Calibri"/>
      <family val="2"/>
      <scheme val="minor"/>
    </font>
    <font>
      <b/>
      <sz val="11"/>
      <color rgb="FF990099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8"/>
      <color rgb="FF990099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990099"/>
      <name val="Calibri"/>
      <family val="2"/>
      <scheme val="minor"/>
    </font>
    <font>
      <b/>
      <sz val="14"/>
      <color rgb="FF990099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rgb="FF00B0F0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6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sz val="11"/>
      <color rgb="FF0000FF"/>
      <name val="Calibri Light"/>
      <family val="1"/>
      <scheme val="major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Calibri"/>
      <family val="2"/>
    </font>
    <font>
      <sz val="8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9"/>
      <color rgb="FF990099"/>
      <name val="Calibri"/>
      <family val="2"/>
      <scheme val="minor"/>
    </font>
    <font>
      <b/>
      <sz val="10"/>
      <color rgb="FF990033"/>
      <name val="Calibri"/>
      <family val="2"/>
      <scheme val="minor"/>
    </font>
    <font>
      <sz val="10"/>
      <color rgb="FF0000FF"/>
      <name val="Calibri"/>
      <family val="2"/>
      <scheme val="minor"/>
    </font>
    <font>
      <b/>
      <sz val="10"/>
      <color rgb="FF9966FF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sz val="11"/>
      <color rgb="FFFF00FF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3"/>
      <color rgb="FF990033"/>
      <name val="Calibri"/>
      <family val="2"/>
      <scheme val="minor"/>
    </font>
    <font>
      <b/>
      <sz val="12"/>
      <color rgb="FF990033"/>
      <name val="Calibri"/>
      <family val="2"/>
      <scheme val="minor"/>
    </font>
    <font>
      <b/>
      <sz val="13"/>
      <color theme="5" tint="-0.499984740745262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3300"/>
        <bgColor indexed="64"/>
      </patternFill>
    </fill>
  </fills>
  <borders count="102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/>
      <right style="mediumDashed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Dashed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auto="1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medium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/>
      <diagonal/>
    </border>
    <border>
      <left style="thick">
        <color indexed="64"/>
      </left>
      <right style="mediumDashed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mediumDashed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double">
        <color indexed="64"/>
      </left>
      <right style="thick">
        <color indexed="64"/>
      </right>
      <top style="thin">
        <color indexed="64"/>
      </top>
      <bottom/>
      <diagonal/>
    </border>
    <border>
      <left style="double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/>
      <right style="mediumDashed">
        <color indexed="64"/>
      </right>
      <top style="thin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mediumDashed">
        <color indexed="64"/>
      </right>
      <top/>
      <bottom style="thin">
        <color indexed="64"/>
      </bottom>
      <diagonal/>
    </border>
    <border>
      <left style="double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ck">
        <color indexed="64"/>
      </right>
      <top/>
      <bottom style="double">
        <color indexed="64"/>
      </bottom>
      <diagonal/>
    </border>
    <border>
      <left style="thick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double">
        <color auto="1"/>
      </right>
      <top style="thick">
        <color indexed="64"/>
      </top>
      <bottom/>
      <diagonal/>
    </border>
    <border>
      <left style="double">
        <color auto="1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double">
        <color indexed="64"/>
      </right>
      <top/>
      <bottom style="thick">
        <color indexed="64"/>
      </bottom>
      <diagonal/>
    </border>
    <border>
      <left style="double">
        <color auto="1"/>
      </left>
      <right style="thick">
        <color indexed="64"/>
      </right>
      <top/>
      <bottom style="thick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79">
    <xf numFmtId="0" fontId="0" fillId="0" borderId="0" xfId="0"/>
    <xf numFmtId="164" fontId="0" fillId="0" borderId="0" xfId="0" applyNumberFormat="1" applyAlignment="1">
      <alignment horizontal="center"/>
    </xf>
    <xf numFmtId="44" fontId="4" fillId="0" borderId="0" xfId="1" applyFont="1"/>
    <xf numFmtId="44" fontId="1" fillId="0" borderId="0" xfId="1" applyFill="1"/>
    <xf numFmtId="44" fontId="2" fillId="0" borderId="0" xfId="1" applyFont="1"/>
    <xf numFmtId="44" fontId="5" fillId="0" borderId="0" xfId="1" applyFont="1" applyAlignment="1">
      <alignment horizontal="center"/>
    </xf>
    <xf numFmtId="44" fontId="2" fillId="0" borderId="0" xfId="1" applyFont="1" applyFill="1"/>
    <xf numFmtId="44" fontId="2" fillId="0" borderId="0" xfId="1" applyFont="1" applyFill="1" applyBorder="1"/>
    <xf numFmtId="44" fontId="0" fillId="0" borderId="0" xfId="1" applyFont="1"/>
    <xf numFmtId="44" fontId="1" fillId="0" borderId="0" xfId="1"/>
    <xf numFmtId="0" fontId="7" fillId="0" borderId="0" xfId="0" applyFont="1"/>
    <xf numFmtId="165" fontId="1" fillId="0" borderId="0" xfId="1" applyNumberFormat="1" applyFill="1"/>
    <xf numFmtId="44" fontId="0" fillId="0" borderId="0" xfId="1" applyFont="1" applyFill="1"/>
    <xf numFmtId="44" fontId="5" fillId="0" borderId="0" xfId="1" applyFont="1" applyFill="1" applyAlignment="1">
      <alignment horizontal="center"/>
    </xf>
    <xf numFmtId="0" fontId="9" fillId="0" borderId="0" xfId="0" applyFont="1" applyAlignment="1">
      <alignment horizontal="center"/>
    </xf>
    <xf numFmtId="0" fontId="10" fillId="0" borderId="2" xfId="0" applyFont="1" applyBorder="1" applyAlignment="1">
      <alignment vertical="center" wrapText="1"/>
    </xf>
    <xf numFmtId="165" fontId="1" fillId="0" borderId="0" xfId="1" applyNumberFormat="1"/>
    <xf numFmtId="44" fontId="7" fillId="3" borderId="0" xfId="1" applyFont="1" applyFill="1"/>
    <xf numFmtId="0" fontId="7" fillId="3" borderId="0" xfId="0" applyFont="1" applyFill="1"/>
    <xf numFmtId="165" fontId="2" fillId="0" borderId="5" xfId="0" applyNumberFormat="1" applyFont="1" applyBorder="1"/>
    <xf numFmtId="0" fontId="12" fillId="0" borderId="7" xfId="0" applyFont="1" applyBorder="1"/>
    <xf numFmtId="164" fontId="13" fillId="0" borderId="8" xfId="0" applyNumberFormat="1" applyFont="1" applyBorder="1" applyAlignment="1">
      <alignment horizontal="center"/>
    </xf>
    <xf numFmtId="44" fontId="14" fillId="0" borderId="9" xfId="1" applyFont="1" applyBorder="1"/>
    <xf numFmtId="165" fontId="7" fillId="4" borderId="10" xfId="0" applyNumberFormat="1" applyFont="1" applyFill="1" applyBorder="1" applyAlignment="1">
      <alignment horizontal="left"/>
    </xf>
    <xf numFmtId="165" fontId="15" fillId="0" borderId="9" xfId="0" applyNumberFormat="1" applyFont="1" applyBorder="1"/>
    <xf numFmtId="0" fontId="15" fillId="0" borderId="9" xfId="0" applyFont="1" applyBorder="1"/>
    <xf numFmtId="44" fontId="15" fillId="0" borderId="9" xfId="1" applyFont="1" applyBorder="1"/>
    <xf numFmtId="44" fontId="16" fillId="5" borderId="0" xfId="1" applyFont="1" applyFill="1" applyAlignment="1">
      <alignment horizontal="center"/>
    </xf>
    <xf numFmtId="44" fontId="16" fillId="5" borderId="15" xfId="1" applyFont="1" applyFill="1" applyBorder="1" applyAlignment="1">
      <alignment horizontal="center"/>
    </xf>
    <xf numFmtId="44" fontId="5" fillId="0" borderId="0" xfId="1" applyFont="1" applyFill="1" applyBorder="1" applyAlignment="1">
      <alignment horizontal="center"/>
    </xf>
    <xf numFmtId="44" fontId="2" fillId="0" borderId="0" xfId="1" applyFont="1" applyFill="1" applyBorder="1" applyAlignment="1">
      <alignment horizontal="center"/>
    </xf>
    <xf numFmtId="44" fontId="2" fillId="0" borderId="0" xfId="1" applyFont="1" applyFill="1" applyAlignment="1">
      <alignment horizontal="center"/>
    </xf>
    <xf numFmtId="165" fontId="2" fillId="0" borderId="0" xfId="0" applyNumberFormat="1" applyFont="1"/>
    <xf numFmtId="0" fontId="2" fillId="0" borderId="5" xfId="0" applyFont="1" applyBorder="1"/>
    <xf numFmtId="16" fontId="0" fillId="0" borderId="0" xfId="0" applyNumberFormat="1"/>
    <xf numFmtId="164" fontId="2" fillId="0" borderId="17" xfId="0" applyNumberFormat="1" applyFont="1" applyBorder="1" applyAlignment="1">
      <alignment horizontal="center"/>
    </xf>
    <xf numFmtId="44" fontId="2" fillId="0" borderId="18" xfId="1" applyFont="1" applyFill="1" applyBorder="1"/>
    <xf numFmtId="44" fontId="2" fillId="0" borderId="20" xfId="1" applyFont="1" applyFill="1" applyBorder="1"/>
    <xf numFmtId="44" fontId="2" fillId="0" borderId="21" xfId="1" applyFont="1" applyFill="1" applyBorder="1"/>
    <xf numFmtId="165" fontId="0" fillId="0" borderId="0" xfId="1" applyNumberFormat="1" applyFont="1" applyFill="1"/>
    <xf numFmtId="0" fontId="2" fillId="6" borderId="0" xfId="0" applyFont="1" applyFill="1" applyAlignment="1">
      <alignment horizontal="center"/>
    </xf>
    <xf numFmtId="44" fontId="2" fillId="0" borderId="22" xfId="1" applyFont="1" applyFill="1" applyBorder="1"/>
    <xf numFmtId="44" fontId="2" fillId="0" borderId="23" xfId="1" applyFont="1" applyFill="1" applyBorder="1"/>
    <xf numFmtId="44" fontId="2" fillId="0" borderId="24" xfId="1" applyFont="1" applyFill="1" applyBorder="1"/>
    <xf numFmtId="165" fontId="17" fillId="0" borderId="0" xfId="1" applyNumberFormat="1" applyFont="1" applyFill="1" applyAlignment="1">
      <alignment horizontal="center"/>
    </xf>
    <xf numFmtId="0" fontId="7" fillId="0" borderId="5" xfId="0" applyFont="1" applyBorder="1" applyAlignment="1">
      <alignment horizontal="center"/>
    </xf>
    <xf numFmtId="44" fontId="2" fillId="0" borderId="16" xfId="1" applyFont="1" applyFill="1" applyBorder="1"/>
    <xf numFmtId="44" fontId="20" fillId="0" borderId="0" xfId="1" applyFont="1" applyFill="1" applyBorder="1" applyAlignment="1">
      <alignment horizontal="center"/>
    </xf>
    <xf numFmtId="44" fontId="21" fillId="0" borderId="0" xfId="1" applyFont="1" applyFill="1" applyBorder="1" applyAlignment="1">
      <alignment horizontal="right"/>
    </xf>
    <xf numFmtId="44" fontId="2" fillId="0" borderId="25" xfId="1" applyFont="1" applyFill="1" applyBorder="1"/>
    <xf numFmtId="44" fontId="2" fillId="0" borderId="0" xfId="1" applyFont="1" applyFill="1" applyBorder="1" applyAlignment="1">
      <alignment horizontal="right"/>
    </xf>
    <xf numFmtId="165" fontId="22" fillId="0" borderId="0" xfId="1" applyNumberFormat="1" applyFont="1" applyFill="1"/>
    <xf numFmtId="165" fontId="2" fillId="0" borderId="0" xfId="1" applyNumberFormat="1" applyFont="1" applyFill="1" applyAlignment="1">
      <alignment horizontal="center"/>
    </xf>
    <xf numFmtId="44" fontId="2" fillId="0" borderId="16" xfId="1" applyFont="1" applyFill="1" applyBorder="1" applyAlignment="1">
      <alignment horizontal="right"/>
    </xf>
    <xf numFmtId="44" fontId="21" fillId="0" borderId="0" xfId="1" applyFont="1" applyFill="1" applyBorder="1" applyAlignment="1">
      <alignment horizontal="center"/>
    </xf>
    <xf numFmtId="165" fontId="22" fillId="0" borderId="0" xfId="1" applyNumberFormat="1" applyFont="1" applyFill="1" applyAlignment="1">
      <alignment horizontal="center"/>
    </xf>
    <xf numFmtId="44" fontId="23" fillId="0" borderId="0" xfId="1" applyFont="1" applyFill="1" applyBorder="1" applyAlignment="1">
      <alignment horizontal="center"/>
    </xf>
    <xf numFmtId="0" fontId="17" fillId="0" borderId="0" xfId="0" applyFont="1"/>
    <xf numFmtId="44" fontId="21" fillId="0" borderId="0" xfId="1" applyFont="1" applyFill="1" applyBorder="1" applyAlignment="1">
      <alignment horizontal="left"/>
    </xf>
    <xf numFmtId="44" fontId="2" fillId="0" borderId="27" xfId="1" applyFont="1" applyFill="1" applyBorder="1"/>
    <xf numFmtId="0" fontId="2" fillId="0" borderId="0" xfId="0" applyFont="1"/>
    <xf numFmtId="44" fontId="2" fillId="0" borderId="27" xfId="1" applyFont="1" applyFill="1" applyBorder="1" applyAlignment="1">
      <alignment horizontal="right"/>
    </xf>
    <xf numFmtId="165" fontId="17" fillId="0" borderId="28" xfId="1" applyNumberFormat="1" applyFont="1" applyFill="1" applyBorder="1" applyAlignment="1">
      <alignment horizontal="center"/>
    </xf>
    <xf numFmtId="44" fontId="17" fillId="0" borderId="16" xfId="1" applyFont="1" applyFill="1" applyBorder="1" applyAlignment="1">
      <alignment horizontal="right"/>
    </xf>
    <xf numFmtId="44" fontId="17" fillId="0" borderId="29" xfId="1" applyFont="1" applyFill="1" applyBorder="1" applyAlignment="1">
      <alignment horizontal="right"/>
    </xf>
    <xf numFmtId="165" fontId="22" fillId="0" borderId="28" xfId="1" applyNumberFormat="1" applyFont="1" applyFill="1" applyBorder="1" applyAlignment="1">
      <alignment horizontal="left"/>
    </xf>
    <xf numFmtId="44" fontId="17" fillId="0" borderId="5" xfId="1" applyFont="1" applyFill="1" applyBorder="1" applyAlignment="1">
      <alignment horizontal="right"/>
    </xf>
    <xf numFmtId="165" fontId="22" fillId="0" borderId="5" xfId="1" applyNumberFormat="1" applyFont="1" applyFill="1" applyBorder="1" applyAlignment="1">
      <alignment horizontal="left"/>
    </xf>
    <xf numFmtId="44" fontId="2" fillId="0" borderId="5" xfId="1" applyFont="1" applyFill="1" applyBorder="1" applyAlignment="1">
      <alignment horizontal="left" vertical="top"/>
    </xf>
    <xf numFmtId="44" fontId="2" fillId="0" borderId="31" xfId="1" applyFont="1" applyFill="1" applyBorder="1"/>
    <xf numFmtId="44" fontId="2" fillId="0" borderId="32" xfId="1" applyFont="1" applyFill="1" applyBorder="1"/>
    <xf numFmtId="44" fontId="2" fillId="0" borderId="5" xfId="1" applyFont="1" applyFill="1" applyBorder="1"/>
    <xf numFmtId="44" fontId="2" fillId="0" borderId="5" xfId="1" applyFont="1" applyBorder="1"/>
    <xf numFmtId="15" fontId="2" fillId="0" borderId="28" xfId="0" applyNumberFormat="1" applyFont="1" applyBorder="1"/>
    <xf numFmtId="44" fontId="2" fillId="0" borderId="36" xfId="1" applyFont="1" applyFill="1" applyBorder="1"/>
    <xf numFmtId="44" fontId="2" fillId="0" borderId="5" xfId="1" applyFont="1" applyFill="1" applyBorder="1" applyAlignment="1">
      <alignment horizontal="right"/>
    </xf>
    <xf numFmtId="0" fontId="2" fillId="0" borderId="5" xfId="0" applyFont="1" applyBorder="1" applyAlignment="1">
      <alignment horizontal="left"/>
    </xf>
    <xf numFmtId="44" fontId="2" fillId="0" borderId="37" xfId="1" applyFont="1" applyFill="1" applyBorder="1"/>
    <xf numFmtId="15" fontId="2" fillId="0" borderId="38" xfId="0" applyNumberFormat="1" applyFont="1" applyBorder="1"/>
    <xf numFmtId="44" fontId="2" fillId="0" borderId="39" xfId="1" applyFont="1" applyFill="1" applyBorder="1"/>
    <xf numFmtId="44" fontId="2" fillId="0" borderId="2" xfId="1" applyFont="1" applyFill="1" applyBorder="1"/>
    <xf numFmtId="0" fontId="2" fillId="0" borderId="0" xfId="0" applyFont="1" applyAlignment="1">
      <alignment horizontal="left"/>
    </xf>
    <xf numFmtId="166" fontId="17" fillId="0" borderId="0" xfId="0" applyNumberFormat="1" applyFont="1" applyAlignment="1">
      <alignment horizontal="left"/>
    </xf>
    <xf numFmtId="0" fontId="5" fillId="0" borderId="0" xfId="0" applyFont="1" applyAlignment="1">
      <alignment horizontal="left"/>
    </xf>
    <xf numFmtId="44" fontId="2" fillId="0" borderId="3" xfId="1" applyFont="1" applyFill="1" applyBorder="1"/>
    <xf numFmtId="164" fontId="17" fillId="0" borderId="40" xfId="0" applyNumberFormat="1" applyFont="1" applyBorder="1" applyAlignment="1">
      <alignment horizontal="center"/>
    </xf>
    <xf numFmtId="44" fontId="14" fillId="0" borderId="41" xfId="1" applyFont="1" applyBorder="1"/>
    <xf numFmtId="0" fontId="0" fillId="0" borderId="42" xfId="0" applyBorder="1"/>
    <xf numFmtId="0" fontId="21" fillId="0" borderId="42" xfId="0" applyFont="1" applyBorder="1" applyAlignment="1">
      <alignment horizontal="center"/>
    </xf>
    <xf numFmtId="44" fontId="25" fillId="0" borderId="42" xfId="1" applyFont="1" applyBorder="1"/>
    <xf numFmtId="0" fontId="2" fillId="0" borderId="42" xfId="0" applyFont="1" applyBorder="1" applyAlignment="1">
      <alignment horizontal="center"/>
    </xf>
    <xf numFmtId="44" fontId="2" fillId="0" borderId="43" xfId="1" applyFont="1" applyBorder="1"/>
    <xf numFmtId="165" fontId="2" fillId="0" borderId="0" xfId="1" applyNumberFormat="1" applyFont="1" applyBorder="1"/>
    <xf numFmtId="166" fontId="2" fillId="0" borderId="44" xfId="0" applyNumberFormat="1" applyFont="1" applyBorder="1" applyAlignment="1">
      <alignment horizontal="center"/>
    </xf>
    <xf numFmtId="44" fontId="2" fillId="0" borderId="45" xfId="1" applyFont="1" applyBorder="1"/>
    <xf numFmtId="44" fontId="7" fillId="0" borderId="0" xfId="1" applyFont="1"/>
    <xf numFmtId="44" fontId="20" fillId="0" borderId="0" xfId="1" applyFont="1" applyFill="1" applyAlignment="1">
      <alignment horizontal="center"/>
    </xf>
    <xf numFmtId="44" fontId="21" fillId="0" borderId="0" xfId="1" applyFont="1" applyFill="1" applyAlignment="1">
      <alignment horizontal="right"/>
    </xf>
    <xf numFmtId="167" fontId="26" fillId="0" borderId="0" xfId="1" applyNumberFormat="1" applyFont="1" applyFill="1" applyBorder="1" applyAlignment="1">
      <alignment horizontal="right" vertical="center" wrapText="1"/>
    </xf>
    <xf numFmtId="44" fontId="7" fillId="0" borderId="0" xfId="1" applyFont="1" applyFill="1" applyBorder="1" applyAlignment="1">
      <alignment horizontal="center"/>
    </xf>
    <xf numFmtId="164" fontId="24" fillId="0" borderId="0" xfId="0" applyNumberFormat="1" applyFont="1" applyAlignment="1">
      <alignment horizontal="center"/>
    </xf>
    <xf numFmtId="165" fontId="14" fillId="0" borderId="46" xfId="0" applyNumberFormat="1" applyFont="1" applyBorder="1" applyAlignment="1">
      <alignment horizontal="center" vertical="center" wrapText="1"/>
    </xf>
    <xf numFmtId="167" fontId="20" fillId="0" borderId="0" xfId="1" applyNumberFormat="1" applyFont="1" applyFill="1" applyBorder="1" applyAlignment="1">
      <alignment horizontal="center" vertical="center" wrapText="1"/>
    </xf>
    <xf numFmtId="44" fontId="7" fillId="0" borderId="5" xfId="1" applyFont="1" applyBorder="1"/>
    <xf numFmtId="44" fontId="14" fillId="0" borderId="0" xfId="1" applyFont="1" applyAlignment="1">
      <alignment horizontal="center" vertical="center" wrapText="1"/>
    </xf>
    <xf numFmtId="165" fontId="14" fillId="0" borderId="0" xfId="1" applyNumberFormat="1" applyFont="1" applyAlignment="1">
      <alignment horizontal="center" vertical="center" wrapText="1"/>
    </xf>
    <xf numFmtId="44" fontId="2" fillId="0" borderId="0" xfId="0" applyNumberFormat="1" applyFont="1"/>
    <xf numFmtId="167" fontId="2" fillId="0" borderId="0" xfId="1" applyNumberFormat="1" applyFont="1" applyFill="1" applyBorder="1" applyAlignment="1">
      <alignment horizontal="right"/>
    </xf>
    <xf numFmtId="0" fontId="27" fillId="0" borderId="3" xfId="0" applyFont="1" applyBorder="1"/>
    <xf numFmtId="44" fontId="7" fillId="0" borderId="3" xfId="1" applyFont="1" applyBorder="1"/>
    <xf numFmtId="0" fontId="7" fillId="0" borderId="0" xfId="0" applyFont="1" applyAlignment="1">
      <alignment vertical="center"/>
    </xf>
    <xf numFmtId="165" fontId="7" fillId="0" borderId="0" xfId="0" applyNumberFormat="1" applyFont="1" applyAlignment="1">
      <alignment vertical="center"/>
    </xf>
    <xf numFmtId="166" fontId="15" fillId="0" borderId="0" xfId="0" applyNumberFormat="1" applyFont="1"/>
    <xf numFmtId="44" fontId="15" fillId="0" borderId="0" xfId="1" applyFont="1"/>
    <xf numFmtId="0" fontId="2" fillId="0" borderId="16" xfId="0" applyFont="1" applyBorder="1" applyAlignment="1">
      <alignment horizontal="left"/>
    </xf>
    <xf numFmtId="165" fontId="7" fillId="0" borderId="36" xfId="0" applyNumberFormat="1" applyFont="1" applyBorder="1" applyAlignment="1">
      <alignment vertical="center"/>
    </xf>
    <xf numFmtId="164" fontId="28" fillId="0" borderId="0" xfId="1" applyNumberFormat="1" applyFont="1" applyAlignment="1">
      <alignment horizontal="left"/>
    </xf>
    <xf numFmtId="0" fontId="2" fillId="0" borderId="0" xfId="0" applyFont="1" applyAlignment="1">
      <alignment horizontal="right"/>
    </xf>
    <xf numFmtId="44" fontId="7" fillId="0" borderId="5" xfId="1" applyFont="1" applyFill="1" applyBorder="1"/>
    <xf numFmtId="168" fontId="29" fillId="0" borderId="16" xfId="1" applyNumberFormat="1" applyFont="1" applyBorder="1"/>
    <xf numFmtId="44" fontId="30" fillId="0" borderId="2" xfId="1" applyFont="1" applyBorder="1"/>
    <xf numFmtId="166" fontId="2" fillId="0" borderId="0" xfId="1" applyNumberFormat="1" applyFont="1" applyFill="1" applyBorder="1" applyAlignment="1">
      <alignment horizontal="right"/>
    </xf>
    <xf numFmtId="44" fontId="31" fillId="0" borderId="0" xfId="1" applyFont="1"/>
    <xf numFmtId="0" fontId="31" fillId="0" borderId="0" xfId="0" applyFont="1" applyAlignment="1">
      <alignment horizontal="center"/>
    </xf>
    <xf numFmtId="44" fontId="32" fillId="0" borderId="0" xfId="1" applyFont="1"/>
    <xf numFmtId="165" fontId="2" fillId="0" borderId="0" xfId="0" applyNumberFormat="1" applyFont="1" applyAlignment="1">
      <alignment horizontal="center"/>
    </xf>
    <xf numFmtId="44" fontId="6" fillId="0" borderId="0" xfId="1" applyFont="1"/>
    <xf numFmtId="164" fontId="2" fillId="0" borderId="0" xfId="0" applyNumberFormat="1" applyFont="1" applyAlignment="1">
      <alignment horizontal="left"/>
    </xf>
    <xf numFmtId="0" fontId="14" fillId="0" borderId="0" xfId="0" applyFont="1"/>
    <xf numFmtId="0" fontId="5" fillId="0" borderId="0" xfId="0" applyFont="1"/>
    <xf numFmtId="166" fontId="14" fillId="0" borderId="0" xfId="0" applyNumberFormat="1" applyFont="1" applyAlignment="1">
      <alignment horizontal="left"/>
    </xf>
    <xf numFmtId="0" fontId="5" fillId="0" borderId="0" xfId="0" applyFont="1" applyAlignment="1">
      <alignment horizontal="center"/>
    </xf>
    <xf numFmtId="44" fontId="1" fillId="0" borderId="0" xfId="1" applyBorder="1"/>
    <xf numFmtId="44" fontId="0" fillId="0" borderId="0" xfId="1" applyFont="1" applyBorder="1"/>
    <xf numFmtId="164" fontId="2" fillId="0" borderId="17" xfId="0" applyNumberFormat="1" applyFont="1" applyFill="1" applyBorder="1" applyAlignment="1">
      <alignment horizontal="center"/>
    </xf>
    <xf numFmtId="166" fontId="18" fillId="0" borderId="10" xfId="0" applyNumberFormat="1" applyFont="1" applyFill="1" applyBorder="1" applyAlignment="1">
      <alignment horizontal="left"/>
    </xf>
    <xf numFmtId="15" fontId="2" fillId="0" borderId="19" xfId="0" applyNumberFormat="1" applyFont="1" applyFill="1" applyBorder="1"/>
    <xf numFmtId="0" fontId="0" fillId="0" borderId="0" xfId="0" applyFill="1"/>
    <xf numFmtId="15" fontId="2" fillId="0" borderId="5" xfId="0" applyNumberFormat="1" applyFont="1" applyFill="1" applyBorder="1"/>
    <xf numFmtId="166" fontId="19" fillId="0" borderId="10" xfId="0" applyNumberFormat="1" applyFont="1" applyFill="1" applyBorder="1"/>
    <xf numFmtId="166" fontId="22" fillId="0" borderId="10" xfId="0" applyNumberFormat="1" applyFont="1" applyFill="1" applyBorder="1"/>
    <xf numFmtId="166" fontId="18" fillId="0" borderId="10" xfId="0" applyNumberFormat="1" applyFont="1" applyFill="1" applyBorder="1"/>
    <xf numFmtId="166" fontId="17" fillId="0" borderId="10" xfId="0" applyNumberFormat="1" applyFont="1" applyFill="1" applyBorder="1"/>
    <xf numFmtId="166" fontId="18" fillId="0" borderId="30" xfId="0" applyNumberFormat="1" applyFont="1" applyFill="1" applyBorder="1"/>
    <xf numFmtId="0" fontId="17" fillId="0" borderId="5" xfId="0" applyFont="1" applyFill="1" applyBorder="1" applyAlignment="1">
      <alignment horizontal="left"/>
    </xf>
    <xf numFmtId="15" fontId="2" fillId="0" borderId="28" xfId="0" applyNumberFormat="1" applyFont="1" applyFill="1" applyBorder="1"/>
    <xf numFmtId="165" fontId="2" fillId="0" borderId="5" xfId="0" applyNumberFormat="1" applyFont="1" applyFill="1" applyBorder="1" applyAlignment="1">
      <alignment horizontal="left"/>
    </xf>
    <xf numFmtId="166" fontId="14" fillId="0" borderId="33" xfId="0" applyNumberFormat="1" applyFont="1" applyFill="1" applyBorder="1"/>
    <xf numFmtId="166" fontId="14" fillId="0" borderId="34" xfId="0" applyNumberFormat="1" applyFont="1" applyFill="1" applyBorder="1"/>
    <xf numFmtId="15" fontId="2" fillId="0" borderId="35" xfId="0" applyNumberFormat="1" applyFont="1" applyFill="1" applyBorder="1"/>
    <xf numFmtId="164" fontId="2" fillId="0" borderId="35" xfId="0" applyNumberFormat="1" applyFont="1" applyFill="1" applyBorder="1" applyAlignment="1">
      <alignment horizontal="left"/>
    </xf>
    <xf numFmtId="0" fontId="7" fillId="0" borderId="5" xfId="0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6" fillId="0" borderId="5" xfId="0" applyFont="1" applyFill="1" applyBorder="1" applyAlignment="1">
      <alignment horizontal="center"/>
    </xf>
    <xf numFmtId="15" fontId="2" fillId="0" borderId="38" xfId="0" applyNumberFormat="1" applyFont="1" applyFill="1" applyBorder="1"/>
    <xf numFmtId="166" fontId="17" fillId="0" borderId="0" xfId="0" applyNumberFormat="1" applyFont="1" applyFill="1" applyAlignment="1">
      <alignment horizontal="left"/>
    </xf>
    <xf numFmtId="165" fontId="17" fillId="0" borderId="7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5" xfId="0" applyFont="1" applyFill="1" applyBorder="1"/>
    <xf numFmtId="16" fontId="2" fillId="0" borderId="5" xfId="0" applyNumberFormat="1" applyFont="1" applyFill="1" applyBorder="1"/>
    <xf numFmtId="165" fontId="5" fillId="0" borderId="4" xfId="0" applyNumberFormat="1" applyFont="1" applyFill="1" applyBorder="1" applyAlignment="1">
      <alignment horizontal="left"/>
    </xf>
    <xf numFmtId="16" fontId="5" fillId="0" borderId="5" xfId="0" applyNumberFormat="1" applyFont="1" applyFill="1" applyBorder="1"/>
    <xf numFmtId="16" fontId="2" fillId="0" borderId="4" xfId="0" applyNumberFormat="1" applyFont="1" applyFill="1" applyBorder="1"/>
    <xf numFmtId="0" fontId="24" fillId="0" borderId="26" xfId="0" applyFont="1" applyFill="1" applyBorder="1" applyAlignment="1">
      <alignment horizontal="center" wrapText="1"/>
    </xf>
    <xf numFmtId="165" fontId="2" fillId="0" borderId="4" xfId="0" applyNumberFormat="1" applyFont="1" applyFill="1" applyBorder="1" applyAlignment="1">
      <alignment horizontal="left"/>
    </xf>
    <xf numFmtId="0" fontId="2" fillId="0" borderId="0" xfId="0" applyFont="1" applyFill="1"/>
    <xf numFmtId="0" fontId="24" fillId="0" borderId="4" xfId="0" applyFont="1" applyFill="1" applyBorder="1" applyAlignment="1">
      <alignment horizontal="left"/>
    </xf>
    <xf numFmtId="0" fontId="22" fillId="0" borderId="4" xfId="0" applyFont="1" applyFill="1" applyBorder="1" applyAlignment="1">
      <alignment horizontal="left"/>
    </xf>
    <xf numFmtId="0" fontId="22" fillId="0" borderId="5" xfId="0" applyFont="1" applyFill="1" applyBorder="1" applyAlignment="1">
      <alignment horizontal="left"/>
    </xf>
    <xf numFmtId="16" fontId="2" fillId="0" borderId="26" xfId="0" applyNumberFormat="1" applyFont="1" applyFill="1" applyBorder="1" applyAlignment="1">
      <alignment horizontal="left"/>
    </xf>
    <xf numFmtId="0" fontId="5" fillId="0" borderId="5" xfId="0" applyFont="1" applyFill="1" applyBorder="1"/>
    <xf numFmtId="0" fontId="2" fillId="0" borderId="5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left"/>
    </xf>
    <xf numFmtId="44" fontId="2" fillId="0" borderId="0" xfId="0" applyNumberFormat="1" applyFont="1" applyFill="1"/>
    <xf numFmtId="44" fontId="6" fillId="0" borderId="0" xfId="1" applyFont="1" applyFill="1" applyBorder="1" applyAlignment="1">
      <alignment vertical="center" wrapText="1"/>
    </xf>
    <xf numFmtId="0" fontId="35" fillId="8" borderId="0" xfId="0" applyFont="1" applyFill="1"/>
    <xf numFmtId="44" fontId="1" fillId="8" borderId="0" xfId="1" applyFill="1"/>
    <xf numFmtId="0" fontId="0" fillId="8" borderId="0" xfId="0" applyFill="1"/>
    <xf numFmtId="164" fontId="2" fillId="8" borderId="0" xfId="0" applyNumberFormat="1" applyFont="1" applyFill="1" applyAlignment="1">
      <alignment horizontal="center"/>
    </xf>
    <xf numFmtId="0" fontId="7" fillId="0" borderId="2" xfId="0" applyFont="1" applyBorder="1" applyAlignment="1">
      <alignment horizontal="center"/>
    </xf>
    <xf numFmtId="44" fontId="7" fillId="0" borderId="2" xfId="1" applyFont="1" applyBorder="1" applyAlignment="1">
      <alignment horizontal="center"/>
    </xf>
    <xf numFmtId="164" fontId="2" fillId="0" borderId="0" xfId="0" applyNumberFormat="1" applyFont="1" applyAlignment="1">
      <alignment horizontal="center"/>
    </xf>
    <xf numFmtId="44" fontId="38" fillId="0" borderId="50" xfId="1" applyFont="1" applyBorder="1"/>
    <xf numFmtId="44" fontId="39" fillId="0" borderId="50" xfId="1" applyFont="1" applyFill="1" applyBorder="1"/>
    <xf numFmtId="0" fontId="15" fillId="0" borderId="0" xfId="0" applyFont="1"/>
    <xf numFmtId="44" fontId="40" fillId="0" borderId="50" xfId="1" applyFont="1" applyFill="1" applyBorder="1"/>
    <xf numFmtId="164" fontId="36" fillId="0" borderId="51" xfId="0" applyNumberFormat="1" applyFont="1" applyBorder="1" applyAlignment="1">
      <alignment horizontal="center"/>
    </xf>
    <xf numFmtId="1" fontId="37" fillId="0" borderId="51" xfId="0" applyNumberFormat="1" applyFont="1" applyBorder="1" applyAlignment="1">
      <alignment horizontal="center"/>
    </xf>
    <xf numFmtId="164" fontId="36" fillId="0" borderId="52" xfId="0" applyNumberFormat="1" applyFont="1" applyBorder="1" applyAlignment="1">
      <alignment horizontal="center"/>
    </xf>
    <xf numFmtId="1" fontId="37" fillId="0" borderId="52" xfId="0" applyNumberFormat="1" applyFont="1" applyBorder="1" applyAlignment="1">
      <alignment horizontal="center"/>
    </xf>
    <xf numFmtId="164" fontId="2" fillId="0" borderId="3" xfId="0" applyNumberFormat="1" applyFont="1" applyBorder="1" applyAlignment="1">
      <alignment horizontal="center"/>
    </xf>
    <xf numFmtId="44" fontId="38" fillId="4" borderId="50" xfId="1" applyFont="1" applyFill="1" applyBorder="1"/>
    <xf numFmtId="164" fontId="36" fillId="0" borderId="5" xfId="0" applyNumberFormat="1" applyFont="1" applyFill="1" applyBorder="1" applyAlignment="1">
      <alignment horizontal="center"/>
    </xf>
    <xf numFmtId="1" fontId="37" fillId="0" borderId="5" xfId="0" applyNumberFormat="1" applyFont="1" applyFill="1" applyBorder="1" applyAlignment="1">
      <alignment horizontal="center"/>
    </xf>
    <xf numFmtId="164" fontId="2" fillId="0" borderId="0" xfId="0" applyNumberFormat="1" applyFont="1" applyFill="1" applyAlignment="1">
      <alignment horizontal="center"/>
    </xf>
    <xf numFmtId="164" fontId="2" fillId="0" borderId="5" xfId="0" applyNumberFormat="1" applyFont="1" applyFill="1" applyBorder="1" applyAlignment="1">
      <alignment horizontal="center"/>
    </xf>
    <xf numFmtId="0" fontId="2" fillId="0" borderId="6" xfId="0" applyFont="1" applyBorder="1" applyAlignment="1">
      <alignment horizontal="center"/>
    </xf>
    <xf numFmtId="44" fontId="2" fillId="0" borderId="6" xfId="1" applyFont="1" applyBorder="1"/>
    <xf numFmtId="44" fontId="17" fillId="0" borderId="6" xfId="1" applyFont="1" applyBorder="1"/>
    <xf numFmtId="0" fontId="17" fillId="0" borderId="6" xfId="0" applyFont="1" applyBorder="1"/>
    <xf numFmtId="44" fontId="17" fillId="0" borderId="5" xfId="1" applyFont="1" applyBorder="1"/>
    <xf numFmtId="44" fontId="2" fillId="6" borderId="0" xfId="1" applyFont="1" applyFill="1"/>
    <xf numFmtId="44" fontId="2" fillId="4" borderId="0" xfId="1" applyFont="1" applyFill="1"/>
    <xf numFmtId="44" fontId="21" fillId="6" borderId="0" xfId="1" applyFont="1" applyFill="1" applyBorder="1" applyAlignment="1">
      <alignment horizontal="right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44" fontId="6" fillId="0" borderId="0" xfId="1" applyFont="1" applyAlignment="1">
      <alignment horizontal="center"/>
    </xf>
    <xf numFmtId="44" fontId="0" fillId="0" borderId="53" xfId="1" applyFont="1" applyBorder="1"/>
    <xf numFmtId="44" fontId="0" fillId="0" borderId="56" xfId="1" applyFont="1" applyBorder="1"/>
    <xf numFmtId="0" fontId="7" fillId="0" borderId="0" xfId="0" applyFont="1" applyAlignment="1">
      <alignment horizontal="center"/>
    </xf>
    <xf numFmtId="0" fontId="0" fillId="0" borderId="4" xfId="0" applyBorder="1" applyAlignment="1">
      <alignment horizontal="center"/>
    </xf>
    <xf numFmtId="0" fontId="0" fillId="0" borderId="54" xfId="0" applyBorder="1" applyAlignment="1">
      <alignment horizontal="center"/>
    </xf>
    <xf numFmtId="0" fontId="17" fillId="0" borderId="4" xfId="0" applyFont="1" applyBorder="1" applyAlignment="1">
      <alignment horizontal="center"/>
    </xf>
    <xf numFmtId="0" fontId="17" fillId="0" borderId="6" xfId="0" applyFont="1" applyBorder="1" applyAlignment="1">
      <alignment horizontal="center"/>
    </xf>
    <xf numFmtId="0" fontId="7" fillId="0" borderId="44" xfId="0" applyFont="1" applyBorder="1" applyAlignment="1">
      <alignment horizontal="center"/>
    </xf>
    <xf numFmtId="0" fontId="7" fillId="0" borderId="58" xfId="0" applyFont="1" applyBorder="1" applyAlignment="1">
      <alignment horizontal="center"/>
    </xf>
    <xf numFmtId="44" fontId="7" fillId="0" borderId="45" xfId="1" applyFont="1" applyBorder="1" applyAlignment="1">
      <alignment horizontal="center"/>
    </xf>
    <xf numFmtId="44" fontId="17" fillId="0" borderId="57" xfId="1" applyFont="1" applyBorder="1"/>
    <xf numFmtId="44" fontId="17" fillId="0" borderId="53" xfId="1" applyFont="1" applyBorder="1"/>
    <xf numFmtId="165" fontId="17" fillId="0" borderId="6" xfId="0" applyNumberFormat="1" applyFont="1" applyBorder="1" applyAlignment="1">
      <alignment horizontal="center"/>
    </xf>
    <xf numFmtId="165" fontId="17" fillId="0" borderId="5" xfId="0" applyNumberFormat="1" applyFont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5" xfId="0" applyBorder="1" applyAlignment="1">
      <alignment horizontal="center"/>
    </xf>
    <xf numFmtId="44" fontId="21" fillId="9" borderId="0" xfId="1" applyFont="1" applyFill="1" applyBorder="1" applyAlignment="1">
      <alignment horizontal="left"/>
    </xf>
    <xf numFmtId="44" fontId="2" fillId="4" borderId="5" xfId="1" applyFont="1" applyFill="1" applyBorder="1"/>
    <xf numFmtId="165" fontId="2" fillId="4" borderId="5" xfId="0" applyNumberFormat="1" applyFont="1" applyFill="1" applyBorder="1" applyAlignment="1">
      <alignment horizontal="left"/>
    </xf>
    <xf numFmtId="0" fontId="17" fillId="7" borderId="5" xfId="0" applyFont="1" applyFill="1" applyBorder="1" applyAlignment="1">
      <alignment horizontal="left"/>
    </xf>
    <xf numFmtId="0" fontId="18" fillId="0" borderId="5" xfId="0" applyFont="1" applyFill="1" applyBorder="1" applyAlignment="1">
      <alignment horizontal="left"/>
    </xf>
    <xf numFmtId="44" fontId="23" fillId="7" borderId="0" xfId="1" applyFont="1" applyFill="1" applyBorder="1" applyAlignment="1">
      <alignment horizontal="left"/>
    </xf>
    <xf numFmtId="44" fontId="2" fillId="10" borderId="16" xfId="1" applyFont="1" applyFill="1" applyBorder="1"/>
    <xf numFmtId="44" fontId="2" fillId="11" borderId="0" xfId="1" applyFont="1" applyFill="1"/>
    <xf numFmtId="0" fontId="24" fillId="0" borderId="5" xfId="0" applyFont="1" applyFill="1" applyBorder="1"/>
    <xf numFmtId="165" fontId="17" fillId="0" borderId="5" xfId="1" applyNumberFormat="1" applyFont="1" applyFill="1" applyBorder="1" applyAlignment="1">
      <alignment horizontal="center"/>
    </xf>
    <xf numFmtId="0" fontId="22" fillId="7" borderId="5" xfId="0" applyFont="1" applyFill="1" applyBorder="1" applyAlignment="1">
      <alignment horizontal="left"/>
    </xf>
    <xf numFmtId="44" fontId="21" fillId="7" borderId="0" xfId="1" applyFont="1" applyFill="1" applyBorder="1" applyAlignment="1">
      <alignment horizontal="left"/>
    </xf>
    <xf numFmtId="165" fontId="2" fillId="4" borderId="59" xfId="0" applyNumberFormat="1" applyFont="1" applyFill="1" applyBorder="1" applyAlignment="1">
      <alignment horizontal="left"/>
    </xf>
    <xf numFmtId="166" fontId="14" fillId="4" borderId="5" xfId="0" applyNumberFormat="1" applyFont="1" applyFill="1" applyBorder="1"/>
    <xf numFmtId="165" fontId="2" fillId="4" borderId="33" xfId="0" applyNumberFormat="1" applyFont="1" applyFill="1" applyBorder="1" applyAlignment="1">
      <alignment horizontal="left"/>
    </xf>
    <xf numFmtId="0" fontId="32" fillId="0" borderId="60" xfId="0" applyFont="1" applyFill="1" applyBorder="1" applyAlignment="1">
      <alignment horizontal="center"/>
    </xf>
    <xf numFmtId="0" fontId="32" fillId="0" borderId="34" xfId="0" applyFont="1" applyFill="1" applyBorder="1" applyAlignment="1">
      <alignment horizontal="center"/>
    </xf>
    <xf numFmtId="0" fontId="32" fillId="0" borderId="5" xfId="0" applyFont="1" applyFill="1" applyBorder="1" applyAlignment="1">
      <alignment horizontal="center"/>
    </xf>
    <xf numFmtId="166" fontId="14" fillId="0" borderId="5" xfId="0" applyNumberFormat="1" applyFont="1" applyFill="1" applyBorder="1"/>
    <xf numFmtId="0" fontId="2" fillId="0" borderId="0" xfId="0" applyFont="1" applyFill="1" applyAlignment="1">
      <alignment horizontal="left"/>
    </xf>
    <xf numFmtId="0" fontId="42" fillId="0" borderId="0" xfId="0" applyFont="1" applyFill="1" applyAlignment="1">
      <alignment horizontal="center"/>
    </xf>
    <xf numFmtId="0" fontId="2" fillId="12" borderId="5" xfId="0" applyFont="1" applyFill="1" applyBorder="1" applyAlignment="1">
      <alignment horizontal="left" wrapText="1"/>
    </xf>
    <xf numFmtId="0" fontId="2" fillId="0" borderId="5" xfId="0" applyFont="1" applyFill="1" applyBorder="1" applyAlignment="1">
      <alignment horizontal="left" wrapText="1"/>
    </xf>
    <xf numFmtId="44" fontId="23" fillId="0" borderId="0" xfId="1" applyFont="1" applyFill="1" applyBorder="1" applyAlignment="1">
      <alignment horizontal="left"/>
    </xf>
    <xf numFmtId="0" fontId="5" fillId="0" borderId="0" xfId="0" applyFont="1" applyFill="1" applyAlignment="1">
      <alignment horizontal="center"/>
    </xf>
    <xf numFmtId="0" fontId="7" fillId="0" borderId="5" xfId="0" applyFont="1" applyBorder="1" applyAlignment="1">
      <alignment horizontal="left"/>
    </xf>
    <xf numFmtId="44" fontId="21" fillId="6" borderId="0" xfId="1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 wrapText="1"/>
    </xf>
    <xf numFmtId="0" fontId="44" fillId="0" borderId="5" xfId="0" applyFont="1" applyFill="1" applyBorder="1"/>
    <xf numFmtId="0" fontId="2" fillId="0" borderId="5" xfId="0" applyFont="1" applyFill="1" applyBorder="1" applyAlignment="1">
      <alignment horizontal="right"/>
    </xf>
    <xf numFmtId="0" fontId="2" fillId="0" borderId="0" xfId="0" applyFont="1" applyFill="1" applyBorder="1"/>
    <xf numFmtId="0" fontId="2" fillId="0" borderId="6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44" fontId="2" fillId="13" borderId="23" xfId="1" applyFont="1" applyFill="1" applyBorder="1"/>
    <xf numFmtId="0" fontId="43" fillId="0" borderId="51" xfId="0" applyFont="1" applyFill="1" applyBorder="1" applyAlignment="1">
      <alignment horizontal="center"/>
    </xf>
    <xf numFmtId="44" fontId="21" fillId="6" borderId="0" xfId="1" applyFont="1" applyFill="1" applyBorder="1" applyAlignment="1">
      <alignment horizontal="left"/>
    </xf>
    <xf numFmtId="44" fontId="2" fillId="14" borderId="23" xfId="1" applyFont="1" applyFill="1" applyBorder="1"/>
    <xf numFmtId="44" fontId="45" fillId="14" borderId="0" xfId="1" applyFont="1" applyFill="1" applyBorder="1" applyAlignment="1">
      <alignment horizontal="center"/>
    </xf>
    <xf numFmtId="44" fontId="20" fillId="14" borderId="0" xfId="1" applyFont="1" applyFill="1" applyBorder="1" applyAlignment="1">
      <alignment horizontal="center"/>
    </xf>
    <xf numFmtId="165" fontId="17" fillId="0" borderId="5" xfId="1" applyNumberFormat="1" applyFont="1" applyFill="1" applyBorder="1" applyAlignment="1">
      <alignment horizontal="left"/>
    </xf>
    <xf numFmtId="0" fontId="2" fillId="7" borderId="5" xfId="0" applyFont="1" applyFill="1" applyBorder="1"/>
    <xf numFmtId="44" fontId="7" fillId="0" borderId="60" xfId="1" applyFont="1" applyFill="1" applyBorder="1" applyAlignment="1">
      <alignment horizontal="center"/>
    </xf>
    <xf numFmtId="166" fontId="17" fillId="0" borderId="5" xfId="0" applyNumberFormat="1" applyFont="1" applyFill="1" applyBorder="1"/>
    <xf numFmtId="166" fontId="22" fillId="0" borderId="5" xfId="0" applyNumberFormat="1" applyFont="1" applyFill="1" applyBorder="1"/>
    <xf numFmtId="1" fontId="37" fillId="0" borderId="5" xfId="0" applyNumberFormat="1" applyFont="1" applyBorder="1" applyAlignment="1">
      <alignment horizontal="center"/>
    </xf>
    <xf numFmtId="164" fontId="2" fillId="0" borderId="5" xfId="0" applyNumberFormat="1" applyFont="1" applyBorder="1" applyAlignment="1">
      <alignment horizontal="center"/>
    </xf>
    <xf numFmtId="164" fontId="36" fillId="0" borderId="5" xfId="0" applyNumberFormat="1" applyFont="1" applyBorder="1" applyAlignment="1">
      <alignment horizontal="center"/>
    </xf>
    <xf numFmtId="44" fontId="2" fillId="4" borderId="26" xfId="1" applyFont="1" applyFill="1" applyBorder="1"/>
    <xf numFmtId="0" fontId="0" fillId="0" borderId="0" xfId="0" applyFill="1" applyBorder="1"/>
    <xf numFmtId="44" fontId="1" fillId="0" borderId="0" xfId="1" applyFill="1" applyBorder="1"/>
    <xf numFmtId="165" fontId="2" fillId="0" borderId="0" xfId="0" applyNumberFormat="1" applyFont="1" applyFill="1" applyBorder="1" applyAlignment="1">
      <alignment horizontal="left"/>
    </xf>
    <xf numFmtId="44" fontId="45" fillId="0" borderId="0" xfId="1" applyFont="1" applyFill="1" applyBorder="1" applyAlignment="1">
      <alignment horizontal="center"/>
    </xf>
    <xf numFmtId="44" fontId="46" fillId="0" borderId="0" xfId="1" applyFont="1" applyFill="1" applyBorder="1" applyAlignment="1">
      <alignment horizontal="center"/>
    </xf>
    <xf numFmtId="16" fontId="5" fillId="10" borderId="5" xfId="0" applyNumberFormat="1" applyFont="1" applyFill="1" applyBorder="1" applyAlignment="1">
      <alignment wrapText="1"/>
    </xf>
    <xf numFmtId="16" fontId="42" fillId="0" borderId="4" xfId="0" applyNumberFormat="1" applyFont="1" applyFill="1" applyBorder="1"/>
    <xf numFmtId="0" fontId="2" fillId="0" borderId="4" xfId="0" applyFont="1" applyFill="1" applyBorder="1" applyAlignment="1">
      <alignment horizontal="left"/>
    </xf>
    <xf numFmtId="0" fontId="14" fillId="7" borderId="5" xfId="0" applyFont="1" applyFill="1" applyBorder="1" applyAlignment="1">
      <alignment horizontal="center"/>
    </xf>
    <xf numFmtId="0" fontId="44" fillId="0" borderId="5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left"/>
    </xf>
    <xf numFmtId="165" fontId="2" fillId="0" borderId="46" xfId="0" applyNumberFormat="1" applyFont="1" applyFill="1" applyBorder="1" applyAlignment="1">
      <alignment horizontal="left"/>
    </xf>
    <xf numFmtId="0" fontId="6" fillId="0" borderId="0" xfId="0" applyFont="1" applyFill="1" applyBorder="1" applyAlignment="1">
      <alignment horizontal="center"/>
    </xf>
    <xf numFmtId="15" fontId="2" fillId="0" borderId="0" xfId="0" applyNumberFormat="1" applyFont="1" applyFill="1" applyBorder="1"/>
    <xf numFmtId="0" fontId="2" fillId="0" borderId="0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5" fillId="0" borderId="0" xfId="0" applyFont="1" applyFill="1" applyAlignment="1">
      <alignment horizontal="left"/>
    </xf>
    <xf numFmtId="0" fontId="2" fillId="6" borderId="0" xfId="0" applyFont="1" applyFill="1" applyAlignment="1">
      <alignment horizontal="left"/>
    </xf>
    <xf numFmtId="44" fontId="2" fillId="13" borderId="0" xfId="1" applyFont="1" applyFill="1" applyBorder="1" applyAlignment="1">
      <alignment horizontal="right"/>
    </xf>
    <xf numFmtId="165" fontId="5" fillId="0" borderId="0" xfId="1" applyNumberFormat="1" applyFont="1" applyFill="1"/>
    <xf numFmtId="165" fontId="5" fillId="0" borderId="0" xfId="1" applyNumberFormat="1" applyFont="1" applyFill="1" applyAlignment="1">
      <alignment horizontal="center"/>
    </xf>
    <xf numFmtId="165" fontId="2" fillId="0" borderId="28" xfId="1" applyNumberFormat="1" applyFont="1" applyFill="1" applyBorder="1" applyAlignment="1">
      <alignment horizontal="center"/>
    </xf>
    <xf numFmtId="165" fontId="2" fillId="0" borderId="7" xfId="0" applyNumberFormat="1" applyFont="1" applyFill="1" applyBorder="1" applyAlignment="1">
      <alignment horizontal="center"/>
    </xf>
    <xf numFmtId="0" fontId="5" fillId="0" borderId="4" xfId="0" applyFont="1" applyFill="1" applyBorder="1" applyAlignment="1">
      <alignment horizontal="left"/>
    </xf>
    <xf numFmtId="44" fontId="2" fillId="0" borderId="29" xfId="1" applyFont="1" applyFill="1" applyBorder="1" applyAlignment="1">
      <alignment horizontal="right"/>
    </xf>
    <xf numFmtId="165" fontId="5" fillId="0" borderId="28" xfId="1" applyNumberFormat="1" applyFont="1" applyFill="1" applyBorder="1" applyAlignment="1">
      <alignment horizontal="left"/>
    </xf>
    <xf numFmtId="165" fontId="5" fillId="0" borderId="5" xfId="1" applyNumberFormat="1" applyFont="1" applyFill="1" applyBorder="1" applyAlignment="1">
      <alignment horizontal="left"/>
    </xf>
    <xf numFmtId="165" fontId="2" fillId="0" borderId="5" xfId="1" applyNumberFormat="1" applyFont="1" applyFill="1" applyBorder="1" applyAlignment="1">
      <alignment horizontal="center"/>
    </xf>
    <xf numFmtId="165" fontId="2" fillId="0" borderId="5" xfId="1" applyNumberFormat="1" applyFont="1" applyFill="1" applyBorder="1" applyAlignment="1">
      <alignment horizontal="left"/>
    </xf>
    <xf numFmtId="0" fontId="2" fillId="0" borderId="0" xfId="0" applyFont="1" applyAlignment="1">
      <alignment horizontal="center"/>
    </xf>
    <xf numFmtId="0" fontId="2" fillId="0" borderId="5" xfId="0" applyFont="1" applyBorder="1" applyAlignment="1">
      <alignment horizontal="left" wrapText="1"/>
    </xf>
    <xf numFmtId="0" fontId="24" fillId="0" borderId="0" xfId="0" applyFont="1" applyAlignment="1">
      <alignment horizontal="left"/>
    </xf>
    <xf numFmtId="0" fontId="2" fillId="0" borderId="51" xfId="0" applyFont="1" applyBorder="1" applyAlignment="1">
      <alignment horizontal="left"/>
    </xf>
    <xf numFmtId="0" fontId="5" fillId="0" borderId="6" xfId="0" applyFont="1" applyBorder="1" applyAlignment="1">
      <alignment horizontal="left"/>
    </xf>
    <xf numFmtId="0" fontId="24" fillId="0" borderId="5" xfId="0" applyFont="1" applyBorder="1" applyAlignment="1">
      <alignment horizontal="left"/>
    </xf>
    <xf numFmtId="0" fontId="4" fillId="0" borderId="5" xfId="0" applyFont="1" applyBorder="1" applyAlignment="1">
      <alignment horizontal="left"/>
    </xf>
    <xf numFmtId="44" fontId="2" fillId="4" borderId="5" xfId="0" applyNumberFormat="1" applyFont="1" applyFill="1" applyBorder="1"/>
    <xf numFmtId="165" fontId="2" fillId="4" borderId="26" xfId="0" applyNumberFormat="1" applyFont="1" applyFill="1" applyBorder="1" applyAlignment="1">
      <alignment horizontal="left"/>
    </xf>
    <xf numFmtId="0" fontId="2" fillId="4" borderId="5" xfId="0" applyFont="1" applyFill="1" applyBorder="1" applyAlignment="1">
      <alignment horizontal="center"/>
    </xf>
    <xf numFmtId="0" fontId="2" fillId="4" borderId="26" xfId="0" applyFont="1" applyFill="1" applyBorder="1" applyAlignment="1">
      <alignment horizontal="center"/>
    </xf>
    <xf numFmtId="166" fontId="47" fillId="0" borderId="5" xfId="0" applyNumberFormat="1" applyFont="1" applyFill="1" applyBorder="1"/>
    <xf numFmtId="0" fontId="2" fillId="7" borderId="5" xfId="0" applyFont="1" applyFill="1" applyBorder="1" applyAlignment="1">
      <alignment horizontal="left"/>
    </xf>
    <xf numFmtId="44" fontId="2" fillId="0" borderId="5" xfId="0" applyNumberFormat="1" applyFont="1" applyFill="1" applyBorder="1"/>
    <xf numFmtId="165" fontId="2" fillId="0" borderId="26" xfId="0" applyNumberFormat="1" applyFont="1" applyFill="1" applyBorder="1" applyAlignment="1">
      <alignment horizontal="left"/>
    </xf>
    <xf numFmtId="44" fontId="2" fillId="0" borderId="26" xfId="1" applyFont="1" applyFill="1" applyBorder="1"/>
    <xf numFmtId="0" fontId="2" fillId="0" borderId="26" xfId="0" applyFont="1" applyFill="1" applyBorder="1" applyAlignment="1">
      <alignment horizontal="center"/>
    </xf>
    <xf numFmtId="44" fontId="48" fillId="0" borderId="0" xfId="1" applyFont="1" applyFill="1" applyBorder="1" applyAlignment="1">
      <alignment horizontal="center"/>
    </xf>
    <xf numFmtId="44" fontId="2" fillId="4" borderId="22" xfId="1" applyFont="1" applyFill="1" applyBorder="1"/>
    <xf numFmtId="167" fontId="5" fillId="0" borderId="0" xfId="1" applyNumberFormat="1" applyFont="1" applyFill="1" applyBorder="1" applyAlignment="1">
      <alignment horizontal="center" vertical="center" wrapText="1"/>
    </xf>
    <xf numFmtId="44" fontId="7" fillId="0" borderId="0" xfId="1" applyFont="1" applyFill="1" applyAlignment="1">
      <alignment horizontal="center"/>
    </xf>
    <xf numFmtId="0" fontId="7" fillId="0" borderId="0" xfId="0" applyFont="1" applyFill="1" applyAlignment="1">
      <alignment horizontal="center"/>
    </xf>
    <xf numFmtId="165" fontId="2" fillId="0" borderId="0" xfId="1" applyNumberFormat="1" applyFont="1" applyFill="1" applyBorder="1" applyAlignment="1">
      <alignment horizontal="center"/>
    </xf>
    <xf numFmtId="0" fontId="6" fillId="10" borderId="15" xfId="0" applyFont="1" applyFill="1" applyBorder="1" applyAlignment="1">
      <alignment horizontal="center" vertical="center" wrapText="1"/>
    </xf>
    <xf numFmtId="165" fontId="22" fillId="0" borderId="5" xfId="1" applyNumberFormat="1" applyFont="1" applyFill="1" applyBorder="1" applyAlignment="1">
      <alignment horizontal="center"/>
    </xf>
    <xf numFmtId="0" fontId="2" fillId="4" borderId="5" xfId="0" applyFont="1" applyFill="1" applyBorder="1" applyAlignment="1">
      <alignment horizontal="left"/>
    </xf>
    <xf numFmtId="44" fontId="7" fillId="0" borderId="0" xfId="1" applyFont="1" applyFill="1" applyBorder="1" applyAlignment="1">
      <alignment horizontal="center" vertical="center" wrapText="1"/>
    </xf>
    <xf numFmtId="44" fontId="0" fillId="0" borderId="0" xfId="0" applyNumberFormat="1"/>
    <xf numFmtId="165" fontId="2" fillId="0" borderId="6" xfId="0" applyNumberFormat="1" applyFont="1" applyBorder="1"/>
    <xf numFmtId="165" fontId="2" fillId="0" borderId="55" xfId="0" applyNumberFormat="1" applyFont="1" applyBorder="1"/>
    <xf numFmtId="44" fontId="17" fillId="0" borderId="55" xfId="1" applyFont="1" applyBorder="1"/>
    <xf numFmtId="15" fontId="2" fillId="0" borderId="19" xfId="0" applyNumberFormat="1" applyFont="1" applyFill="1" applyBorder="1" applyAlignment="1">
      <alignment horizontal="right"/>
    </xf>
    <xf numFmtId="44" fontId="2" fillId="0" borderId="68" xfId="1" applyFont="1" applyFill="1" applyBorder="1"/>
    <xf numFmtId="44" fontId="2" fillId="16" borderId="23" xfId="1" applyFont="1" applyFill="1" applyBorder="1"/>
    <xf numFmtId="44" fontId="2" fillId="16" borderId="22" xfId="1" applyFont="1" applyFill="1" applyBorder="1"/>
    <xf numFmtId="44" fontId="2" fillId="17" borderId="23" xfId="1" applyFont="1" applyFill="1" applyBorder="1"/>
    <xf numFmtId="44" fontId="2" fillId="17" borderId="22" xfId="1" applyFont="1" applyFill="1" applyBorder="1"/>
    <xf numFmtId="44" fontId="32" fillId="0" borderId="0" xfId="1" applyFont="1" applyFill="1" applyBorder="1" applyAlignment="1">
      <alignment horizontal="center"/>
    </xf>
    <xf numFmtId="44" fontId="32" fillId="0" borderId="15" xfId="1" applyFont="1" applyFill="1" applyBorder="1" applyAlignment="1">
      <alignment horizontal="center"/>
    </xf>
    <xf numFmtId="44" fontId="6" fillId="0" borderId="0" xfId="1" applyFont="1" applyFill="1" applyBorder="1" applyAlignment="1">
      <alignment horizontal="center"/>
    </xf>
    <xf numFmtId="44" fontId="49" fillId="0" borderId="0" xfId="1" applyFont="1" applyFill="1" applyBorder="1" applyAlignment="1">
      <alignment horizontal="center" vertical="center"/>
    </xf>
    <xf numFmtId="44" fontId="35" fillId="0" borderId="0" xfId="1" applyFont="1" applyFill="1" applyAlignment="1">
      <alignment horizontal="center" vertical="center"/>
    </xf>
    <xf numFmtId="44" fontId="20" fillId="0" borderId="5" xfId="1" applyFont="1" applyFill="1" applyBorder="1" applyAlignment="1">
      <alignment horizontal="center"/>
    </xf>
    <xf numFmtId="44" fontId="7" fillId="0" borderId="5" xfId="1" applyFont="1" applyFill="1" applyBorder="1" applyAlignment="1">
      <alignment horizontal="center"/>
    </xf>
    <xf numFmtId="44" fontId="14" fillId="16" borderId="5" xfId="1" applyFont="1" applyFill="1" applyBorder="1" applyAlignment="1">
      <alignment horizontal="center"/>
    </xf>
    <xf numFmtId="44" fontId="32" fillId="0" borderId="5" xfId="1" applyFont="1" applyFill="1" applyBorder="1" applyAlignment="1">
      <alignment horizontal="center"/>
    </xf>
    <xf numFmtId="165" fontId="2" fillId="0" borderId="70" xfId="1" applyNumberFormat="1" applyFont="1" applyFill="1" applyBorder="1" applyAlignment="1">
      <alignment horizontal="center"/>
    </xf>
    <xf numFmtId="44" fontId="7" fillId="0" borderId="70" xfId="1" applyFont="1" applyFill="1" applyBorder="1" applyAlignment="1">
      <alignment horizontal="center"/>
    </xf>
    <xf numFmtId="165" fontId="2" fillId="0" borderId="71" xfId="1" applyNumberFormat="1" applyFont="1" applyFill="1" applyBorder="1" applyAlignment="1">
      <alignment horizontal="center"/>
    </xf>
    <xf numFmtId="44" fontId="7" fillId="0" borderId="71" xfId="1" applyFont="1" applyFill="1" applyBorder="1" applyAlignment="1">
      <alignment horizontal="center"/>
    </xf>
    <xf numFmtId="165" fontId="2" fillId="0" borderId="72" xfId="1" applyNumberFormat="1" applyFont="1" applyFill="1" applyBorder="1" applyAlignment="1">
      <alignment horizontal="center"/>
    </xf>
    <xf numFmtId="44" fontId="7" fillId="0" borderId="72" xfId="1" applyFont="1" applyFill="1" applyBorder="1" applyAlignment="1">
      <alignment horizontal="center"/>
    </xf>
    <xf numFmtId="165" fontId="2" fillId="18" borderId="5" xfId="0" applyNumberFormat="1" applyFont="1" applyFill="1" applyBorder="1" applyAlignment="1">
      <alignment horizontal="left"/>
    </xf>
    <xf numFmtId="44" fontId="2" fillId="18" borderId="5" xfId="1" applyFont="1" applyFill="1" applyBorder="1"/>
    <xf numFmtId="166" fontId="14" fillId="18" borderId="5" xfId="0" applyNumberFormat="1" applyFont="1" applyFill="1" applyBorder="1"/>
    <xf numFmtId="0" fontId="17" fillId="0" borderId="5" xfId="0" applyFont="1" applyFill="1" applyBorder="1"/>
    <xf numFmtId="44" fontId="17" fillId="0" borderId="16" xfId="1" applyFont="1" applyFill="1" applyBorder="1"/>
    <xf numFmtId="44" fontId="17" fillId="0" borderId="5" xfId="1" applyFont="1" applyFill="1" applyBorder="1"/>
    <xf numFmtId="0" fontId="17" fillId="0" borderId="0" xfId="0" applyFont="1" applyFill="1" applyAlignment="1">
      <alignment horizontal="left"/>
    </xf>
    <xf numFmtId="44" fontId="17" fillId="0" borderId="0" xfId="1" applyFont="1" applyFill="1"/>
    <xf numFmtId="0" fontId="17" fillId="0" borderId="5" xfId="0" applyFont="1" applyFill="1" applyBorder="1" applyAlignment="1">
      <alignment horizontal="left" wrapText="1"/>
    </xf>
    <xf numFmtId="0" fontId="17" fillId="4" borderId="5" xfId="0" applyFont="1" applyFill="1" applyBorder="1" applyAlignment="1">
      <alignment horizontal="left"/>
    </xf>
    <xf numFmtId="44" fontId="17" fillId="4" borderId="5" xfId="1" applyFont="1" applyFill="1" applyBorder="1"/>
    <xf numFmtId="44" fontId="2" fillId="17" borderId="0" xfId="1" applyFont="1" applyFill="1" applyBorder="1"/>
    <xf numFmtId="44" fontId="16" fillId="0" borderId="0" xfId="1" applyFont="1" applyFill="1" applyBorder="1" applyAlignment="1">
      <alignment horizontal="center"/>
    </xf>
    <xf numFmtId="44" fontId="7" fillId="0" borderId="0" xfId="1" applyFont="1" applyFill="1"/>
    <xf numFmtId="167" fontId="6" fillId="0" borderId="0" xfId="1" applyNumberFormat="1" applyFont="1" applyFill="1" applyBorder="1" applyAlignment="1">
      <alignment horizontal="center" vertical="center" wrapText="1"/>
    </xf>
    <xf numFmtId="44" fontId="2" fillId="0" borderId="73" xfId="1" applyFont="1" applyFill="1" applyBorder="1"/>
    <xf numFmtId="44" fontId="2" fillId="17" borderId="74" xfId="1" applyFont="1" applyFill="1" applyBorder="1"/>
    <xf numFmtId="44" fontId="2" fillId="17" borderId="75" xfId="1" applyFont="1" applyFill="1" applyBorder="1"/>
    <xf numFmtId="44" fontId="2" fillId="17" borderId="68" xfId="1" applyFont="1" applyFill="1" applyBorder="1"/>
    <xf numFmtId="44" fontId="2" fillId="4" borderId="68" xfId="1" applyFont="1" applyFill="1" applyBorder="1"/>
    <xf numFmtId="165" fontId="14" fillId="0" borderId="0" xfId="1" applyNumberFormat="1" applyFont="1" applyFill="1" applyBorder="1" applyAlignment="1">
      <alignment wrapText="1"/>
    </xf>
    <xf numFmtId="0" fontId="22" fillId="0" borderId="5" xfId="0" applyFont="1" applyFill="1" applyBorder="1"/>
    <xf numFmtId="165" fontId="16" fillId="0" borderId="34" xfId="1" applyNumberFormat="1" applyFont="1" applyFill="1" applyBorder="1" applyAlignment="1">
      <alignment vertical="center"/>
    </xf>
    <xf numFmtId="165" fontId="16" fillId="0" borderId="0" xfId="1" applyNumberFormat="1" applyFont="1" applyFill="1" applyBorder="1" applyAlignment="1">
      <alignment vertical="center"/>
    </xf>
    <xf numFmtId="44" fontId="49" fillId="0" borderId="1" xfId="1" applyFont="1" applyFill="1" applyBorder="1" applyAlignment="1">
      <alignment vertical="center"/>
    </xf>
    <xf numFmtId="0" fontId="7" fillId="0" borderId="0" xfId="0" applyFont="1" applyAlignment="1">
      <alignment horizontal="left"/>
    </xf>
    <xf numFmtId="44" fontId="35" fillId="0" borderId="0" xfId="1" applyFont="1" applyFill="1" applyAlignment="1">
      <alignment horizontal="center" vertical="center"/>
    </xf>
    <xf numFmtId="44" fontId="2" fillId="6" borderId="0" xfId="1" applyFont="1" applyFill="1" applyBorder="1" applyAlignment="1">
      <alignment horizontal="right"/>
    </xf>
    <xf numFmtId="44" fontId="2" fillId="6" borderId="0" xfId="1" applyFont="1" applyFill="1" applyBorder="1"/>
    <xf numFmtId="44" fontId="50" fillId="0" borderId="0" xfId="1" applyFont="1" applyFill="1" applyBorder="1" applyAlignment="1">
      <alignment horizontal="right"/>
    </xf>
    <xf numFmtId="44" fontId="51" fillId="0" borderId="0" xfId="1" applyFont="1" applyFill="1" applyBorder="1" applyAlignment="1">
      <alignment horizontal="right"/>
    </xf>
    <xf numFmtId="44" fontId="51" fillId="0" borderId="0" xfId="1" applyFont="1" applyFill="1" applyBorder="1" applyAlignment="1">
      <alignment horizontal="center"/>
    </xf>
    <xf numFmtId="44" fontId="5" fillId="0" borderId="0" xfId="1" applyFont="1" applyFill="1" applyAlignment="1">
      <alignment horizontal="left"/>
    </xf>
    <xf numFmtId="44" fontId="5" fillId="6" borderId="0" xfId="1" applyFont="1" applyFill="1" applyAlignment="1">
      <alignment horizontal="left"/>
    </xf>
    <xf numFmtId="44" fontId="7" fillId="6" borderId="0" xfId="1" applyFont="1" applyFill="1" applyBorder="1" applyAlignment="1">
      <alignment horizontal="center"/>
    </xf>
    <xf numFmtId="44" fontId="7" fillId="0" borderId="0" xfId="1" applyFont="1" applyFill="1" applyAlignment="1">
      <alignment horizontal="left"/>
    </xf>
    <xf numFmtId="44" fontId="14" fillId="0" borderId="0" xfId="1" applyFont="1" applyFill="1" applyBorder="1" applyAlignment="1">
      <alignment horizontal="center"/>
    </xf>
    <xf numFmtId="44" fontId="7" fillId="0" borderId="0" xfId="1" applyFont="1" applyFill="1" applyBorder="1" applyAlignment="1">
      <alignment horizontal="center" vertical="center"/>
    </xf>
    <xf numFmtId="44" fontId="17" fillId="0" borderId="0" xfId="1" applyFont="1" applyFill="1" applyBorder="1" applyAlignment="1">
      <alignment horizontal="center"/>
    </xf>
    <xf numFmtId="44" fontId="7" fillId="0" borderId="0" xfId="1" applyFont="1" applyFill="1" applyBorder="1"/>
    <xf numFmtId="44" fontId="16" fillId="13" borderId="0" xfId="1" applyFont="1" applyFill="1" applyBorder="1" applyAlignment="1">
      <alignment horizontal="center" wrapText="1"/>
    </xf>
    <xf numFmtId="44" fontId="14" fillId="0" borderId="0" xfId="1" applyFont="1" applyFill="1" applyBorder="1"/>
    <xf numFmtId="44" fontId="24" fillId="0" borderId="0" xfId="1" applyFont="1" applyFill="1" applyBorder="1"/>
    <xf numFmtId="44" fontId="42" fillId="0" borderId="0" xfId="1" applyFont="1" applyFill="1" applyBorder="1"/>
    <xf numFmtId="44" fontId="52" fillId="0" borderId="0" xfId="1" applyFont="1" applyFill="1" applyBorder="1"/>
    <xf numFmtId="44" fontId="52" fillId="0" borderId="0" xfId="1" applyFont="1" applyFill="1" applyBorder="1" applyAlignment="1">
      <alignment horizontal="center"/>
    </xf>
    <xf numFmtId="44" fontId="2" fillId="7" borderId="22" xfId="1" applyFont="1" applyFill="1" applyBorder="1"/>
    <xf numFmtId="44" fontId="7" fillId="0" borderId="37" xfId="1" applyFont="1" applyFill="1" applyBorder="1"/>
    <xf numFmtId="44" fontId="2" fillId="0" borderId="74" xfId="1" applyFont="1" applyFill="1" applyBorder="1"/>
    <xf numFmtId="44" fontId="2" fillId="0" borderId="75" xfId="1" applyFont="1" applyFill="1" applyBorder="1"/>
    <xf numFmtId="166" fontId="18" fillId="0" borderId="10" xfId="0" applyNumberFormat="1" applyFont="1" applyBorder="1" applyAlignment="1">
      <alignment horizontal="left"/>
    </xf>
    <xf numFmtId="15" fontId="2" fillId="0" borderId="19" xfId="0" applyNumberFormat="1" applyFont="1" applyBorder="1"/>
    <xf numFmtId="15" fontId="2" fillId="0" borderId="5" xfId="0" applyNumberFormat="1" applyFont="1" applyBorder="1"/>
    <xf numFmtId="166" fontId="19" fillId="0" borderId="10" xfId="0" applyNumberFormat="1" applyFont="1" applyBorder="1"/>
    <xf numFmtId="166" fontId="22" fillId="0" borderId="10" xfId="0" applyNumberFormat="1" applyFont="1" applyBorder="1"/>
    <xf numFmtId="166" fontId="18" fillId="0" borderId="10" xfId="0" applyNumberFormat="1" applyFont="1" applyBorder="1"/>
    <xf numFmtId="16" fontId="2" fillId="0" borderId="5" xfId="0" applyNumberFormat="1" applyFont="1" applyBorder="1"/>
    <xf numFmtId="165" fontId="5" fillId="0" borderId="4" xfId="0" applyNumberFormat="1" applyFont="1" applyBorder="1" applyAlignment="1">
      <alignment horizontal="left"/>
    </xf>
    <xf numFmtId="16" fontId="5" fillId="0" borderId="5" xfId="0" applyNumberFormat="1" applyFont="1" applyBorder="1"/>
    <xf numFmtId="0" fontId="22" fillId="0" borderId="5" xfId="0" applyFont="1" applyBorder="1"/>
    <xf numFmtId="16" fontId="42" fillId="0" borderId="4" xfId="0" applyNumberFormat="1" applyFont="1" applyBorder="1"/>
    <xf numFmtId="0" fontId="24" fillId="0" borderId="26" xfId="0" applyFont="1" applyBorder="1" applyAlignment="1">
      <alignment horizontal="center" wrapText="1"/>
    </xf>
    <xf numFmtId="165" fontId="2" fillId="0" borderId="4" xfId="0" applyNumberFormat="1" applyFont="1" applyBorder="1" applyAlignment="1">
      <alignment horizontal="left"/>
    </xf>
    <xf numFmtId="16" fontId="2" fillId="0" borderId="4" xfId="0" applyNumberFormat="1" applyFont="1" applyBorder="1"/>
    <xf numFmtId="0" fontId="2" fillId="0" borderId="4" xfId="0" applyFont="1" applyBorder="1" applyAlignment="1">
      <alignment horizontal="left"/>
    </xf>
    <xf numFmtId="165" fontId="2" fillId="0" borderId="7" xfId="0" applyNumberFormat="1" applyFont="1" applyBorder="1" applyAlignment="1">
      <alignment horizontal="center"/>
    </xf>
    <xf numFmtId="0" fontId="5" fillId="0" borderId="4" xfId="0" applyFont="1" applyBorder="1" applyAlignment="1">
      <alignment horizontal="left"/>
    </xf>
    <xf numFmtId="0" fontId="5" fillId="0" borderId="5" xfId="0" applyFont="1" applyBorder="1" applyAlignment="1">
      <alignment horizontal="left"/>
    </xf>
    <xf numFmtId="166" fontId="18" fillId="0" borderId="30" xfId="0" applyNumberFormat="1" applyFont="1" applyBorder="1"/>
    <xf numFmtId="16" fontId="2" fillId="0" borderId="26" xfId="0" applyNumberFormat="1" applyFont="1" applyBorder="1" applyAlignment="1">
      <alignment horizontal="left"/>
    </xf>
    <xf numFmtId="0" fontId="17" fillId="0" borderId="5" xfId="0" applyFont="1" applyBorder="1"/>
    <xf numFmtId="0" fontId="17" fillId="0" borderId="5" xfId="0" applyFont="1" applyBorder="1" applyAlignment="1">
      <alignment horizontal="left"/>
    </xf>
    <xf numFmtId="0" fontId="17" fillId="0" borderId="0" xfId="0" applyFont="1" applyAlignment="1">
      <alignment horizontal="left"/>
    </xf>
    <xf numFmtId="15" fontId="2" fillId="0" borderId="19" xfId="0" applyNumberFormat="1" applyFont="1" applyBorder="1" applyAlignment="1">
      <alignment horizontal="right"/>
    </xf>
    <xf numFmtId="165" fontId="2" fillId="0" borderId="5" xfId="0" applyNumberFormat="1" applyFont="1" applyBorder="1" applyAlignment="1">
      <alignment horizontal="left"/>
    </xf>
    <xf numFmtId="166" fontId="14" fillId="0" borderId="5" xfId="0" applyNumberFormat="1" applyFont="1" applyBorder="1"/>
    <xf numFmtId="0" fontId="32" fillId="0" borderId="60" xfId="0" applyFont="1" applyBorder="1" applyAlignment="1">
      <alignment horizontal="center"/>
    </xf>
    <xf numFmtId="0" fontId="17" fillId="0" borderId="5" xfId="0" applyFont="1" applyBorder="1" applyAlignment="1">
      <alignment horizontal="left" wrapText="1"/>
    </xf>
    <xf numFmtId="44" fontId="2" fillId="0" borderId="5" xfId="0" applyNumberFormat="1" applyFont="1" applyBorder="1"/>
    <xf numFmtId="0" fontId="2" fillId="0" borderId="5" xfId="0" applyFont="1" applyBorder="1" applyAlignment="1">
      <alignment horizontal="center"/>
    </xf>
    <xf numFmtId="0" fontId="32" fillId="0" borderId="34" xfId="0" applyFont="1" applyBorder="1" applyAlignment="1">
      <alignment horizontal="center"/>
    </xf>
    <xf numFmtId="0" fontId="32" fillId="0" borderId="5" xfId="0" applyFont="1" applyBorder="1" applyAlignment="1">
      <alignment horizontal="center"/>
    </xf>
    <xf numFmtId="0" fontId="18" fillId="0" borderId="5" xfId="0" applyFont="1" applyBorder="1" applyAlignment="1">
      <alignment horizontal="left"/>
    </xf>
    <xf numFmtId="165" fontId="2" fillId="0" borderId="26" xfId="0" applyNumberFormat="1" applyFont="1" applyBorder="1" applyAlignment="1">
      <alignment horizontal="left"/>
    </xf>
    <xf numFmtId="0" fontId="2" fillId="0" borderId="26" xfId="0" applyFont="1" applyBorder="1" applyAlignment="1">
      <alignment horizontal="center"/>
    </xf>
    <xf numFmtId="0" fontId="22" fillId="0" borderId="5" xfId="0" applyFont="1" applyBorder="1" applyAlignment="1">
      <alignment horizontal="left"/>
    </xf>
    <xf numFmtId="165" fontId="2" fillId="0" borderId="0" xfId="0" applyNumberFormat="1" applyFont="1" applyAlignment="1">
      <alignment horizontal="left"/>
    </xf>
    <xf numFmtId="44" fontId="35" fillId="0" borderId="0" xfId="1" applyFont="1" applyFill="1" applyAlignment="1">
      <alignment horizontal="center" vertical="center"/>
    </xf>
    <xf numFmtId="15" fontId="2" fillId="0" borderId="6" xfId="0" applyNumberFormat="1" applyFont="1" applyFill="1" applyBorder="1"/>
    <xf numFmtId="165" fontId="2" fillId="0" borderId="0" xfId="1" applyNumberFormat="1" applyFont="1" applyFill="1"/>
    <xf numFmtId="165" fontId="2" fillId="0" borderId="0" xfId="1" applyNumberFormat="1" applyFont="1"/>
    <xf numFmtId="44" fontId="54" fillId="4" borderId="22" xfId="1" applyFont="1" applyFill="1" applyBorder="1"/>
    <xf numFmtId="44" fontId="32" fillId="6" borderId="0" xfId="1" applyFont="1" applyFill="1" applyBorder="1" applyAlignment="1"/>
    <xf numFmtId="44" fontId="7" fillId="0" borderId="76" xfId="1" applyFont="1" applyFill="1" applyBorder="1" applyAlignment="1">
      <alignment horizontal="center"/>
    </xf>
    <xf numFmtId="44" fontId="14" fillId="0" borderId="77" xfId="1" applyFont="1" applyFill="1" applyBorder="1"/>
    <xf numFmtId="44" fontId="32" fillId="0" borderId="77" xfId="1" applyFont="1" applyFill="1" applyBorder="1" applyAlignment="1"/>
    <xf numFmtId="44" fontId="2" fillId="0" borderId="77" xfId="1" applyFont="1" applyFill="1" applyBorder="1"/>
    <xf numFmtId="44" fontId="2" fillId="0" borderId="78" xfId="1" applyFont="1" applyFill="1" applyBorder="1"/>
    <xf numFmtId="0" fontId="24" fillId="0" borderId="5" xfId="0" applyFont="1" applyFill="1" applyBorder="1" applyAlignment="1">
      <alignment wrapText="1"/>
    </xf>
    <xf numFmtId="16" fontId="46" fillId="0" borderId="4" xfId="0" applyNumberFormat="1" applyFont="1" applyFill="1" applyBorder="1"/>
    <xf numFmtId="166" fontId="18" fillId="0" borderId="5" xfId="0" applyNumberFormat="1" applyFont="1" applyFill="1" applyBorder="1"/>
    <xf numFmtId="0" fontId="17" fillId="0" borderId="0" xfId="0" applyFont="1" applyFill="1" applyAlignment="1">
      <alignment horizontal="center" wrapText="1"/>
    </xf>
    <xf numFmtId="44" fontId="17" fillId="0" borderId="77" xfId="1" applyFont="1" applyFill="1" applyBorder="1"/>
    <xf numFmtId="44" fontId="17" fillId="16" borderId="23" xfId="1" applyFont="1" applyFill="1" applyBorder="1"/>
    <xf numFmtId="0" fontId="17" fillId="0" borderId="0" xfId="0" applyFont="1" applyFill="1" applyAlignment="1">
      <alignment horizontal="center"/>
    </xf>
    <xf numFmtId="44" fontId="17" fillId="0" borderId="0" xfId="1" applyFont="1" applyFill="1" applyBorder="1" applyAlignment="1">
      <alignment horizontal="right"/>
    </xf>
    <xf numFmtId="0" fontId="17" fillId="4" borderId="0" xfId="0" applyFont="1" applyFill="1" applyAlignment="1">
      <alignment horizontal="left"/>
    </xf>
    <xf numFmtId="0" fontId="2" fillId="12" borderId="5" xfId="0" applyFont="1" applyFill="1" applyBorder="1" applyAlignment="1">
      <alignment horizontal="left"/>
    </xf>
    <xf numFmtId="0" fontId="18" fillId="12" borderId="5" xfId="0" applyFont="1" applyFill="1" applyBorder="1" applyAlignment="1">
      <alignment horizontal="left"/>
    </xf>
    <xf numFmtId="0" fontId="18" fillId="12" borderId="0" xfId="0" applyFont="1" applyFill="1" applyAlignment="1">
      <alignment horizontal="left"/>
    </xf>
    <xf numFmtId="0" fontId="2" fillId="13" borderId="5" xfId="0" applyFont="1" applyFill="1" applyBorder="1" applyAlignment="1">
      <alignment horizontal="left"/>
    </xf>
    <xf numFmtId="44" fontId="2" fillId="13" borderId="5" xfId="1" applyFont="1" applyFill="1" applyBorder="1" applyAlignment="1">
      <alignment horizontal="right"/>
    </xf>
    <xf numFmtId="44" fontId="2" fillId="13" borderId="0" xfId="1" applyFont="1" applyFill="1"/>
    <xf numFmtId="0" fontId="24" fillId="13" borderId="0" xfId="0" applyFont="1" applyFill="1" applyAlignment="1">
      <alignment horizontal="left"/>
    </xf>
    <xf numFmtId="0" fontId="18" fillId="0" borderId="0" xfId="0" applyFont="1" applyFill="1" applyAlignment="1">
      <alignment horizontal="left"/>
    </xf>
    <xf numFmtId="0" fontId="24" fillId="0" borderId="0" xfId="0" applyFont="1" applyFill="1" applyAlignment="1">
      <alignment horizontal="left"/>
    </xf>
    <xf numFmtId="44" fontId="55" fillId="4" borderId="37" xfId="1" applyFont="1" applyFill="1" applyBorder="1"/>
    <xf numFmtId="167" fontId="6" fillId="0" borderId="7" xfId="1" applyNumberFormat="1" applyFont="1" applyFill="1" applyBorder="1" applyAlignment="1">
      <alignment vertical="center" wrapText="1"/>
    </xf>
    <xf numFmtId="167" fontId="6" fillId="0" borderId="47" xfId="1" applyNumberFormat="1" applyFont="1" applyFill="1" applyBorder="1" applyAlignment="1">
      <alignment vertical="center" wrapText="1"/>
    </xf>
    <xf numFmtId="16" fontId="2" fillId="0" borderId="23" xfId="1" applyNumberFormat="1" applyFont="1" applyFill="1" applyBorder="1" applyAlignment="1">
      <alignment horizontal="center"/>
    </xf>
    <xf numFmtId="16" fontId="2" fillId="0" borderId="68" xfId="1" applyNumberFormat="1" applyFont="1" applyFill="1" applyBorder="1" applyAlignment="1">
      <alignment horizontal="center"/>
    </xf>
    <xf numFmtId="16" fontId="2" fillId="0" borderId="0" xfId="1" applyNumberFormat="1" applyFont="1" applyFill="1" applyBorder="1" applyAlignment="1">
      <alignment horizontal="center"/>
    </xf>
    <xf numFmtId="44" fontId="2" fillId="0" borderId="85" xfId="1" applyFont="1" applyFill="1" applyBorder="1"/>
    <xf numFmtId="44" fontId="7" fillId="0" borderId="83" xfId="1" applyFont="1" applyFill="1" applyBorder="1"/>
    <xf numFmtId="44" fontId="2" fillId="0" borderId="84" xfId="1" applyFont="1" applyFill="1" applyBorder="1"/>
    <xf numFmtId="44" fontId="7" fillId="19" borderId="79" xfId="1" applyFont="1" applyFill="1" applyBorder="1" applyAlignment="1">
      <alignment horizontal="left"/>
    </xf>
    <xf numFmtId="44" fontId="7" fillId="19" borderId="80" xfId="1" applyFont="1" applyFill="1" applyBorder="1"/>
    <xf numFmtId="44" fontId="7" fillId="19" borderId="81" xfId="1" applyFont="1" applyFill="1" applyBorder="1"/>
    <xf numFmtId="44" fontId="7" fillId="19" borderId="37" xfId="1" applyFont="1" applyFill="1" applyBorder="1"/>
    <xf numFmtId="44" fontId="7" fillId="19" borderId="22" xfId="1" applyFont="1" applyFill="1" applyBorder="1"/>
    <xf numFmtId="44" fontId="54" fillId="4" borderId="37" xfId="1" applyFont="1" applyFill="1" applyBorder="1"/>
    <xf numFmtId="44" fontId="56" fillId="4" borderId="82" xfId="1" applyFont="1" applyFill="1" applyBorder="1"/>
    <xf numFmtId="44" fontId="2" fillId="16" borderId="74" xfId="1" applyFont="1" applyFill="1" applyBorder="1"/>
    <xf numFmtId="44" fontId="35" fillId="0" borderId="0" xfId="1" applyFont="1" applyFill="1" applyAlignment="1">
      <alignment horizontal="center" vertical="center"/>
    </xf>
    <xf numFmtId="44" fontId="7" fillId="19" borderId="83" xfId="1" applyFont="1" applyFill="1" applyBorder="1"/>
    <xf numFmtId="44" fontId="17" fillId="0" borderId="23" xfId="1" applyFont="1" applyFill="1" applyBorder="1"/>
    <xf numFmtId="167" fontId="7" fillId="0" borderId="0" xfId="1" applyNumberFormat="1" applyFont="1" applyFill="1" applyBorder="1" applyAlignment="1">
      <alignment horizontal="center" vertical="center" wrapText="1"/>
    </xf>
    <xf numFmtId="0" fontId="7" fillId="0" borderId="0" xfId="0" applyFont="1" applyFill="1"/>
    <xf numFmtId="16" fontId="7" fillId="0" borderId="0" xfId="1" applyNumberFormat="1" applyFont="1" applyFill="1" applyBorder="1" applyAlignment="1">
      <alignment horizontal="center"/>
    </xf>
    <xf numFmtId="7" fontId="6" fillId="16" borderId="86" xfId="1" applyNumberFormat="1" applyFont="1" applyFill="1" applyBorder="1" applyAlignment="1">
      <alignment vertical="center"/>
    </xf>
    <xf numFmtId="7" fontId="6" fillId="16" borderId="87" xfId="1" applyNumberFormat="1" applyFont="1" applyFill="1" applyBorder="1" applyAlignment="1">
      <alignment vertical="center"/>
    </xf>
    <xf numFmtId="16" fontId="0" fillId="0" borderId="0" xfId="0" applyNumberFormat="1" applyAlignment="1">
      <alignment horizontal="center"/>
    </xf>
    <xf numFmtId="16" fontId="7" fillId="0" borderId="0" xfId="0" applyNumberFormat="1" applyFont="1" applyAlignment="1">
      <alignment horizontal="center"/>
    </xf>
    <xf numFmtId="44" fontId="16" fillId="0" borderId="0" xfId="1" applyFont="1" applyFill="1" applyBorder="1" applyAlignment="1">
      <alignment horizontal="center" wrapText="1"/>
    </xf>
    <xf numFmtId="44" fontId="52" fillId="0" borderId="64" xfId="1" applyFont="1" applyFill="1" applyBorder="1" applyAlignment="1">
      <alignment horizontal="center"/>
    </xf>
    <xf numFmtId="44" fontId="7" fillId="0" borderId="65" xfId="1" applyFont="1" applyFill="1" applyBorder="1" applyAlignment="1">
      <alignment horizontal="center"/>
    </xf>
    <xf numFmtId="44" fontId="7" fillId="0" borderId="1" xfId="1" applyFont="1" applyFill="1" applyBorder="1"/>
    <xf numFmtId="44" fontId="6" fillId="12" borderId="60" xfId="1" applyFont="1" applyFill="1" applyBorder="1" applyAlignment="1"/>
    <xf numFmtId="44" fontId="6" fillId="12" borderId="66" xfId="1" applyFont="1" applyFill="1" applyBorder="1" applyAlignment="1"/>
    <xf numFmtId="44" fontId="52" fillId="0" borderId="5" xfId="1" applyFont="1" applyFill="1" applyBorder="1"/>
    <xf numFmtId="44" fontId="14" fillId="0" borderId="5" xfId="1" applyFont="1" applyFill="1" applyBorder="1"/>
    <xf numFmtId="44" fontId="7" fillId="0" borderId="0" xfId="1" applyFont="1" applyFill="1" applyBorder="1" applyAlignment="1">
      <alignment horizontal="left"/>
    </xf>
    <xf numFmtId="7" fontId="6" fillId="0" borderId="5" xfId="1" applyNumberFormat="1" applyFont="1" applyFill="1" applyBorder="1" applyAlignment="1">
      <alignment vertical="center"/>
    </xf>
    <xf numFmtId="0" fontId="0" fillId="0" borderId="5" xfId="0" applyBorder="1"/>
    <xf numFmtId="44" fontId="6" fillId="0" borderId="5" xfId="1" applyFont="1" applyFill="1" applyBorder="1"/>
    <xf numFmtId="44" fontId="0" fillId="0" borderId="5" xfId="1" applyFont="1" applyBorder="1"/>
    <xf numFmtId="0" fontId="17" fillId="0" borderId="5" xfId="0" applyFont="1" applyFill="1" applyBorder="1" applyAlignment="1">
      <alignment horizontal="center"/>
    </xf>
    <xf numFmtId="0" fontId="2" fillId="0" borderId="0" xfId="0" applyFont="1" applyFill="1" applyAlignment="1">
      <alignment horizontal="center" wrapText="1"/>
    </xf>
    <xf numFmtId="0" fontId="17" fillId="7" borderId="5" xfId="0" applyFont="1" applyFill="1" applyBorder="1" applyAlignment="1">
      <alignment horizontal="center"/>
    </xf>
    <xf numFmtId="165" fontId="2" fillId="0" borderId="59" xfId="0" applyNumberFormat="1" applyFont="1" applyFill="1" applyBorder="1" applyAlignment="1">
      <alignment horizontal="left"/>
    </xf>
    <xf numFmtId="165" fontId="2" fillId="0" borderId="33" xfId="0" applyNumberFormat="1" applyFont="1" applyFill="1" applyBorder="1" applyAlignment="1">
      <alignment horizontal="left"/>
    </xf>
    <xf numFmtId="44" fontId="7" fillId="16" borderId="79" xfId="1" applyFont="1" applyFill="1" applyBorder="1"/>
    <xf numFmtId="44" fontId="7" fillId="16" borderId="80" xfId="1" applyFont="1" applyFill="1" applyBorder="1"/>
    <xf numFmtId="44" fontId="7" fillId="16" borderId="81" xfId="1" applyFont="1" applyFill="1" applyBorder="1"/>
    <xf numFmtId="44" fontId="7" fillId="16" borderId="37" xfId="1" applyFont="1" applyFill="1" applyBorder="1"/>
    <xf numFmtId="44" fontId="7" fillId="16" borderId="37" xfId="1" applyFont="1" applyFill="1" applyBorder="1" applyAlignment="1">
      <alignment horizontal="left"/>
    </xf>
    <xf numFmtId="44" fontId="7" fillId="16" borderId="22" xfId="1" applyFont="1" applyFill="1" applyBorder="1"/>
    <xf numFmtId="44" fontId="7" fillId="16" borderId="83" xfId="1" applyFont="1" applyFill="1" applyBorder="1"/>
    <xf numFmtId="44" fontId="7" fillId="0" borderId="0" xfId="1" applyFont="1" applyFill="1" applyBorder="1" applyAlignment="1">
      <alignment horizontal="right"/>
    </xf>
    <xf numFmtId="44" fontId="2" fillId="0" borderId="94" xfId="1" applyFont="1" applyBorder="1"/>
    <xf numFmtId="0" fontId="22" fillId="4" borderId="5" xfId="0" applyFont="1" applyFill="1" applyBorder="1" applyAlignment="1">
      <alignment horizontal="left"/>
    </xf>
    <xf numFmtId="0" fontId="17" fillId="4" borderId="0" xfId="0" applyFont="1" applyFill="1" applyAlignment="1">
      <alignment horizontal="center"/>
    </xf>
    <xf numFmtId="0" fontId="18" fillId="4" borderId="0" xfId="0" applyFont="1" applyFill="1" applyAlignment="1">
      <alignment horizontal="left"/>
    </xf>
    <xf numFmtId="44" fontId="35" fillId="0" borderId="0" xfId="1" applyFont="1" applyFill="1" applyAlignment="1">
      <alignment horizontal="center" vertical="center"/>
    </xf>
    <xf numFmtId="0" fontId="6" fillId="0" borderId="0" xfId="0" applyFont="1" applyAlignment="1">
      <alignment horizontal="center"/>
    </xf>
    <xf numFmtId="0" fontId="24" fillId="0" borderId="5" xfId="0" applyFont="1" applyFill="1" applyBorder="1" applyAlignment="1">
      <alignment horizontal="left"/>
    </xf>
    <xf numFmtId="165" fontId="5" fillId="0" borderId="5" xfId="1" applyNumberFormat="1" applyFont="1" applyFill="1" applyBorder="1" applyAlignment="1">
      <alignment horizontal="center"/>
    </xf>
    <xf numFmtId="0" fontId="57" fillId="0" borderId="0" xfId="0" applyFont="1"/>
    <xf numFmtId="165" fontId="24" fillId="12" borderId="4" xfId="0" applyNumberFormat="1" applyFont="1" applyFill="1" applyBorder="1" applyAlignment="1">
      <alignment horizontal="left"/>
    </xf>
    <xf numFmtId="0" fontId="42" fillId="0" borderId="5" xfId="0" applyFont="1" applyFill="1" applyBorder="1" applyAlignment="1">
      <alignment wrapText="1"/>
    </xf>
    <xf numFmtId="16" fontId="2" fillId="0" borderId="5" xfId="0" applyNumberFormat="1" applyFont="1" applyFill="1" applyBorder="1" applyAlignment="1">
      <alignment horizontal="center"/>
    </xf>
    <xf numFmtId="44" fontId="2" fillId="13" borderId="16" xfId="1" applyFont="1" applyFill="1" applyBorder="1"/>
    <xf numFmtId="44" fontId="16" fillId="8" borderId="82" xfId="1" applyFont="1" applyFill="1" applyBorder="1" applyAlignment="1">
      <alignment vertical="center"/>
    </xf>
    <xf numFmtId="44" fontId="16" fillId="8" borderId="95" xfId="1" applyFont="1" applyFill="1" applyBorder="1" applyAlignment="1">
      <alignment vertical="center"/>
    </xf>
    <xf numFmtId="44" fontId="16" fillId="0" borderId="90" xfId="1" applyFont="1" applyFill="1" applyBorder="1" applyAlignment="1">
      <alignment vertical="center"/>
    </xf>
    <xf numFmtId="44" fontId="16" fillId="0" borderId="92" xfId="1" applyFont="1" applyFill="1" applyBorder="1" applyAlignment="1">
      <alignment vertical="center"/>
    </xf>
    <xf numFmtId="44" fontId="58" fillId="0" borderId="5" xfId="1" applyFont="1" applyBorder="1"/>
    <xf numFmtId="0" fontId="3" fillId="0" borderId="0" xfId="0" applyFont="1"/>
    <xf numFmtId="44" fontId="8" fillId="0" borderId="0" xfId="1" applyFont="1" applyBorder="1" applyAlignment="1">
      <alignment horizontal="center"/>
    </xf>
    <xf numFmtId="44" fontId="8" fillId="0" borderId="1" xfId="1" applyFont="1" applyBorder="1" applyAlignment="1">
      <alignment horizontal="center"/>
    </xf>
    <xf numFmtId="0" fontId="11" fillId="2" borderId="3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15" fillId="0" borderId="13" xfId="0" applyFont="1" applyBorder="1" applyAlignment="1">
      <alignment horizontal="center"/>
    </xf>
    <xf numFmtId="0" fontId="15" fillId="0" borderId="14" xfId="0" applyFont="1" applyBorder="1" applyAlignment="1">
      <alignment horizontal="center"/>
    </xf>
    <xf numFmtId="166" fontId="14" fillId="0" borderId="16" xfId="0" applyNumberFormat="1" applyFont="1" applyBorder="1" applyAlignment="1">
      <alignment horizontal="center" vertical="center" wrapText="1"/>
    </xf>
    <xf numFmtId="166" fontId="14" fillId="0" borderId="46" xfId="0" applyNumberFormat="1" applyFont="1" applyBorder="1" applyAlignment="1">
      <alignment horizontal="center" vertical="center" wrapText="1"/>
    </xf>
    <xf numFmtId="166" fontId="14" fillId="0" borderId="46" xfId="0" applyNumberFormat="1" applyFont="1" applyBorder="1" applyAlignment="1">
      <alignment horizontal="center"/>
    </xf>
    <xf numFmtId="0" fontId="14" fillId="0" borderId="36" xfId="0" applyFont="1" applyBorder="1" applyAlignment="1">
      <alignment horizontal="center"/>
    </xf>
    <xf numFmtId="167" fontId="6" fillId="4" borderId="7" xfId="1" applyNumberFormat="1" applyFont="1" applyFill="1" applyBorder="1" applyAlignment="1">
      <alignment horizontal="center" vertical="center" wrapText="1"/>
    </xf>
    <xf numFmtId="167" fontId="6" fillId="4" borderId="47" xfId="1" applyNumberFormat="1" applyFont="1" applyFill="1" applyBorder="1" applyAlignment="1">
      <alignment horizontal="center" vertical="center" wrapText="1"/>
    </xf>
    <xf numFmtId="0" fontId="30" fillId="0" borderId="46" xfId="0" applyFont="1" applyBorder="1" applyAlignment="1">
      <alignment horizontal="center"/>
    </xf>
    <xf numFmtId="0" fontId="30" fillId="0" borderId="36" xfId="0" applyFont="1" applyBorder="1" applyAlignment="1">
      <alignment horizontal="center"/>
    </xf>
    <xf numFmtId="44" fontId="6" fillId="4" borderId="48" xfId="1" applyFont="1" applyFill="1" applyBorder="1" applyAlignment="1">
      <alignment horizontal="center"/>
    </xf>
    <xf numFmtId="44" fontId="6" fillId="4" borderId="49" xfId="1" applyFont="1" applyFill="1" applyBorder="1" applyAlignment="1">
      <alignment horizontal="center"/>
    </xf>
    <xf numFmtId="166" fontId="6" fillId="4" borderId="49" xfId="1" applyNumberFormat="1" applyFont="1" applyFill="1" applyBorder="1" applyAlignment="1">
      <alignment horizontal="center"/>
    </xf>
    <xf numFmtId="166" fontId="6" fillId="4" borderId="14" xfId="1" applyNumberFormat="1" applyFont="1" applyFill="1" applyBorder="1" applyAlignment="1">
      <alignment horizontal="center"/>
    </xf>
    <xf numFmtId="166" fontId="14" fillId="0" borderId="0" xfId="0" applyNumberFormat="1" applyFont="1" applyAlignment="1">
      <alignment horizontal="center" vertical="center" wrapText="1"/>
    </xf>
    <xf numFmtId="44" fontId="6" fillId="0" borderId="7" xfId="1" applyFont="1" applyFill="1" applyBorder="1" applyAlignment="1">
      <alignment vertical="center" wrapText="1"/>
    </xf>
    <xf numFmtId="44" fontId="6" fillId="0" borderId="47" xfId="1" applyFont="1" applyFill="1" applyBorder="1" applyAlignment="1">
      <alignment vertical="center" wrapText="1"/>
    </xf>
    <xf numFmtId="166" fontId="17" fillId="0" borderId="0" xfId="0" applyNumberFormat="1" applyFont="1" applyAlignment="1">
      <alignment horizontal="center" vertical="center" wrapText="1"/>
    </xf>
    <xf numFmtId="44" fontId="14" fillId="0" borderId="16" xfId="1" applyFont="1" applyBorder="1" applyAlignment="1">
      <alignment horizontal="center" vertical="center" wrapText="1"/>
    </xf>
    <xf numFmtId="44" fontId="14" fillId="0" borderId="46" xfId="1" applyFont="1" applyBorder="1" applyAlignment="1">
      <alignment horizontal="center" vertical="center" wrapText="1"/>
    </xf>
    <xf numFmtId="44" fontId="6" fillId="0" borderId="46" xfId="1" applyFont="1" applyBorder="1" applyAlignment="1">
      <alignment horizontal="center"/>
    </xf>
    <xf numFmtId="44" fontId="6" fillId="0" borderId="36" xfId="1" applyFont="1" applyBorder="1" applyAlignment="1">
      <alignment horizontal="center"/>
    </xf>
    <xf numFmtId="44" fontId="15" fillId="0" borderId="16" xfId="1" applyFont="1" applyBorder="1" applyAlignment="1">
      <alignment horizontal="center"/>
    </xf>
    <xf numFmtId="44" fontId="15" fillId="0" borderId="36" xfId="1" applyFont="1" applyBorder="1" applyAlignment="1">
      <alignment horizontal="center"/>
    </xf>
    <xf numFmtId="44" fontId="6" fillId="15" borderId="48" xfId="1" applyFont="1" applyFill="1" applyBorder="1" applyAlignment="1">
      <alignment horizontal="center"/>
    </xf>
    <xf numFmtId="44" fontId="6" fillId="15" borderId="49" xfId="1" applyFont="1" applyFill="1" applyBorder="1" applyAlignment="1">
      <alignment horizontal="center"/>
    </xf>
    <xf numFmtId="166" fontId="6" fillId="15" borderId="49" xfId="1" applyNumberFormat="1" applyFont="1" applyFill="1" applyBorder="1" applyAlignment="1">
      <alignment horizontal="center"/>
    </xf>
    <xf numFmtId="166" fontId="6" fillId="15" borderId="14" xfId="1" applyNumberFormat="1" applyFont="1" applyFill="1" applyBorder="1" applyAlignment="1">
      <alignment horizontal="center"/>
    </xf>
    <xf numFmtId="0" fontId="15" fillId="0" borderId="63" xfId="0" applyFont="1" applyBorder="1" applyAlignment="1">
      <alignment horizontal="center"/>
    </xf>
    <xf numFmtId="166" fontId="14" fillId="0" borderId="62" xfId="0" applyNumberFormat="1" applyFont="1" applyBorder="1" applyAlignment="1">
      <alignment horizontal="center"/>
    </xf>
    <xf numFmtId="166" fontId="14" fillId="0" borderId="61" xfId="0" applyNumberFormat="1" applyFont="1" applyBorder="1" applyAlignment="1">
      <alignment horizontal="center" vertical="center" wrapText="1"/>
    </xf>
    <xf numFmtId="44" fontId="35" fillId="10" borderId="64" xfId="1" applyFont="1" applyFill="1" applyBorder="1" applyAlignment="1">
      <alignment horizontal="center" vertical="center" wrapText="1"/>
    </xf>
    <xf numFmtId="44" fontId="35" fillId="10" borderId="65" xfId="1" applyFont="1" applyFill="1" applyBorder="1" applyAlignment="1">
      <alignment horizontal="center" vertical="center" wrapText="1"/>
    </xf>
    <xf numFmtId="44" fontId="35" fillId="10" borderId="34" xfId="1" applyFont="1" applyFill="1" applyBorder="1" applyAlignment="1">
      <alignment horizontal="center" vertical="center" wrapText="1"/>
    </xf>
    <xf numFmtId="44" fontId="35" fillId="10" borderId="1" xfId="1" applyFont="1" applyFill="1" applyBorder="1" applyAlignment="1">
      <alignment horizontal="center" vertical="center" wrapText="1"/>
    </xf>
    <xf numFmtId="44" fontId="35" fillId="10" borderId="60" xfId="1" applyFont="1" applyFill="1" applyBorder="1" applyAlignment="1">
      <alignment horizontal="center" vertical="center" wrapText="1"/>
    </xf>
    <xf numFmtId="44" fontId="35" fillId="10" borderId="66" xfId="1" applyFont="1" applyFill="1" applyBorder="1" applyAlignment="1">
      <alignment horizontal="center" vertical="center" wrapText="1"/>
    </xf>
    <xf numFmtId="164" fontId="7" fillId="10" borderId="67" xfId="0" applyNumberFormat="1" applyFont="1" applyFill="1" applyBorder="1" applyAlignment="1">
      <alignment horizontal="center" vertical="center" wrapText="1"/>
    </xf>
    <xf numFmtId="164" fontId="7" fillId="10" borderId="59" xfId="0" applyNumberFormat="1" applyFont="1" applyFill="1" applyBorder="1" applyAlignment="1">
      <alignment horizontal="center" vertical="center" wrapText="1"/>
    </xf>
    <xf numFmtId="44" fontId="35" fillId="0" borderId="0" xfId="1" applyFont="1" applyFill="1" applyAlignment="1">
      <alignment horizontal="center" vertical="center"/>
    </xf>
    <xf numFmtId="44" fontId="16" fillId="13" borderId="0" xfId="1" applyFont="1" applyFill="1" applyBorder="1" applyAlignment="1">
      <alignment horizontal="center" wrapText="1"/>
    </xf>
    <xf numFmtId="44" fontId="16" fillId="11" borderId="0" xfId="1" applyFont="1" applyFill="1" applyBorder="1" applyAlignment="1">
      <alignment horizontal="center"/>
    </xf>
    <xf numFmtId="44" fontId="2" fillId="16" borderId="64" xfId="1" applyFont="1" applyFill="1" applyBorder="1" applyAlignment="1">
      <alignment horizontal="center" wrapText="1"/>
    </xf>
    <xf numFmtId="44" fontId="2" fillId="16" borderId="69" xfId="1" applyFont="1" applyFill="1" applyBorder="1" applyAlignment="1">
      <alignment horizontal="center" wrapText="1"/>
    </xf>
    <xf numFmtId="44" fontId="2" fillId="16" borderId="60" xfId="1" applyFont="1" applyFill="1" applyBorder="1" applyAlignment="1">
      <alignment horizontal="center" wrapText="1"/>
    </xf>
    <xf numFmtId="44" fontId="2" fillId="16" borderId="2" xfId="1" applyFont="1" applyFill="1" applyBorder="1" applyAlignment="1">
      <alignment horizontal="center" wrapText="1"/>
    </xf>
    <xf numFmtId="44" fontId="53" fillId="11" borderId="69" xfId="1" applyFont="1" applyFill="1" applyBorder="1" applyAlignment="1">
      <alignment horizontal="center" vertical="center" wrapText="1"/>
    </xf>
    <xf numFmtId="44" fontId="53" fillId="11" borderId="65" xfId="1" applyFont="1" applyFill="1" applyBorder="1" applyAlignment="1">
      <alignment horizontal="center" vertical="center" wrapText="1"/>
    </xf>
    <xf numFmtId="44" fontId="53" fillId="11" borderId="2" xfId="1" applyFont="1" applyFill="1" applyBorder="1" applyAlignment="1">
      <alignment horizontal="center" vertical="center" wrapText="1"/>
    </xf>
    <xf numFmtId="44" fontId="53" fillId="11" borderId="66" xfId="1" applyFont="1" applyFill="1" applyBorder="1" applyAlignment="1">
      <alignment horizontal="center" vertical="center" wrapText="1"/>
    </xf>
    <xf numFmtId="44" fontId="35" fillId="4" borderId="0" xfId="1" applyFont="1" applyFill="1" applyAlignment="1">
      <alignment horizontal="center" vertical="center"/>
    </xf>
    <xf numFmtId="44" fontId="7" fillId="10" borderId="7" xfId="1" applyFont="1" applyFill="1" applyBorder="1" applyAlignment="1">
      <alignment horizontal="center"/>
    </xf>
    <xf numFmtId="44" fontId="7" fillId="10" borderId="47" xfId="1" applyFont="1" applyFill="1" applyBorder="1" applyAlignment="1">
      <alignment horizontal="center"/>
    </xf>
    <xf numFmtId="44" fontId="6" fillId="16" borderId="0" xfId="1" applyFont="1" applyFill="1" applyBorder="1" applyAlignment="1">
      <alignment horizontal="center"/>
    </xf>
    <xf numFmtId="165" fontId="14" fillId="0" borderId="67" xfId="1" applyNumberFormat="1" applyFont="1" applyFill="1" applyBorder="1" applyAlignment="1">
      <alignment horizontal="center" wrapText="1"/>
    </xf>
    <xf numFmtId="165" fontId="14" fillId="0" borderId="59" xfId="1" applyNumberFormat="1" applyFont="1" applyFill="1" applyBorder="1" applyAlignment="1">
      <alignment horizontal="center" wrapText="1"/>
    </xf>
    <xf numFmtId="44" fontId="6" fillId="0" borderId="67" xfId="1" applyFont="1" applyFill="1" applyBorder="1" applyAlignment="1">
      <alignment horizontal="center" vertical="center"/>
    </xf>
    <xf numFmtId="44" fontId="6" fillId="0" borderId="59" xfId="1" applyFont="1" applyFill="1" applyBorder="1" applyAlignment="1">
      <alignment horizontal="center" vertical="center"/>
    </xf>
    <xf numFmtId="44" fontId="14" fillId="16" borderId="7" xfId="1" applyFont="1" applyFill="1" applyBorder="1" applyAlignment="1">
      <alignment horizontal="center"/>
    </xf>
    <xf numFmtId="44" fontId="14" fillId="16" borderId="47" xfId="1" applyFont="1" applyFill="1" applyBorder="1" applyAlignment="1">
      <alignment horizontal="center"/>
    </xf>
    <xf numFmtId="165" fontId="16" fillId="0" borderId="64" xfId="1" applyNumberFormat="1" applyFont="1" applyFill="1" applyBorder="1" applyAlignment="1">
      <alignment horizontal="center" vertical="center"/>
    </xf>
    <xf numFmtId="165" fontId="16" fillId="0" borderId="69" xfId="1" applyNumberFormat="1" applyFont="1" applyFill="1" applyBorder="1" applyAlignment="1">
      <alignment horizontal="center" vertical="center"/>
    </xf>
    <xf numFmtId="165" fontId="16" fillId="0" borderId="60" xfId="1" applyNumberFormat="1" applyFont="1" applyFill="1" applyBorder="1" applyAlignment="1">
      <alignment horizontal="center" vertical="center"/>
    </xf>
    <xf numFmtId="165" fontId="16" fillId="0" borderId="2" xfId="1" applyNumberFormat="1" applyFont="1" applyFill="1" applyBorder="1" applyAlignment="1">
      <alignment horizontal="center" vertical="center"/>
    </xf>
    <xf numFmtId="44" fontId="49" fillId="0" borderId="65" xfId="1" applyFont="1" applyFill="1" applyBorder="1" applyAlignment="1">
      <alignment horizontal="center" vertical="center"/>
    </xf>
    <xf numFmtId="44" fontId="49" fillId="0" borderId="66" xfId="1" applyFont="1" applyFill="1" applyBorder="1" applyAlignment="1">
      <alignment horizontal="center" vertical="center"/>
    </xf>
    <xf numFmtId="44" fontId="15" fillId="0" borderId="46" xfId="1" applyFont="1" applyBorder="1" applyAlignment="1">
      <alignment horizontal="center"/>
    </xf>
    <xf numFmtId="44" fontId="2" fillId="20" borderId="64" xfId="1" applyFont="1" applyFill="1" applyBorder="1" applyAlignment="1">
      <alignment horizontal="center" wrapText="1"/>
    </xf>
    <xf numFmtId="44" fontId="2" fillId="20" borderId="69" xfId="1" applyFont="1" applyFill="1" applyBorder="1" applyAlignment="1">
      <alignment horizontal="center" wrapText="1"/>
    </xf>
    <xf numFmtId="44" fontId="2" fillId="20" borderId="60" xfId="1" applyFont="1" applyFill="1" applyBorder="1" applyAlignment="1">
      <alignment horizontal="center" wrapText="1"/>
    </xf>
    <xf numFmtId="44" fontId="2" fillId="20" borderId="2" xfId="1" applyFont="1" applyFill="1" applyBorder="1" applyAlignment="1">
      <alignment horizontal="center" wrapText="1"/>
    </xf>
    <xf numFmtId="44" fontId="53" fillId="20" borderId="69" xfId="1" applyFont="1" applyFill="1" applyBorder="1" applyAlignment="1">
      <alignment horizontal="center" vertical="center" wrapText="1"/>
    </xf>
    <xf numFmtId="44" fontId="53" fillId="20" borderId="65" xfId="1" applyFont="1" applyFill="1" applyBorder="1" applyAlignment="1">
      <alignment horizontal="center" vertical="center" wrapText="1"/>
    </xf>
    <xf numFmtId="44" fontId="53" fillId="20" borderId="2" xfId="1" applyFont="1" applyFill="1" applyBorder="1" applyAlignment="1">
      <alignment horizontal="center" vertical="center" wrapText="1"/>
    </xf>
    <xf numFmtId="44" fontId="53" fillId="20" borderId="66" xfId="1" applyFont="1" applyFill="1" applyBorder="1" applyAlignment="1">
      <alignment horizontal="center" vertical="center" wrapText="1"/>
    </xf>
    <xf numFmtId="44" fontId="16" fillId="8" borderId="67" xfId="1" applyFont="1" applyFill="1" applyBorder="1" applyAlignment="1">
      <alignment horizontal="center" vertical="center"/>
    </xf>
    <xf numFmtId="44" fontId="16" fillId="8" borderId="59" xfId="1" applyFont="1" applyFill="1" applyBorder="1" applyAlignment="1">
      <alignment horizontal="center" vertical="center"/>
    </xf>
    <xf numFmtId="44" fontId="16" fillId="14" borderId="73" xfId="1" applyFont="1" applyFill="1" applyBorder="1" applyAlignment="1">
      <alignment horizontal="center"/>
    </xf>
    <xf numFmtId="44" fontId="16" fillId="14" borderId="85" xfId="1" applyFont="1" applyFill="1" applyBorder="1" applyAlignment="1">
      <alignment horizontal="center"/>
    </xf>
    <xf numFmtId="7" fontId="35" fillId="20" borderId="86" xfId="1" applyNumberFormat="1" applyFont="1" applyFill="1" applyBorder="1" applyAlignment="1">
      <alignment horizontal="center" vertical="center"/>
    </xf>
    <xf numFmtId="7" fontId="35" fillId="20" borderId="87" xfId="1" applyNumberFormat="1" applyFont="1" applyFill="1" applyBorder="1" applyAlignment="1">
      <alignment horizontal="center" vertical="center"/>
    </xf>
    <xf numFmtId="7" fontId="35" fillId="20" borderId="88" xfId="1" applyNumberFormat="1" applyFont="1" applyFill="1" applyBorder="1" applyAlignment="1">
      <alignment horizontal="center" vertical="center"/>
    </xf>
    <xf numFmtId="7" fontId="35" fillId="20" borderId="89" xfId="1" applyNumberFormat="1" applyFont="1" applyFill="1" applyBorder="1" applyAlignment="1">
      <alignment horizontal="center" vertical="center"/>
    </xf>
    <xf numFmtId="44" fontId="16" fillId="0" borderId="90" xfId="1" applyFont="1" applyFill="1" applyBorder="1" applyAlignment="1">
      <alignment horizontal="center" vertical="center"/>
    </xf>
    <xf numFmtId="44" fontId="16" fillId="0" borderId="92" xfId="1" applyFont="1" applyFill="1" applyBorder="1" applyAlignment="1">
      <alignment horizontal="center" vertical="center"/>
    </xf>
    <xf numFmtId="44" fontId="16" fillId="0" borderId="91" xfId="1" applyFont="1" applyFill="1" applyBorder="1" applyAlignment="1">
      <alignment horizontal="center" vertical="center"/>
    </xf>
    <xf numFmtId="44" fontId="16" fillId="0" borderId="93" xfId="1" applyFont="1" applyFill="1" applyBorder="1" applyAlignment="1">
      <alignment horizontal="center" vertical="center"/>
    </xf>
    <xf numFmtId="44" fontId="16" fillId="14" borderId="0" xfId="1" applyFont="1" applyFill="1" applyAlignment="1">
      <alignment horizontal="center"/>
    </xf>
    <xf numFmtId="44" fontId="16" fillId="6" borderId="0" xfId="1" applyFont="1" applyFill="1" applyBorder="1" applyAlignment="1">
      <alignment horizontal="center" wrapText="1"/>
    </xf>
    <xf numFmtId="0" fontId="15" fillId="0" borderId="48" xfId="0" applyFont="1" applyBorder="1" applyAlignment="1">
      <alignment horizontal="center"/>
    </xf>
    <xf numFmtId="44" fontId="16" fillId="16" borderId="0" xfId="1" applyFont="1" applyFill="1" applyBorder="1" applyAlignment="1">
      <alignment horizontal="center" wrapText="1"/>
    </xf>
    <xf numFmtId="44" fontId="2" fillId="0" borderId="0" xfId="1" applyFont="1" applyFill="1" applyAlignment="1">
      <alignment horizontal="center"/>
    </xf>
    <xf numFmtId="44" fontId="2" fillId="8" borderId="64" xfId="1" applyFont="1" applyFill="1" applyBorder="1" applyAlignment="1">
      <alignment horizontal="center" wrapText="1"/>
    </xf>
    <xf numFmtId="44" fontId="2" fillId="8" borderId="69" xfId="1" applyFont="1" applyFill="1" applyBorder="1" applyAlignment="1">
      <alignment horizontal="center" wrapText="1"/>
    </xf>
    <xf numFmtId="44" fontId="2" fillId="8" borderId="60" xfId="1" applyFont="1" applyFill="1" applyBorder="1" applyAlignment="1">
      <alignment horizontal="center" wrapText="1"/>
    </xf>
    <xf numFmtId="44" fontId="2" fillId="8" borderId="2" xfId="1" applyFont="1" applyFill="1" applyBorder="1" applyAlignment="1">
      <alignment horizontal="center" wrapText="1"/>
    </xf>
    <xf numFmtId="166" fontId="35" fillId="11" borderId="86" xfId="1" applyNumberFormat="1" applyFont="1" applyFill="1" applyBorder="1" applyAlignment="1">
      <alignment horizontal="center" vertical="center"/>
    </xf>
    <xf numFmtId="166" fontId="35" fillId="11" borderId="87" xfId="1" applyNumberFormat="1" applyFont="1" applyFill="1" applyBorder="1" applyAlignment="1">
      <alignment horizontal="center" vertical="center"/>
    </xf>
    <xf numFmtId="166" fontId="35" fillId="11" borderId="88" xfId="1" applyNumberFormat="1" applyFont="1" applyFill="1" applyBorder="1" applyAlignment="1">
      <alignment horizontal="center" vertical="center"/>
    </xf>
    <xf numFmtId="166" fontId="35" fillId="11" borderId="89" xfId="1" applyNumberFormat="1" applyFont="1" applyFill="1" applyBorder="1" applyAlignment="1">
      <alignment horizontal="center" vertical="center"/>
    </xf>
    <xf numFmtId="44" fontId="7" fillId="7" borderId="98" xfId="1" applyFont="1" applyFill="1" applyBorder="1" applyAlignment="1">
      <alignment horizontal="center" wrapText="1"/>
    </xf>
    <xf numFmtId="44" fontId="7" fillId="7" borderId="101" xfId="1" applyFont="1" applyFill="1" applyBorder="1" applyAlignment="1">
      <alignment horizontal="center" wrapText="1"/>
    </xf>
    <xf numFmtId="7" fontId="6" fillId="11" borderId="73" xfId="1" applyNumberFormat="1" applyFont="1" applyFill="1" applyBorder="1" applyAlignment="1">
      <alignment horizontal="center"/>
    </xf>
    <xf numFmtId="7" fontId="6" fillId="11" borderId="85" xfId="1" applyNumberFormat="1" applyFont="1" applyFill="1" applyBorder="1" applyAlignment="1">
      <alignment horizontal="center"/>
    </xf>
    <xf numFmtId="7" fontId="6" fillId="11" borderId="86" xfId="1" applyNumberFormat="1" applyFont="1" applyFill="1" applyBorder="1" applyAlignment="1">
      <alignment horizontal="center"/>
    </xf>
    <xf numFmtId="7" fontId="6" fillId="11" borderId="87" xfId="1" applyNumberFormat="1" applyFont="1" applyFill="1" applyBorder="1" applyAlignment="1">
      <alignment horizontal="center"/>
    </xf>
    <xf numFmtId="7" fontId="35" fillId="7" borderId="96" xfId="1" applyNumberFormat="1" applyFont="1" applyFill="1" applyBorder="1" applyAlignment="1">
      <alignment horizontal="center"/>
    </xf>
    <xf numFmtId="44" fontId="35" fillId="7" borderId="97" xfId="1" applyFont="1" applyFill="1" applyBorder="1" applyAlignment="1">
      <alignment horizontal="center"/>
    </xf>
    <xf numFmtId="44" fontId="35" fillId="7" borderId="99" xfId="1" applyFont="1" applyFill="1" applyBorder="1" applyAlignment="1">
      <alignment horizontal="center"/>
    </xf>
    <xf numFmtId="44" fontId="35" fillId="7" borderId="100" xfId="1" applyFont="1" applyFill="1" applyBorder="1" applyAlignment="1">
      <alignment horizontal="center"/>
    </xf>
    <xf numFmtId="44" fontId="16" fillId="8" borderId="82" xfId="1" applyFont="1" applyFill="1" applyBorder="1" applyAlignment="1">
      <alignment horizontal="center" vertical="center"/>
    </xf>
    <xf numFmtId="44" fontId="16" fillId="8" borderId="95" xfId="1" applyFont="1" applyFill="1" applyBorder="1" applyAlignment="1">
      <alignment horizontal="center" vertical="center"/>
    </xf>
    <xf numFmtId="0" fontId="7" fillId="0" borderId="7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7" fillId="0" borderId="47" xfId="0" applyFont="1" applyBorder="1" applyAlignment="1">
      <alignment horizontal="center"/>
    </xf>
    <xf numFmtId="7" fontId="35" fillId="4" borderId="16" xfId="0" applyNumberFormat="1" applyFont="1" applyFill="1" applyBorder="1" applyAlignment="1">
      <alignment horizontal="center"/>
    </xf>
    <xf numFmtId="7" fontId="35" fillId="4" borderId="36" xfId="0" applyNumberFormat="1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7" fontId="6" fillId="0" borderId="0" xfId="1" applyNumberFormat="1" applyFont="1" applyFill="1" applyBorder="1" applyAlignment="1">
      <alignment horizontal="center" vertical="center"/>
    </xf>
    <xf numFmtId="44" fontId="16" fillId="0" borderId="0" xfId="1" applyFont="1" applyFill="1" applyBorder="1" applyAlignment="1">
      <alignment horizontal="center"/>
    </xf>
    <xf numFmtId="44" fontId="16" fillId="0" borderId="0" xfId="1" applyFont="1" applyFill="1" applyBorder="1" applyAlignment="1">
      <alignment horizontal="center" vertical="center"/>
    </xf>
    <xf numFmtId="166" fontId="6" fillId="11" borderId="86" xfId="1" applyNumberFormat="1" applyFont="1" applyFill="1" applyBorder="1" applyAlignment="1">
      <alignment horizontal="center" vertical="center"/>
    </xf>
    <xf numFmtId="166" fontId="6" fillId="11" borderId="87" xfId="1" applyNumberFormat="1" applyFont="1" applyFill="1" applyBorder="1" applyAlignment="1">
      <alignment horizontal="center" vertical="center"/>
    </xf>
    <xf numFmtId="166" fontId="6" fillId="11" borderId="88" xfId="1" applyNumberFormat="1" applyFont="1" applyFill="1" applyBorder="1" applyAlignment="1">
      <alignment horizontal="center" vertical="center"/>
    </xf>
    <xf numFmtId="166" fontId="6" fillId="11" borderId="89" xfId="1" applyNumberFormat="1" applyFont="1" applyFill="1" applyBorder="1" applyAlignment="1">
      <alignment horizontal="center" vertical="center"/>
    </xf>
    <xf numFmtId="44" fontId="2" fillId="7" borderId="18" xfId="1" applyFont="1" applyFill="1" applyBorder="1"/>
    <xf numFmtId="166" fontId="19" fillId="7" borderId="10" xfId="0" applyNumberFormat="1" applyFont="1" applyFill="1" applyBorder="1"/>
    <xf numFmtId="15" fontId="2" fillId="7" borderId="19" xfId="0" applyNumberFormat="1" applyFont="1" applyFill="1" applyBorder="1"/>
    <xf numFmtId="44" fontId="2" fillId="7" borderId="20" xfId="1" applyFont="1" applyFill="1" applyBorder="1"/>
    <xf numFmtId="0" fontId="0" fillId="7" borderId="0" xfId="0" applyFill="1"/>
    <xf numFmtId="15" fontId="2" fillId="7" borderId="5" xfId="0" applyNumberFormat="1" applyFont="1" applyFill="1" applyBorder="1"/>
    <xf numFmtId="44" fontId="2" fillId="7" borderId="21" xfId="1" applyFont="1" applyFill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CC99FF"/>
      <color rgb="FF9966FF"/>
      <color rgb="FF66FFFF"/>
      <color rgb="FFFF3300"/>
      <color rgb="FF00FF00"/>
      <color rgb="FF800000"/>
      <color rgb="FF99CCFF"/>
      <color rgb="FF990033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933449</xdr:colOff>
      <xdr:row>62</xdr:row>
      <xdr:rowOff>66676</xdr:rowOff>
    </xdr:from>
    <xdr:to>
      <xdr:col>13</xdr:col>
      <xdr:colOff>228599</xdr:colOff>
      <xdr:row>62</xdr:row>
      <xdr:rowOff>190503</xdr:rowOff>
    </xdr:to>
    <xdr:sp macro="" textlink="">
      <xdr:nvSpPr>
        <xdr:cNvPr id="2" name="Cerrar llav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 rot="5400000">
          <a:off x="10991848" y="12668252"/>
          <a:ext cx="123827" cy="504825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68</xdr:row>
      <xdr:rowOff>144757</xdr:rowOff>
    </xdr:from>
    <xdr:ext cx="2599476" cy="370071"/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 rot="18916712">
          <a:off x="9686779" y="14346532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endParaRPr lang="es-ES" sz="1400" b="1" cap="none" spc="0" baseline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  <a:p>
          <a:pPr algn="ctr"/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6</xdr:col>
      <xdr:colOff>38100</xdr:colOff>
      <xdr:row>63</xdr:row>
      <xdr:rowOff>200024</xdr:rowOff>
    </xdr:from>
    <xdr:to>
      <xdr:col>6</xdr:col>
      <xdr:colOff>285750</xdr:colOff>
      <xdr:row>64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 rot="10800000" flipV="1">
          <a:off x="5105400" y="13249274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61</xdr:row>
      <xdr:rowOff>123825</xdr:rowOff>
    </xdr:from>
    <xdr:to>
      <xdr:col>7</xdr:col>
      <xdr:colOff>295275</xdr:colOff>
      <xdr:row>63</xdr:row>
      <xdr:rowOff>19050</xdr:rowOff>
    </xdr:to>
    <xdr:cxnSp macro="">
      <xdr:nvCxnSpPr>
        <xdr:cNvPr id="5" name="1 Conector recto de fl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5019675" y="12706350"/>
          <a:ext cx="533400" cy="3619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63</xdr:row>
      <xdr:rowOff>200024</xdr:rowOff>
    </xdr:from>
    <xdr:to>
      <xdr:col>6</xdr:col>
      <xdr:colOff>285750</xdr:colOff>
      <xdr:row>64</xdr:row>
      <xdr:rowOff>85724</xdr:rowOff>
    </xdr:to>
    <xdr:cxnSp macro="">
      <xdr:nvCxnSpPr>
        <xdr:cNvPr id="6" name="2 Conector recto de flecha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CxnSpPr/>
      </xdr:nvCxnSpPr>
      <xdr:spPr>
        <a:xfrm rot="10800000" flipV="1">
          <a:off x="5105400" y="13249274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61</xdr:row>
      <xdr:rowOff>104775</xdr:rowOff>
    </xdr:from>
    <xdr:to>
      <xdr:col>5</xdr:col>
      <xdr:colOff>85725</xdr:colOff>
      <xdr:row>63</xdr:row>
      <xdr:rowOff>133350</xdr:rowOff>
    </xdr:to>
    <xdr:cxnSp macro="">
      <xdr:nvCxnSpPr>
        <xdr:cNvPr id="7" name="Conector recto de flecha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CxnSpPr/>
      </xdr:nvCxnSpPr>
      <xdr:spPr>
        <a:xfrm>
          <a:off x="2181225" y="12687300"/>
          <a:ext cx="1781175" cy="4953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61</xdr:row>
      <xdr:rowOff>200023</xdr:rowOff>
    </xdr:from>
    <xdr:to>
      <xdr:col>11</xdr:col>
      <xdr:colOff>133352</xdr:colOff>
      <xdr:row>62</xdr:row>
      <xdr:rowOff>190499</xdr:rowOff>
    </xdr:to>
    <xdr:sp macro="" textlink="">
      <xdr:nvSpPr>
        <xdr:cNvPr id="8" name="Abrir llav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 rot="16200000">
          <a:off x="7772401" y="11725272"/>
          <a:ext cx="200026" cy="23145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67</xdr:row>
      <xdr:rowOff>144757</xdr:rowOff>
    </xdr:from>
    <xdr:ext cx="2599476" cy="370071"/>
    <xdr:sp macro="" textlink="">
      <xdr:nvSpPr>
        <xdr:cNvPr id="9" name="Rectángulo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 rot="18916712">
          <a:off x="9686779" y="14108407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65</xdr:row>
      <xdr:rowOff>85725</xdr:rowOff>
    </xdr:from>
    <xdr:to>
      <xdr:col>7</xdr:col>
      <xdr:colOff>695325</xdr:colOff>
      <xdr:row>69</xdr:row>
      <xdr:rowOff>180975</xdr:rowOff>
    </xdr:to>
    <xdr:cxnSp macro="">
      <xdr:nvCxnSpPr>
        <xdr:cNvPr id="10" name="Conector recto de flecha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CxnSpPr/>
      </xdr:nvCxnSpPr>
      <xdr:spPr>
        <a:xfrm flipV="1">
          <a:off x="5029200" y="13601700"/>
          <a:ext cx="923925" cy="102870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15968</xdr:colOff>
      <xdr:row>61</xdr:row>
      <xdr:rowOff>165481</xdr:rowOff>
    </xdr:from>
    <xdr:to>
      <xdr:col>17</xdr:col>
      <xdr:colOff>44035</xdr:colOff>
      <xdr:row>63</xdr:row>
      <xdr:rowOff>144077</xdr:rowOff>
    </xdr:to>
    <xdr:sp macro="" textlink="">
      <xdr:nvSpPr>
        <xdr:cNvPr id="11" name="Cerrar llave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 rot="5400000">
          <a:off x="13332841" y="10537283"/>
          <a:ext cx="445321" cy="2028317"/>
        </a:xfrm>
        <a:prstGeom prst="rightBrace">
          <a:avLst>
            <a:gd name="adj1" fmla="val 8333"/>
            <a:gd name="adj2" fmla="val 47890"/>
          </a:avLst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CxnSpPr/>
      </xdr:nvCxnSpPr>
      <xdr:spPr>
        <a:xfrm rot="10800000" flipV="1">
          <a:off x="5105400" y="15916274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CxnSpPr/>
      </xdr:nvCxnSpPr>
      <xdr:spPr>
        <a:xfrm>
          <a:off x="5019675" y="15373350"/>
          <a:ext cx="533400" cy="3619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CxnSpPr/>
      </xdr:nvCxnSpPr>
      <xdr:spPr>
        <a:xfrm rot="10800000" flipV="1">
          <a:off x="5105400" y="15916274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5</xdr:col>
      <xdr:colOff>85725</xdr:colOff>
      <xdr:row>68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CxnSpPr/>
      </xdr:nvCxnSpPr>
      <xdr:spPr>
        <a:xfrm>
          <a:off x="2181225" y="15354300"/>
          <a:ext cx="1781175" cy="4953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66</xdr:row>
      <xdr:rowOff>200023</xdr:rowOff>
    </xdr:from>
    <xdr:to>
      <xdr:col>11</xdr:col>
      <xdr:colOff>133352</xdr:colOff>
      <xdr:row>67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SpPr/>
      </xdr:nvSpPr>
      <xdr:spPr>
        <a:xfrm rot="16200000">
          <a:off x="7677151" y="1448752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70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SpPr/>
      </xdr:nvSpPr>
      <xdr:spPr>
        <a:xfrm rot="18916712">
          <a:off x="0" y="1624722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70</xdr:row>
      <xdr:rowOff>85725</xdr:rowOff>
    </xdr:from>
    <xdr:to>
      <xdr:col>7</xdr:col>
      <xdr:colOff>695325</xdr:colOff>
      <xdr:row>74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CxnSpPr/>
      </xdr:nvCxnSpPr>
      <xdr:spPr>
        <a:xfrm flipV="1">
          <a:off x="5029200" y="16268700"/>
          <a:ext cx="923925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971550</xdr:colOff>
      <xdr:row>23</xdr:row>
      <xdr:rowOff>76200</xdr:rowOff>
    </xdr:from>
    <xdr:to>
      <xdr:col>31</xdr:col>
      <xdr:colOff>409575</xdr:colOff>
      <xdr:row>28</xdr:row>
      <xdr:rowOff>76200</xdr:rowOff>
    </xdr:to>
    <xdr:cxnSp macro="">
      <xdr:nvCxnSpPr>
        <xdr:cNvPr id="9" name="Conector: angular 11">
          <a:extLst>
            <a:ext uri="{FF2B5EF4-FFF2-40B4-BE49-F238E27FC236}">
              <a16:creationId xmlns:a16="http://schemas.microsoft.com/office/drawing/2014/main" id="{00000000-0008-0000-0F00-000009000000}"/>
            </a:ext>
          </a:extLst>
        </xdr:cNvPr>
        <xdr:cNvCxnSpPr/>
      </xdr:nvCxnSpPr>
      <xdr:spPr>
        <a:xfrm flipV="1">
          <a:off x="25755600" y="5429250"/>
          <a:ext cx="2114550" cy="1266825"/>
        </a:xfrm>
        <a:prstGeom prst="bentConnector3">
          <a:avLst>
            <a:gd name="adj1" fmla="val 40541"/>
          </a:avLst>
        </a:prstGeom>
        <a:ln>
          <a:headEnd type="triangle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31</xdr:col>
      <xdr:colOff>485447</xdr:colOff>
      <xdr:row>22</xdr:row>
      <xdr:rowOff>249788</xdr:rowOff>
    </xdr:from>
    <xdr:to>
      <xdr:col>32</xdr:col>
      <xdr:colOff>493590</xdr:colOff>
      <xdr:row>25</xdr:row>
      <xdr:rowOff>164063</xdr:rowOff>
    </xdr:to>
    <xdr:sp macro="" textlink="">
      <xdr:nvSpPr>
        <xdr:cNvPr id="10" name="Abrir llave 9">
          <a:extLst>
            <a:ext uri="{FF2B5EF4-FFF2-40B4-BE49-F238E27FC236}">
              <a16:creationId xmlns:a16="http://schemas.microsoft.com/office/drawing/2014/main" id="{00000000-0008-0000-0F00-00000A000000}"/>
            </a:ext>
          </a:extLst>
        </xdr:cNvPr>
        <xdr:cNvSpPr/>
      </xdr:nvSpPr>
      <xdr:spPr>
        <a:xfrm rot="1514994">
          <a:off x="27946022" y="5355188"/>
          <a:ext cx="865393" cy="695325"/>
        </a:xfrm>
        <a:prstGeom prst="lef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933449</xdr:colOff>
      <xdr:row>62</xdr:row>
      <xdr:rowOff>66676</xdr:rowOff>
    </xdr:from>
    <xdr:to>
      <xdr:col>13</xdr:col>
      <xdr:colOff>228599</xdr:colOff>
      <xdr:row>62</xdr:row>
      <xdr:rowOff>190503</xdr:rowOff>
    </xdr:to>
    <xdr:sp macro="" textlink="">
      <xdr:nvSpPr>
        <xdr:cNvPr id="2" name="Cerrar llav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 rot="5400000">
          <a:off x="11312840" y="12120565"/>
          <a:ext cx="123827" cy="537210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68</xdr:row>
      <xdr:rowOff>144757</xdr:rowOff>
    </xdr:from>
    <xdr:ext cx="2599476" cy="370071"/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 rot="18916712">
          <a:off x="9964909" y="13776937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endParaRPr lang="es-ES" sz="1400" b="1" cap="none" spc="0" baseline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  <a:p>
          <a:pPr algn="ctr"/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6</xdr:col>
      <xdr:colOff>38100</xdr:colOff>
      <xdr:row>63</xdr:row>
      <xdr:rowOff>200024</xdr:rowOff>
    </xdr:from>
    <xdr:to>
      <xdr:col>6</xdr:col>
      <xdr:colOff>285750</xdr:colOff>
      <xdr:row>64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CxnSpPr/>
      </xdr:nvCxnSpPr>
      <xdr:spPr>
        <a:xfrm rot="10800000" flipV="1">
          <a:off x="5265420" y="12704444"/>
          <a:ext cx="156210" cy="9906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61</xdr:row>
      <xdr:rowOff>123825</xdr:rowOff>
    </xdr:from>
    <xdr:to>
      <xdr:col>7</xdr:col>
      <xdr:colOff>295275</xdr:colOff>
      <xdr:row>63</xdr:row>
      <xdr:rowOff>19050</xdr:rowOff>
    </xdr:to>
    <xdr:cxnSp macro="">
      <xdr:nvCxnSpPr>
        <xdr:cNvPr id="5" name="1 Conector recto de flecha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>
          <a:off x="5143500" y="12178665"/>
          <a:ext cx="577215" cy="34480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63</xdr:row>
      <xdr:rowOff>200024</xdr:rowOff>
    </xdr:from>
    <xdr:to>
      <xdr:col>6</xdr:col>
      <xdr:colOff>285750</xdr:colOff>
      <xdr:row>64</xdr:row>
      <xdr:rowOff>85724</xdr:rowOff>
    </xdr:to>
    <xdr:cxnSp macro="">
      <xdr:nvCxnSpPr>
        <xdr:cNvPr id="6" name="2 Conector recto de flecha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CxnSpPr/>
      </xdr:nvCxnSpPr>
      <xdr:spPr>
        <a:xfrm rot="10800000" flipV="1">
          <a:off x="5265420" y="12704444"/>
          <a:ext cx="156210" cy="9906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61</xdr:row>
      <xdr:rowOff>104775</xdr:rowOff>
    </xdr:from>
    <xdr:to>
      <xdr:col>5</xdr:col>
      <xdr:colOff>85725</xdr:colOff>
      <xdr:row>63</xdr:row>
      <xdr:rowOff>133350</xdr:rowOff>
    </xdr:to>
    <xdr:cxnSp macro="">
      <xdr:nvCxnSpPr>
        <xdr:cNvPr id="7" name="Conector recto de flecha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CxnSpPr/>
      </xdr:nvCxnSpPr>
      <xdr:spPr>
        <a:xfrm>
          <a:off x="2242185" y="12159615"/>
          <a:ext cx="1844040" cy="47815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61</xdr:row>
      <xdr:rowOff>200023</xdr:rowOff>
    </xdr:from>
    <xdr:to>
      <xdr:col>11</xdr:col>
      <xdr:colOff>133352</xdr:colOff>
      <xdr:row>62</xdr:row>
      <xdr:rowOff>190499</xdr:rowOff>
    </xdr:to>
    <xdr:sp macro="" textlink="">
      <xdr:nvSpPr>
        <xdr:cNvPr id="8" name="Abrir llave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/>
      </xdr:nvSpPr>
      <xdr:spPr>
        <a:xfrm rot="16200000">
          <a:off x="8012431" y="11155677"/>
          <a:ext cx="196216" cy="239458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67</xdr:row>
      <xdr:rowOff>144757</xdr:rowOff>
    </xdr:from>
    <xdr:ext cx="2599476" cy="370071"/>
    <xdr:sp macro="" textlink="">
      <xdr:nvSpPr>
        <xdr:cNvPr id="9" name="Rectángulo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/>
      </xdr:nvSpPr>
      <xdr:spPr>
        <a:xfrm rot="18916712">
          <a:off x="9964909" y="13540717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65</xdr:row>
      <xdr:rowOff>85725</xdr:rowOff>
    </xdr:from>
    <xdr:to>
      <xdr:col>7</xdr:col>
      <xdr:colOff>695325</xdr:colOff>
      <xdr:row>69</xdr:row>
      <xdr:rowOff>180975</xdr:rowOff>
    </xdr:to>
    <xdr:cxnSp macro="">
      <xdr:nvCxnSpPr>
        <xdr:cNvPr id="10" name="Conector recto de flecha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CxnSpPr/>
      </xdr:nvCxnSpPr>
      <xdr:spPr>
        <a:xfrm flipV="1">
          <a:off x="5153025" y="13047345"/>
          <a:ext cx="967740" cy="97155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933449</xdr:colOff>
      <xdr:row>60</xdr:row>
      <xdr:rowOff>66676</xdr:rowOff>
    </xdr:from>
    <xdr:to>
      <xdr:col>13</xdr:col>
      <xdr:colOff>228599</xdr:colOff>
      <xdr:row>60</xdr:row>
      <xdr:rowOff>190503</xdr:rowOff>
    </xdr:to>
    <xdr:sp macro="" textlink="">
      <xdr:nvSpPr>
        <xdr:cNvPr id="2" name="Cerrar llav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 rot="5400000">
          <a:off x="10991848" y="9239252"/>
          <a:ext cx="123827" cy="504825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66</xdr:row>
      <xdr:rowOff>144757</xdr:rowOff>
    </xdr:from>
    <xdr:ext cx="2599476" cy="370071"/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/>
      </xdr:nvSpPr>
      <xdr:spPr>
        <a:xfrm rot="18916712">
          <a:off x="9686779" y="10917532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endParaRPr lang="es-ES" sz="1400" b="1" cap="none" spc="0" baseline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  <a:p>
          <a:pPr algn="ctr"/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6</xdr:col>
      <xdr:colOff>38100</xdr:colOff>
      <xdr:row>61</xdr:row>
      <xdr:rowOff>200024</xdr:rowOff>
    </xdr:from>
    <xdr:to>
      <xdr:col>6</xdr:col>
      <xdr:colOff>285750</xdr:colOff>
      <xdr:row>62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CxnSpPr/>
      </xdr:nvCxnSpPr>
      <xdr:spPr>
        <a:xfrm rot="10800000" flipV="1">
          <a:off x="5105400" y="9820274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59</xdr:row>
      <xdr:rowOff>123825</xdr:rowOff>
    </xdr:from>
    <xdr:to>
      <xdr:col>7</xdr:col>
      <xdr:colOff>295275</xdr:colOff>
      <xdr:row>61</xdr:row>
      <xdr:rowOff>19050</xdr:rowOff>
    </xdr:to>
    <xdr:cxnSp macro="">
      <xdr:nvCxnSpPr>
        <xdr:cNvPr id="5" name="1 Conector recto de flecha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CxnSpPr/>
      </xdr:nvCxnSpPr>
      <xdr:spPr>
        <a:xfrm>
          <a:off x="5019675" y="9277350"/>
          <a:ext cx="533400" cy="3619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61</xdr:row>
      <xdr:rowOff>200024</xdr:rowOff>
    </xdr:from>
    <xdr:to>
      <xdr:col>6</xdr:col>
      <xdr:colOff>285750</xdr:colOff>
      <xdr:row>62</xdr:row>
      <xdr:rowOff>85724</xdr:rowOff>
    </xdr:to>
    <xdr:cxnSp macro="">
      <xdr:nvCxnSpPr>
        <xdr:cNvPr id="6" name="2 Conector recto de flecha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CxnSpPr/>
      </xdr:nvCxnSpPr>
      <xdr:spPr>
        <a:xfrm rot="10800000" flipV="1">
          <a:off x="5105400" y="9820274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59</xdr:row>
      <xdr:rowOff>104775</xdr:rowOff>
    </xdr:from>
    <xdr:to>
      <xdr:col>5</xdr:col>
      <xdr:colOff>85725</xdr:colOff>
      <xdr:row>61</xdr:row>
      <xdr:rowOff>133350</xdr:rowOff>
    </xdr:to>
    <xdr:cxnSp macro="">
      <xdr:nvCxnSpPr>
        <xdr:cNvPr id="7" name="Conector recto de flecha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CxnSpPr/>
      </xdr:nvCxnSpPr>
      <xdr:spPr>
        <a:xfrm>
          <a:off x="2181225" y="9258300"/>
          <a:ext cx="1781175" cy="4953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59</xdr:row>
      <xdr:rowOff>200023</xdr:rowOff>
    </xdr:from>
    <xdr:to>
      <xdr:col>11</xdr:col>
      <xdr:colOff>133352</xdr:colOff>
      <xdr:row>60</xdr:row>
      <xdr:rowOff>190499</xdr:rowOff>
    </xdr:to>
    <xdr:sp macro="" textlink="">
      <xdr:nvSpPr>
        <xdr:cNvPr id="8" name="Abrir llave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/>
      </xdr:nvSpPr>
      <xdr:spPr>
        <a:xfrm rot="16200000">
          <a:off x="7772401" y="8296272"/>
          <a:ext cx="200026" cy="23145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65</xdr:row>
      <xdr:rowOff>144757</xdr:rowOff>
    </xdr:from>
    <xdr:ext cx="2599476" cy="370071"/>
    <xdr:sp macro="" textlink="">
      <xdr:nvSpPr>
        <xdr:cNvPr id="9" name="Rectángulo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/>
      </xdr:nvSpPr>
      <xdr:spPr>
        <a:xfrm rot="18916712">
          <a:off x="9686779" y="10679407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63</xdr:row>
      <xdr:rowOff>85725</xdr:rowOff>
    </xdr:from>
    <xdr:to>
      <xdr:col>7</xdr:col>
      <xdr:colOff>695325</xdr:colOff>
      <xdr:row>67</xdr:row>
      <xdr:rowOff>180975</xdr:rowOff>
    </xdr:to>
    <xdr:cxnSp macro="">
      <xdr:nvCxnSpPr>
        <xdr:cNvPr id="10" name="Conector recto de flecha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CxnSpPr/>
      </xdr:nvCxnSpPr>
      <xdr:spPr>
        <a:xfrm flipV="1">
          <a:off x="5029200" y="10172700"/>
          <a:ext cx="923925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933449</xdr:colOff>
      <xdr:row>56</xdr:row>
      <xdr:rowOff>66676</xdr:rowOff>
    </xdr:from>
    <xdr:to>
      <xdr:col>13</xdr:col>
      <xdr:colOff>228599</xdr:colOff>
      <xdr:row>56</xdr:row>
      <xdr:rowOff>190503</xdr:rowOff>
    </xdr:to>
    <xdr:sp macro="" textlink="">
      <xdr:nvSpPr>
        <xdr:cNvPr id="2" name="Cerrar llav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 rot="5400000">
          <a:off x="10991848" y="12458702"/>
          <a:ext cx="123827" cy="504825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62</xdr:row>
      <xdr:rowOff>144757</xdr:rowOff>
    </xdr:from>
    <xdr:ext cx="2599476" cy="370071"/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/>
      </xdr:nvSpPr>
      <xdr:spPr>
        <a:xfrm rot="18916712">
          <a:off x="9686779" y="14136982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endParaRPr lang="es-ES" sz="1400" b="1" cap="none" spc="0" baseline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  <a:p>
          <a:pPr algn="ctr"/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6</xdr:col>
      <xdr:colOff>38100</xdr:colOff>
      <xdr:row>57</xdr:row>
      <xdr:rowOff>200024</xdr:rowOff>
    </xdr:from>
    <xdr:to>
      <xdr:col>6</xdr:col>
      <xdr:colOff>285750</xdr:colOff>
      <xdr:row>58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CxnSpPr/>
      </xdr:nvCxnSpPr>
      <xdr:spPr>
        <a:xfrm rot="10800000" flipV="1">
          <a:off x="5105400" y="13039724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55</xdr:row>
      <xdr:rowOff>123825</xdr:rowOff>
    </xdr:from>
    <xdr:to>
      <xdr:col>7</xdr:col>
      <xdr:colOff>295275</xdr:colOff>
      <xdr:row>57</xdr:row>
      <xdr:rowOff>19050</xdr:rowOff>
    </xdr:to>
    <xdr:cxnSp macro="">
      <xdr:nvCxnSpPr>
        <xdr:cNvPr id="5" name="1 Conector recto de flecha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CxnSpPr/>
      </xdr:nvCxnSpPr>
      <xdr:spPr>
        <a:xfrm>
          <a:off x="5019675" y="12496800"/>
          <a:ext cx="533400" cy="3619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57</xdr:row>
      <xdr:rowOff>200024</xdr:rowOff>
    </xdr:from>
    <xdr:to>
      <xdr:col>6</xdr:col>
      <xdr:colOff>285750</xdr:colOff>
      <xdr:row>58</xdr:row>
      <xdr:rowOff>85724</xdr:rowOff>
    </xdr:to>
    <xdr:cxnSp macro="">
      <xdr:nvCxnSpPr>
        <xdr:cNvPr id="6" name="2 Conector recto de flecha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CxnSpPr/>
      </xdr:nvCxnSpPr>
      <xdr:spPr>
        <a:xfrm rot="10800000" flipV="1">
          <a:off x="5105400" y="13039724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55</xdr:row>
      <xdr:rowOff>104775</xdr:rowOff>
    </xdr:from>
    <xdr:to>
      <xdr:col>5</xdr:col>
      <xdr:colOff>85725</xdr:colOff>
      <xdr:row>57</xdr:row>
      <xdr:rowOff>133350</xdr:rowOff>
    </xdr:to>
    <xdr:cxnSp macro="">
      <xdr:nvCxnSpPr>
        <xdr:cNvPr id="7" name="Conector recto de flecha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CxnSpPr/>
      </xdr:nvCxnSpPr>
      <xdr:spPr>
        <a:xfrm>
          <a:off x="2181225" y="12477750"/>
          <a:ext cx="1781175" cy="4953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55</xdr:row>
      <xdr:rowOff>200023</xdr:rowOff>
    </xdr:from>
    <xdr:to>
      <xdr:col>11</xdr:col>
      <xdr:colOff>133352</xdr:colOff>
      <xdr:row>56</xdr:row>
      <xdr:rowOff>190499</xdr:rowOff>
    </xdr:to>
    <xdr:sp macro="" textlink="">
      <xdr:nvSpPr>
        <xdr:cNvPr id="8" name="Abrir llave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SpPr/>
      </xdr:nvSpPr>
      <xdr:spPr>
        <a:xfrm rot="16200000">
          <a:off x="7772401" y="11515722"/>
          <a:ext cx="200026" cy="23145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61</xdr:row>
      <xdr:rowOff>144757</xdr:rowOff>
    </xdr:from>
    <xdr:ext cx="2599476" cy="370071"/>
    <xdr:sp macro="" textlink="">
      <xdr:nvSpPr>
        <xdr:cNvPr id="9" name="Rectángulo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SpPr/>
      </xdr:nvSpPr>
      <xdr:spPr>
        <a:xfrm rot="18916712">
          <a:off x="9686779" y="13898857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59</xdr:row>
      <xdr:rowOff>85725</xdr:rowOff>
    </xdr:from>
    <xdr:to>
      <xdr:col>7</xdr:col>
      <xdr:colOff>695325</xdr:colOff>
      <xdr:row>63</xdr:row>
      <xdr:rowOff>180975</xdr:rowOff>
    </xdr:to>
    <xdr:cxnSp macro="">
      <xdr:nvCxnSpPr>
        <xdr:cNvPr id="10" name="Conector recto de flecha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CxnSpPr/>
      </xdr:nvCxnSpPr>
      <xdr:spPr>
        <a:xfrm flipV="1">
          <a:off x="5029200" y="13392150"/>
          <a:ext cx="923925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933449</xdr:colOff>
      <xdr:row>62</xdr:row>
      <xdr:rowOff>66676</xdr:rowOff>
    </xdr:from>
    <xdr:to>
      <xdr:col>13</xdr:col>
      <xdr:colOff>228599</xdr:colOff>
      <xdr:row>62</xdr:row>
      <xdr:rowOff>190503</xdr:rowOff>
    </xdr:to>
    <xdr:sp macro="" textlink="">
      <xdr:nvSpPr>
        <xdr:cNvPr id="2" name="Cerrar llav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/>
      </xdr:nvSpPr>
      <xdr:spPr>
        <a:xfrm rot="5400000">
          <a:off x="10991848" y="12468227"/>
          <a:ext cx="123827" cy="504825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68</xdr:row>
      <xdr:rowOff>144757</xdr:rowOff>
    </xdr:from>
    <xdr:ext cx="2599476" cy="370071"/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SpPr/>
      </xdr:nvSpPr>
      <xdr:spPr>
        <a:xfrm rot="18916712">
          <a:off x="9686779" y="14146507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endParaRPr lang="es-ES" sz="1400" b="1" cap="none" spc="0" baseline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  <a:p>
          <a:pPr algn="ctr"/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6</xdr:col>
      <xdr:colOff>38100</xdr:colOff>
      <xdr:row>63</xdr:row>
      <xdr:rowOff>200024</xdr:rowOff>
    </xdr:from>
    <xdr:to>
      <xdr:col>6</xdr:col>
      <xdr:colOff>285750</xdr:colOff>
      <xdr:row>64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CxnSpPr/>
      </xdr:nvCxnSpPr>
      <xdr:spPr>
        <a:xfrm rot="10800000" flipV="1">
          <a:off x="5105400" y="13049249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61</xdr:row>
      <xdr:rowOff>123825</xdr:rowOff>
    </xdr:from>
    <xdr:to>
      <xdr:col>7</xdr:col>
      <xdr:colOff>295275</xdr:colOff>
      <xdr:row>63</xdr:row>
      <xdr:rowOff>19050</xdr:rowOff>
    </xdr:to>
    <xdr:cxnSp macro="">
      <xdr:nvCxnSpPr>
        <xdr:cNvPr id="5" name="1 Conector recto de flecha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CxnSpPr/>
      </xdr:nvCxnSpPr>
      <xdr:spPr>
        <a:xfrm>
          <a:off x="5019675" y="12506325"/>
          <a:ext cx="533400" cy="3619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63</xdr:row>
      <xdr:rowOff>200024</xdr:rowOff>
    </xdr:from>
    <xdr:to>
      <xdr:col>6</xdr:col>
      <xdr:colOff>285750</xdr:colOff>
      <xdr:row>64</xdr:row>
      <xdr:rowOff>85724</xdr:rowOff>
    </xdr:to>
    <xdr:cxnSp macro="">
      <xdr:nvCxnSpPr>
        <xdr:cNvPr id="6" name="2 Conector recto de flecha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CxnSpPr/>
      </xdr:nvCxnSpPr>
      <xdr:spPr>
        <a:xfrm rot="10800000" flipV="1">
          <a:off x="5105400" y="13049249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61</xdr:row>
      <xdr:rowOff>104775</xdr:rowOff>
    </xdr:from>
    <xdr:to>
      <xdr:col>5</xdr:col>
      <xdr:colOff>85725</xdr:colOff>
      <xdr:row>63</xdr:row>
      <xdr:rowOff>133350</xdr:rowOff>
    </xdr:to>
    <xdr:cxnSp macro="">
      <xdr:nvCxnSpPr>
        <xdr:cNvPr id="7" name="Conector recto de flecha 6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CxnSpPr/>
      </xdr:nvCxnSpPr>
      <xdr:spPr>
        <a:xfrm>
          <a:off x="2181225" y="12487275"/>
          <a:ext cx="1781175" cy="4953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61</xdr:row>
      <xdr:rowOff>200023</xdr:rowOff>
    </xdr:from>
    <xdr:to>
      <xdr:col>11</xdr:col>
      <xdr:colOff>133352</xdr:colOff>
      <xdr:row>62</xdr:row>
      <xdr:rowOff>190499</xdr:rowOff>
    </xdr:to>
    <xdr:sp macro="" textlink="">
      <xdr:nvSpPr>
        <xdr:cNvPr id="8" name="Abrir llave 7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SpPr/>
      </xdr:nvSpPr>
      <xdr:spPr>
        <a:xfrm rot="16200000">
          <a:off x="7772401" y="11525247"/>
          <a:ext cx="200026" cy="23145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67</xdr:row>
      <xdr:rowOff>144757</xdr:rowOff>
    </xdr:from>
    <xdr:ext cx="2599476" cy="370071"/>
    <xdr:sp macro="" textlink="">
      <xdr:nvSpPr>
        <xdr:cNvPr id="9" name="Rectángulo 8">
          <a:extLst>
            <a:ext uri="{FF2B5EF4-FFF2-40B4-BE49-F238E27FC236}">
              <a16:creationId xmlns:a16="http://schemas.microsoft.com/office/drawing/2014/main" id="{00000000-0008-0000-0800-000009000000}"/>
            </a:ext>
          </a:extLst>
        </xdr:cNvPr>
        <xdr:cNvSpPr/>
      </xdr:nvSpPr>
      <xdr:spPr>
        <a:xfrm rot="18916712">
          <a:off x="9686779" y="13908382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65</xdr:row>
      <xdr:rowOff>85725</xdr:rowOff>
    </xdr:from>
    <xdr:to>
      <xdr:col>7</xdr:col>
      <xdr:colOff>695325</xdr:colOff>
      <xdr:row>69</xdr:row>
      <xdr:rowOff>180975</xdr:rowOff>
    </xdr:to>
    <xdr:cxnSp macro="">
      <xdr:nvCxnSpPr>
        <xdr:cNvPr id="10" name="Conector recto de flecha 9">
          <a:extLst>
            <a:ext uri="{FF2B5EF4-FFF2-40B4-BE49-F238E27FC236}">
              <a16:creationId xmlns:a16="http://schemas.microsoft.com/office/drawing/2014/main" id="{00000000-0008-0000-0800-00000A000000}"/>
            </a:ext>
          </a:extLst>
        </xdr:cNvPr>
        <xdr:cNvCxnSpPr/>
      </xdr:nvCxnSpPr>
      <xdr:spPr>
        <a:xfrm flipV="1">
          <a:off x="5029200" y="13401675"/>
          <a:ext cx="923925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933449</xdr:colOff>
      <xdr:row>62</xdr:row>
      <xdr:rowOff>66676</xdr:rowOff>
    </xdr:from>
    <xdr:to>
      <xdr:col>13</xdr:col>
      <xdr:colOff>228599</xdr:colOff>
      <xdr:row>62</xdr:row>
      <xdr:rowOff>190503</xdr:rowOff>
    </xdr:to>
    <xdr:sp macro="" textlink="">
      <xdr:nvSpPr>
        <xdr:cNvPr id="2" name="Cerrar llav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/>
      </xdr:nvSpPr>
      <xdr:spPr>
        <a:xfrm rot="5400000">
          <a:off x="10991848" y="12458702"/>
          <a:ext cx="123827" cy="504825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838054</xdr:colOff>
      <xdr:row>68</xdr:row>
      <xdr:rowOff>116182</xdr:rowOff>
    </xdr:from>
    <xdr:ext cx="2599476" cy="370071"/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SpPr/>
      </xdr:nvSpPr>
      <xdr:spPr>
        <a:xfrm rot="18916712">
          <a:off x="9543904" y="12041482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endParaRPr lang="es-ES" sz="1400" b="1" cap="none" spc="0" baseline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  <a:p>
          <a:pPr algn="ctr"/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6</xdr:col>
      <xdr:colOff>38100</xdr:colOff>
      <xdr:row>63</xdr:row>
      <xdr:rowOff>200024</xdr:rowOff>
    </xdr:from>
    <xdr:to>
      <xdr:col>6</xdr:col>
      <xdr:colOff>285750</xdr:colOff>
      <xdr:row>64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CxnSpPr/>
      </xdr:nvCxnSpPr>
      <xdr:spPr>
        <a:xfrm rot="10800000" flipV="1">
          <a:off x="5105400" y="13039724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61</xdr:row>
      <xdr:rowOff>123825</xdr:rowOff>
    </xdr:from>
    <xdr:to>
      <xdr:col>7</xdr:col>
      <xdr:colOff>295275</xdr:colOff>
      <xdr:row>63</xdr:row>
      <xdr:rowOff>19050</xdr:rowOff>
    </xdr:to>
    <xdr:cxnSp macro="">
      <xdr:nvCxnSpPr>
        <xdr:cNvPr id="5" name="1 Conector recto de flecha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CxnSpPr/>
      </xdr:nvCxnSpPr>
      <xdr:spPr>
        <a:xfrm>
          <a:off x="5019675" y="12496800"/>
          <a:ext cx="533400" cy="3619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63</xdr:row>
      <xdr:rowOff>200024</xdr:rowOff>
    </xdr:from>
    <xdr:to>
      <xdr:col>6</xdr:col>
      <xdr:colOff>285750</xdr:colOff>
      <xdr:row>64</xdr:row>
      <xdr:rowOff>85724</xdr:rowOff>
    </xdr:to>
    <xdr:cxnSp macro="">
      <xdr:nvCxnSpPr>
        <xdr:cNvPr id="6" name="2 Conector recto de flecha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CxnSpPr/>
      </xdr:nvCxnSpPr>
      <xdr:spPr>
        <a:xfrm rot="10800000" flipV="1">
          <a:off x="5105400" y="13039724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61</xdr:row>
      <xdr:rowOff>104775</xdr:rowOff>
    </xdr:from>
    <xdr:to>
      <xdr:col>5</xdr:col>
      <xdr:colOff>85725</xdr:colOff>
      <xdr:row>63</xdr:row>
      <xdr:rowOff>133350</xdr:rowOff>
    </xdr:to>
    <xdr:cxnSp macro="">
      <xdr:nvCxnSpPr>
        <xdr:cNvPr id="7" name="Conector recto de flecha 6">
          <a:extLst>
            <a:ext uri="{FF2B5EF4-FFF2-40B4-BE49-F238E27FC236}">
              <a16:creationId xmlns:a16="http://schemas.microsoft.com/office/drawing/2014/main" id="{00000000-0008-0000-0A00-000007000000}"/>
            </a:ext>
          </a:extLst>
        </xdr:cNvPr>
        <xdr:cNvCxnSpPr/>
      </xdr:nvCxnSpPr>
      <xdr:spPr>
        <a:xfrm>
          <a:off x="2181225" y="12477750"/>
          <a:ext cx="1781175" cy="4953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61</xdr:row>
      <xdr:rowOff>200023</xdr:rowOff>
    </xdr:from>
    <xdr:to>
      <xdr:col>11</xdr:col>
      <xdr:colOff>133352</xdr:colOff>
      <xdr:row>62</xdr:row>
      <xdr:rowOff>190499</xdr:rowOff>
    </xdr:to>
    <xdr:sp macro="" textlink="">
      <xdr:nvSpPr>
        <xdr:cNvPr id="8" name="Abrir llave 7">
          <a:extLst>
            <a:ext uri="{FF2B5EF4-FFF2-40B4-BE49-F238E27FC236}">
              <a16:creationId xmlns:a16="http://schemas.microsoft.com/office/drawing/2014/main" id="{00000000-0008-0000-0A00-000008000000}"/>
            </a:ext>
          </a:extLst>
        </xdr:cNvPr>
        <xdr:cNvSpPr/>
      </xdr:nvSpPr>
      <xdr:spPr>
        <a:xfrm rot="16200000">
          <a:off x="7772401" y="11515722"/>
          <a:ext cx="200026" cy="23145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67</xdr:row>
      <xdr:rowOff>144757</xdr:rowOff>
    </xdr:from>
    <xdr:ext cx="2599476" cy="370071"/>
    <xdr:sp macro="" textlink="">
      <xdr:nvSpPr>
        <xdr:cNvPr id="9" name="Rectángulo 8">
          <a:extLst>
            <a:ext uri="{FF2B5EF4-FFF2-40B4-BE49-F238E27FC236}">
              <a16:creationId xmlns:a16="http://schemas.microsoft.com/office/drawing/2014/main" id="{00000000-0008-0000-0A00-000009000000}"/>
            </a:ext>
          </a:extLst>
        </xdr:cNvPr>
        <xdr:cNvSpPr/>
      </xdr:nvSpPr>
      <xdr:spPr>
        <a:xfrm rot="18916712">
          <a:off x="9686779" y="13898857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65</xdr:row>
      <xdr:rowOff>85725</xdr:rowOff>
    </xdr:from>
    <xdr:to>
      <xdr:col>7</xdr:col>
      <xdr:colOff>695325</xdr:colOff>
      <xdr:row>69</xdr:row>
      <xdr:rowOff>180975</xdr:rowOff>
    </xdr:to>
    <xdr:cxnSp macro="">
      <xdr:nvCxnSpPr>
        <xdr:cNvPr id="10" name="Conector recto de flecha 9">
          <a:extLst>
            <a:ext uri="{FF2B5EF4-FFF2-40B4-BE49-F238E27FC236}">
              <a16:creationId xmlns:a16="http://schemas.microsoft.com/office/drawing/2014/main" id="{00000000-0008-0000-0A00-00000A000000}"/>
            </a:ext>
          </a:extLst>
        </xdr:cNvPr>
        <xdr:cNvCxnSpPr/>
      </xdr:nvCxnSpPr>
      <xdr:spPr>
        <a:xfrm flipV="1">
          <a:off x="5029200" y="13392150"/>
          <a:ext cx="923925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971550</xdr:colOff>
      <xdr:row>23</xdr:row>
      <xdr:rowOff>76200</xdr:rowOff>
    </xdr:from>
    <xdr:to>
      <xdr:col>31</xdr:col>
      <xdr:colOff>409575</xdr:colOff>
      <xdr:row>28</xdr:row>
      <xdr:rowOff>76200</xdr:rowOff>
    </xdr:to>
    <xdr:cxnSp macro="">
      <xdr:nvCxnSpPr>
        <xdr:cNvPr id="30" name="Conector: angular 29">
          <a:extLst>
            <a:ext uri="{FF2B5EF4-FFF2-40B4-BE49-F238E27FC236}">
              <a16:creationId xmlns:a16="http://schemas.microsoft.com/office/drawing/2014/main" id="{00000000-0008-0000-0A00-00001E000000}"/>
            </a:ext>
          </a:extLst>
        </xdr:cNvPr>
        <xdr:cNvCxnSpPr/>
      </xdr:nvCxnSpPr>
      <xdr:spPr>
        <a:xfrm flipV="1">
          <a:off x="15230475" y="5391150"/>
          <a:ext cx="2114550" cy="1123950"/>
        </a:xfrm>
        <a:prstGeom prst="bentConnector3">
          <a:avLst>
            <a:gd name="adj1" fmla="val 40541"/>
          </a:avLst>
        </a:prstGeom>
        <a:ln>
          <a:headEnd type="triangle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31</xdr:col>
      <xdr:colOff>485447</xdr:colOff>
      <xdr:row>22</xdr:row>
      <xdr:rowOff>249788</xdr:rowOff>
    </xdr:from>
    <xdr:to>
      <xdr:col>32</xdr:col>
      <xdr:colOff>493590</xdr:colOff>
      <xdr:row>25</xdr:row>
      <xdr:rowOff>164063</xdr:rowOff>
    </xdr:to>
    <xdr:sp macro="" textlink="">
      <xdr:nvSpPr>
        <xdr:cNvPr id="33" name="Abrir llave 32">
          <a:extLst>
            <a:ext uri="{FF2B5EF4-FFF2-40B4-BE49-F238E27FC236}">
              <a16:creationId xmlns:a16="http://schemas.microsoft.com/office/drawing/2014/main" id="{00000000-0008-0000-0A00-000021000000}"/>
            </a:ext>
          </a:extLst>
        </xdr:cNvPr>
        <xdr:cNvSpPr/>
      </xdr:nvSpPr>
      <xdr:spPr>
        <a:xfrm rot="1514994">
          <a:off x="17420897" y="5259938"/>
          <a:ext cx="865393" cy="733425"/>
        </a:xfrm>
        <a:prstGeom prst="lef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933449</xdr:colOff>
      <xdr:row>48</xdr:row>
      <xdr:rowOff>66676</xdr:rowOff>
    </xdr:from>
    <xdr:to>
      <xdr:col>13</xdr:col>
      <xdr:colOff>228599</xdr:colOff>
      <xdr:row>48</xdr:row>
      <xdr:rowOff>190503</xdr:rowOff>
    </xdr:to>
    <xdr:sp macro="" textlink="">
      <xdr:nvSpPr>
        <xdr:cNvPr id="2" name="Cerrar llave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SpPr/>
      </xdr:nvSpPr>
      <xdr:spPr>
        <a:xfrm rot="5400000">
          <a:off x="10801348" y="10763252"/>
          <a:ext cx="123827" cy="504825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54</xdr:row>
      <xdr:rowOff>144757</xdr:rowOff>
    </xdr:from>
    <xdr:ext cx="2599476" cy="370071"/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SpPr/>
      </xdr:nvSpPr>
      <xdr:spPr>
        <a:xfrm rot="18916712">
          <a:off x="9496279" y="12432007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endParaRPr lang="es-ES" sz="1400" b="1" cap="none" spc="0" baseline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  <a:p>
          <a:pPr algn="ctr"/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6</xdr:col>
      <xdr:colOff>38100</xdr:colOff>
      <xdr:row>49</xdr:row>
      <xdr:rowOff>200024</xdr:rowOff>
    </xdr:from>
    <xdr:to>
      <xdr:col>6</xdr:col>
      <xdr:colOff>285750</xdr:colOff>
      <xdr:row>50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CxnSpPr/>
      </xdr:nvCxnSpPr>
      <xdr:spPr>
        <a:xfrm rot="10800000" flipV="1">
          <a:off x="5105400" y="1130617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47</xdr:row>
      <xdr:rowOff>123825</xdr:rowOff>
    </xdr:from>
    <xdr:to>
      <xdr:col>7</xdr:col>
      <xdr:colOff>295275</xdr:colOff>
      <xdr:row>49</xdr:row>
      <xdr:rowOff>19050</xdr:rowOff>
    </xdr:to>
    <xdr:cxnSp macro="">
      <xdr:nvCxnSpPr>
        <xdr:cNvPr id="5" name="1 Conector recto de flecha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CxnSpPr/>
      </xdr:nvCxnSpPr>
      <xdr:spPr>
        <a:xfrm>
          <a:off x="5019675" y="10801350"/>
          <a:ext cx="533400" cy="3238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49</xdr:row>
      <xdr:rowOff>200024</xdr:rowOff>
    </xdr:from>
    <xdr:to>
      <xdr:col>6</xdr:col>
      <xdr:colOff>285750</xdr:colOff>
      <xdr:row>50</xdr:row>
      <xdr:rowOff>85724</xdr:rowOff>
    </xdr:to>
    <xdr:cxnSp macro="">
      <xdr:nvCxnSpPr>
        <xdr:cNvPr id="6" name="2 Conector recto de flecha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CxnSpPr/>
      </xdr:nvCxnSpPr>
      <xdr:spPr>
        <a:xfrm rot="10800000" flipV="1">
          <a:off x="5105400" y="1130617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47</xdr:row>
      <xdr:rowOff>104775</xdr:rowOff>
    </xdr:from>
    <xdr:to>
      <xdr:col>5</xdr:col>
      <xdr:colOff>85725</xdr:colOff>
      <xdr:row>49</xdr:row>
      <xdr:rowOff>133350</xdr:rowOff>
    </xdr:to>
    <xdr:cxnSp macro="">
      <xdr:nvCxnSpPr>
        <xdr:cNvPr id="7" name="Conector recto de flecha 6">
          <a:extLst>
            <a:ext uri="{FF2B5EF4-FFF2-40B4-BE49-F238E27FC236}">
              <a16:creationId xmlns:a16="http://schemas.microsoft.com/office/drawing/2014/main" id="{00000000-0008-0000-0C00-000007000000}"/>
            </a:ext>
          </a:extLst>
        </xdr:cNvPr>
        <xdr:cNvCxnSpPr/>
      </xdr:nvCxnSpPr>
      <xdr:spPr>
        <a:xfrm>
          <a:off x="2181225" y="10782300"/>
          <a:ext cx="1781175" cy="4572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47</xdr:row>
      <xdr:rowOff>200023</xdr:rowOff>
    </xdr:from>
    <xdr:to>
      <xdr:col>11</xdr:col>
      <xdr:colOff>133352</xdr:colOff>
      <xdr:row>48</xdr:row>
      <xdr:rowOff>190499</xdr:rowOff>
    </xdr:to>
    <xdr:sp macro="" textlink="">
      <xdr:nvSpPr>
        <xdr:cNvPr id="8" name="Abrir llave 7">
          <a:extLst>
            <a:ext uri="{FF2B5EF4-FFF2-40B4-BE49-F238E27FC236}">
              <a16:creationId xmlns:a16="http://schemas.microsoft.com/office/drawing/2014/main" id="{00000000-0008-0000-0C00-000008000000}"/>
            </a:ext>
          </a:extLst>
        </xdr:cNvPr>
        <xdr:cNvSpPr/>
      </xdr:nvSpPr>
      <xdr:spPr>
        <a:xfrm rot="16200000">
          <a:off x="7677151" y="991552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53</xdr:row>
      <xdr:rowOff>144757</xdr:rowOff>
    </xdr:from>
    <xdr:ext cx="2599476" cy="370071"/>
    <xdr:sp macro="" textlink="">
      <xdr:nvSpPr>
        <xdr:cNvPr id="9" name="Rectángulo 8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SpPr/>
      </xdr:nvSpPr>
      <xdr:spPr>
        <a:xfrm rot="18916712">
          <a:off x="9496279" y="12184357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51</xdr:row>
      <xdr:rowOff>85725</xdr:rowOff>
    </xdr:from>
    <xdr:to>
      <xdr:col>7</xdr:col>
      <xdr:colOff>695325</xdr:colOff>
      <xdr:row>55</xdr:row>
      <xdr:rowOff>180975</xdr:rowOff>
    </xdr:to>
    <xdr:cxnSp macro="">
      <xdr:nvCxnSpPr>
        <xdr:cNvPr id="10" name="Conector recto de flecha 9">
          <a:extLst>
            <a:ext uri="{FF2B5EF4-FFF2-40B4-BE49-F238E27FC236}">
              <a16:creationId xmlns:a16="http://schemas.microsoft.com/office/drawing/2014/main" id="{00000000-0008-0000-0C00-00000A000000}"/>
            </a:ext>
          </a:extLst>
        </xdr:cNvPr>
        <xdr:cNvCxnSpPr/>
      </xdr:nvCxnSpPr>
      <xdr:spPr>
        <a:xfrm flipV="1">
          <a:off x="5029200" y="11639550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971550</xdr:colOff>
      <xdr:row>23</xdr:row>
      <xdr:rowOff>76200</xdr:rowOff>
    </xdr:from>
    <xdr:to>
      <xdr:col>20</xdr:col>
      <xdr:colOff>409575</xdr:colOff>
      <xdr:row>28</xdr:row>
      <xdr:rowOff>76200</xdr:rowOff>
    </xdr:to>
    <xdr:cxnSp macro="">
      <xdr:nvCxnSpPr>
        <xdr:cNvPr id="11" name="Conector: angular 10">
          <a:extLst>
            <a:ext uri="{FF2B5EF4-FFF2-40B4-BE49-F238E27FC236}">
              <a16:creationId xmlns:a16="http://schemas.microsoft.com/office/drawing/2014/main" id="{00000000-0008-0000-0C00-00000B000000}"/>
            </a:ext>
          </a:extLst>
        </xdr:cNvPr>
        <xdr:cNvCxnSpPr/>
      </xdr:nvCxnSpPr>
      <xdr:spPr>
        <a:xfrm flipV="1">
          <a:off x="15230475" y="5495925"/>
          <a:ext cx="2114550" cy="1047750"/>
        </a:xfrm>
        <a:prstGeom prst="bentConnector3">
          <a:avLst>
            <a:gd name="adj1" fmla="val 40541"/>
          </a:avLst>
        </a:prstGeom>
        <a:ln>
          <a:headEnd type="triangle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20</xdr:col>
      <xdr:colOff>485447</xdr:colOff>
      <xdr:row>22</xdr:row>
      <xdr:rowOff>249788</xdr:rowOff>
    </xdr:from>
    <xdr:to>
      <xdr:col>21</xdr:col>
      <xdr:colOff>493590</xdr:colOff>
      <xdr:row>25</xdr:row>
      <xdr:rowOff>164063</xdr:rowOff>
    </xdr:to>
    <xdr:sp macro="" textlink="">
      <xdr:nvSpPr>
        <xdr:cNvPr id="12" name="Abrir llave 11">
          <a:extLst>
            <a:ext uri="{FF2B5EF4-FFF2-40B4-BE49-F238E27FC236}">
              <a16:creationId xmlns:a16="http://schemas.microsoft.com/office/drawing/2014/main" id="{00000000-0008-0000-0C00-00000C000000}"/>
            </a:ext>
          </a:extLst>
        </xdr:cNvPr>
        <xdr:cNvSpPr/>
      </xdr:nvSpPr>
      <xdr:spPr>
        <a:xfrm rot="1514994">
          <a:off x="17420897" y="5364713"/>
          <a:ext cx="865393" cy="638175"/>
        </a:xfrm>
        <a:prstGeom prst="lef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00000000-0008-0000-0D00-000005000000}"/>
            </a:ext>
          </a:extLst>
        </xdr:cNvPr>
        <xdr:cNvCxnSpPr/>
      </xdr:nvCxnSpPr>
      <xdr:spPr>
        <a:xfrm rot="10800000" flipV="1">
          <a:off x="5105400" y="10972799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6" name="1 Conector recto de flecha">
          <a:extLst>
            <a:ext uri="{FF2B5EF4-FFF2-40B4-BE49-F238E27FC236}">
              <a16:creationId xmlns:a16="http://schemas.microsoft.com/office/drawing/2014/main" id="{00000000-0008-0000-0D00-000006000000}"/>
            </a:ext>
          </a:extLst>
        </xdr:cNvPr>
        <xdr:cNvCxnSpPr/>
      </xdr:nvCxnSpPr>
      <xdr:spPr>
        <a:xfrm>
          <a:off x="5019675" y="10429875"/>
          <a:ext cx="533400" cy="3619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7" name="2 Conector recto de flecha">
          <a:extLst>
            <a:ext uri="{FF2B5EF4-FFF2-40B4-BE49-F238E27FC236}">
              <a16:creationId xmlns:a16="http://schemas.microsoft.com/office/drawing/2014/main" id="{00000000-0008-0000-0D00-000007000000}"/>
            </a:ext>
          </a:extLst>
        </xdr:cNvPr>
        <xdr:cNvCxnSpPr/>
      </xdr:nvCxnSpPr>
      <xdr:spPr>
        <a:xfrm rot="10800000" flipV="1">
          <a:off x="5105400" y="10972799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5</xdr:col>
      <xdr:colOff>85725</xdr:colOff>
      <xdr:row>68</xdr:row>
      <xdr:rowOff>133350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D00-000008000000}"/>
            </a:ext>
          </a:extLst>
        </xdr:cNvPr>
        <xdr:cNvCxnSpPr/>
      </xdr:nvCxnSpPr>
      <xdr:spPr>
        <a:xfrm>
          <a:off x="2181225" y="10410825"/>
          <a:ext cx="1781175" cy="4953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66</xdr:row>
      <xdr:rowOff>200023</xdr:rowOff>
    </xdr:from>
    <xdr:to>
      <xdr:col>11</xdr:col>
      <xdr:colOff>133352</xdr:colOff>
      <xdr:row>67</xdr:row>
      <xdr:rowOff>190499</xdr:rowOff>
    </xdr:to>
    <xdr:sp macro="" textlink="">
      <xdr:nvSpPr>
        <xdr:cNvPr id="9" name="Abrir llave 8">
          <a:extLst>
            <a:ext uri="{FF2B5EF4-FFF2-40B4-BE49-F238E27FC236}">
              <a16:creationId xmlns:a16="http://schemas.microsoft.com/office/drawing/2014/main" id="{00000000-0008-0000-0D00-000009000000}"/>
            </a:ext>
          </a:extLst>
        </xdr:cNvPr>
        <xdr:cNvSpPr/>
      </xdr:nvSpPr>
      <xdr:spPr>
        <a:xfrm rot="16200000">
          <a:off x="7677151" y="9544047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70</xdr:row>
      <xdr:rowOff>64250</xdr:rowOff>
    </xdr:from>
    <xdr:ext cx="1323990" cy="419708"/>
    <xdr:sp macro="" textlink="">
      <xdr:nvSpPr>
        <xdr:cNvPr id="10" name="Rectángulo 9">
          <a:extLst>
            <a:ext uri="{FF2B5EF4-FFF2-40B4-BE49-F238E27FC236}">
              <a16:creationId xmlns:a16="http://schemas.microsoft.com/office/drawing/2014/main" id="{00000000-0008-0000-0D00-00000A000000}"/>
            </a:ext>
          </a:extLst>
        </xdr:cNvPr>
        <xdr:cNvSpPr/>
      </xdr:nvSpPr>
      <xdr:spPr>
        <a:xfrm rot="18916712">
          <a:off x="0" y="157328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70</xdr:row>
      <xdr:rowOff>85725</xdr:rowOff>
    </xdr:from>
    <xdr:to>
      <xdr:col>7</xdr:col>
      <xdr:colOff>695325</xdr:colOff>
      <xdr:row>74</xdr:row>
      <xdr:rowOff>180975</xdr:rowOff>
    </xdr:to>
    <xdr:cxnSp macro="">
      <xdr:nvCxnSpPr>
        <xdr:cNvPr id="11" name="Conector recto de flecha 10">
          <a:extLst>
            <a:ext uri="{FF2B5EF4-FFF2-40B4-BE49-F238E27FC236}">
              <a16:creationId xmlns:a16="http://schemas.microsoft.com/office/drawing/2014/main" id="{00000000-0008-0000-0D00-00000B000000}"/>
            </a:ext>
          </a:extLst>
        </xdr:cNvPr>
        <xdr:cNvCxnSpPr/>
      </xdr:nvCxnSpPr>
      <xdr:spPr>
        <a:xfrm flipV="1">
          <a:off x="5029200" y="11325225"/>
          <a:ext cx="923925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971550</xdr:colOff>
      <xdr:row>23</xdr:row>
      <xdr:rowOff>76200</xdr:rowOff>
    </xdr:from>
    <xdr:to>
      <xdr:col>31</xdr:col>
      <xdr:colOff>409575</xdr:colOff>
      <xdr:row>28</xdr:row>
      <xdr:rowOff>76200</xdr:rowOff>
    </xdr:to>
    <xdr:cxnSp macro="">
      <xdr:nvCxnSpPr>
        <xdr:cNvPr id="12" name="Conector: angular 11">
          <a:extLst>
            <a:ext uri="{FF2B5EF4-FFF2-40B4-BE49-F238E27FC236}">
              <a16:creationId xmlns:a16="http://schemas.microsoft.com/office/drawing/2014/main" id="{00000000-0008-0000-0D00-00000C000000}"/>
            </a:ext>
          </a:extLst>
        </xdr:cNvPr>
        <xdr:cNvCxnSpPr/>
      </xdr:nvCxnSpPr>
      <xdr:spPr>
        <a:xfrm flipV="1">
          <a:off x="24364950" y="5314950"/>
          <a:ext cx="2114550" cy="1123950"/>
        </a:xfrm>
        <a:prstGeom prst="bentConnector3">
          <a:avLst>
            <a:gd name="adj1" fmla="val 40541"/>
          </a:avLst>
        </a:prstGeom>
        <a:ln>
          <a:headEnd type="triangle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31</xdr:col>
      <xdr:colOff>485447</xdr:colOff>
      <xdr:row>22</xdr:row>
      <xdr:rowOff>249788</xdr:rowOff>
    </xdr:from>
    <xdr:to>
      <xdr:col>32</xdr:col>
      <xdr:colOff>493590</xdr:colOff>
      <xdr:row>25</xdr:row>
      <xdr:rowOff>164063</xdr:rowOff>
    </xdr:to>
    <xdr:sp macro="" textlink="">
      <xdr:nvSpPr>
        <xdr:cNvPr id="13" name="Abrir llave 12">
          <a:extLst>
            <a:ext uri="{FF2B5EF4-FFF2-40B4-BE49-F238E27FC236}">
              <a16:creationId xmlns:a16="http://schemas.microsoft.com/office/drawing/2014/main" id="{00000000-0008-0000-0D00-00000D000000}"/>
            </a:ext>
          </a:extLst>
        </xdr:cNvPr>
        <xdr:cNvSpPr/>
      </xdr:nvSpPr>
      <xdr:spPr>
        <a:xfrm rot="1514994">
          <a:off x="26555372" y="5240888"/>
          <a:ext cx="865393" cy="676275"/>
        </a:xfrm>
        <a:prstGeom prst="lef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CxnSpPr/>
      </xdr:nvCxnSpPr>
      <xdr:spPr>
        <a:xfrm rot="10800000" flipV="1">
          <a:off x="5105400" y="15449549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CxnSpPr/>
      </xdr:nvCxnSpPr>
      <xdr:spPr>
        <a:xfrm>
          <a:off x="5019675" y="14906625"/>
          <a:ext cx="533400" cy="3619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CxnSpPr/>
      </xdr:nvCxnSpPr>
      <xdr:spPr>
        <a:xfrm rot="10800000" flipV="1">
          <a:off x="5105400" y="15449549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5</xdr:col>
      <xdr:colOff>85725</xdr:colOff>
      <xdr:row>68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CxnSpPr/>
      </xdr:nvCxnSpPr>
      <xdr:spPr>
        <a:xfrm>
          <a:off x="2181225" y="14887575"/>
          <a:ext cx="1781175" cy="4953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66</xdr:row>
      <xdr:rowOff>200023</xdr:rowOff>
    </xdr:from>
    <xdr:to>
      <xdr:col>11</xdr:col>
      <xdr:colOff>133352</xdr:colOff>
      <xdr:row>67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SpPr/>
      </xdr:nvSpPr>
      <xdr:spPr>
        <a:xfrm rot="16200000">
          <a:off x="7677151" y="14020797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70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SpPr/>
      </xdr:nvSpPr>
      <xdr:spPr>
        <a:xfrm rot="18916712">
          <a:off x="0" y="157805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70</xdr:row>
      <xdr:rowOff>85725</xdr:rowOff>
    </xdr:from>
    <xdr:to>
      <xdr:col>7</xdr:col>
      <xdr:colOff>695325</xdr:colOff>
      <xdr:row>74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CxnSpPr/>
      </xdr:nvCxnSpPr>
      <xdr:spPr>
        <a:xfrm flipV="1">
          <a:off x="5029200" y="15801975"/>
          <a:ext cx="923925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971550</xdr:colOff>
      <xdr:row>23</xdr:row>
      <xdr:rowOff>76200</xdr:rowOff>
    </xdr:from>
    <xdr:to>
      <xdr:col>31</xdr:col>
      <xdr:colOff>409575</xdr:colOff>
      <xdr:row>28</xdr:row>
      <xdr:rowOff>76200</xdr:rowOff>
    </xdr:to>
    <xdr:cxnSp macro="">
      <xdr:nvCxnSpPr>
        <xdr:cNvPr id="9" name="Conector: angular 11">
          <a:extLst>
            <a:ext uri="{FF2B5EF4-FFF2-40B4-BE49-F238E27FC236}">
              <a16:creationId xmlns:a16="http://schemas.microsoft.com/office/drawing/2014/main" id="{00000000-0008-0000-0F00-000009000000}"/>
            </a:ext>
          </a:extLst>
        </xdr:cNvPr>
        <xdr:cNvCxnSpPr/>
      </xdr:nvCxnSpPr>
      <xdr:spPr>
        <a:xfrm flipV="1">
          <a:off x="25755600" y="5429250"/>
          <a:ext cx="2114550" cy="1266825"/>
        </a:xfrm>
        <a:prstGeom prst="bentConnector3">
          <a:avLst>
            <a:gd name="adj1" fmla="val 40541"/>
          </a:avLst>
        </a:prstGeom>
        <a:ln>
          <a:headEnd type="triangle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31</xdr:col>
      <xdr:colOff>485447</xdr:colOff>
      <xdr:row>22</xdr:row>
      <xdr:rowOff>249788</xdr:rowOff>
    </xdr:from>
    <xdr:to>
      <xdr:col>32</xdr:col>
      <xdr:colOff>493590</xdr:colOff>
      <xdr:row>25</xdr:row>
      <xdr:rowOff>164063</xdr:rowOff>
    </xdr:to>
    <xdr:sp macro="" textlink="">
      <xdr:nvSpPr>
        <xdr:cNvPr id="10" name="Abrir llave 9">
          <a:extLst>
            <a:ext uri="{FF2B5EF4-FFF2-40B4-BE49-F238E27FC236}">
              <a16:creationId xmlns:a16="http://schemas.microsoft.com/office/drawing/2014/main" id="{00000000-0008-0000-0F00-00000A000000}"/>
            </a:ext>
          </a:extLst>
        </xdr:cNvPr>
        <xdr:cNvSpPr/>
      </xdr:nvSpPr>
      <xdr:spPr>
        <a:xfrm rot="1514994">
          <a:off x="27946022" y="5355188"/>
          <a:ext cx="865393" cy="695325"/>
        </a:xfrm>
        <a:prstGeom prst="lef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drawing" Target="../drawings/drawing7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8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9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4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W88"/>
  <sheetViews>
    <sheetView topLeftCell="F30" zoomScale="115" zoomScaleNormal="115" workbookViewId="0">
      <selection activeCell="M33" sqref="M33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9" customWidth="1"/>
    <col min="4" max="4" width="15.28515625" customWidth="1"/>
    <col min="6" max="6" width="17.85546875" style="9" customWidth="1"/>
    <col min="7" max="7" width="2.85546875" customWidth="1"/>
    <col min="9" max="9" width="14.140625" style="9" customWidth="1"/>
    <col min="10" max="10" width="11.7109375" style="16" customWidth="1"/>
    <col min="11" max="11" width="17.28515625" customWidth="1"/>
    <col min="12" max="12" width="14.5703125" style="8" customWidth="1"/>
    <col min="13" max="13" width="18.140625" style="9" customWidth="1"/>
    <col min="14" max="14" width="14.140625" style="4" customWidth="1"/>
    <col min="15" max="15" width="7.5703125" style="5" customWidth="1"/>
    <col min="16" max="16" width="15.5703125" style="6" customWidth="1"/>
    <col min="17" max="17" width="14.42578125" style="6" customWidth="1"/>
    <col min="18" max="18" width="8.5703125" style="6" customWidth="1"/>
    <col min="19" max="19" width="15.5703125" style="7" customWidth="1"/>
    <col min="20" max="20" width="11.42578125" customWidth="1"/>
    <col min="21" max="22" width="11.42578125" style="204" customWidth="1"/>
    <col min="23" max="23" width="11.42578125" style="8" customWidth="1"/>
    <col min="24" max="25" width="11.42578125" customWidth="1"/>
  </cols>
  <sheetData>
    <row r="1" spans="1:23" ht="20.25" customHeight="1" thickBot="1" x14ac:dyDescent="0.4">
      <c r="C1" s="540" t="s">
        <v>26</v>
      </c>
      <c r="D1" s="540"/>
      <c r="E1" s="540"/>
      <c r="F1" s="540"/>
      <c r="G1" s="540"/>
      <c r="H1" s="540"/>
      <c r="I1" s="540"/>
      <c r="J1" s="540"/>
      <c r="K1" s="540"/>
      <c r="L1" s="2"/>
      <c r="M1" s="3"/>
      <c r="U1" s="209"/>
      <c r="V1" s="205" t="s">
        <v>52</v>
      </c>
      <c r="W1" s="206"/>
    </row>
    <row r="2" spans="1:23" ht="15" customHeight="1" thickBot="1" x14ac:dyDescent="0.3">
      <c r="C2" s="8"/>
      <c r="H2" s="10" t="s">
        <v>0</v>
      </c>
      <c r="I2" s="3"/>
      <c r="J2" s="11"/>
      <c r="L2" s="12"/>
      <c r="M2" s="3"/>
      <c r="N2" s="6"/>
      <c r="O2" s="13"/>
      <c r="U2" s="214" t="s">
        <v>53</v>
      </c>
      <c r="V2" s="215" t="s">
        <v>5</v>
      </c>
      <c r="W2" s="216" t="s">
        <v>28</v>
      </c>
    </row>
    <row r="3" spans="1:23" ht="18" customHeight="1" thickBot="1" x14ac:dyDescent="0.35">
      <c r="B3" s="541" t="s">
        <v>1</v>
      </c>
      <c r="C3" s="542"/>
      <c r="D3" s="14"/>
      <c r="E3" s="15"/>
      <c r="F3" s="15"/>
      <c r="H3" s="543" t="s">
        <v>2</v>
      </c>
      <c r="I3" s="543"/>
      <c r="K3" s="17" t="s">
        <v>3</v>
      </c>
      <c r="L3" s="17" t="s">
        <v>4</v>
      </c>
      <c r="M3" s="18"/>
      <c r="U3" s="213" t="s">
        <v>54</v>
      </c>
      <c r="V3" s="219">
        <v>44201</v>
      </c>
      <c r="W3" s="198">
        <v>2000</v>
      </c>
    </row>
    <row r="4" spans="1:23" ht="20.25" thickTop="1" thickBot="1" x14ac:dyDescent="0.35">
      <c r="A4" s="20" t="s">
        <v>6</v>
      </c>
      <c r="B4" s="21"/>
      <c r="C4" s="22">
        <v>250864.68</v>
      </c>
      <c r="D4" s="23">
        <v>44201</v>
      </c>
      <c r="E4" s="544" t="s">
        <v>7</v>
      </c>
      <c r="F4" s="545"/>
      <c r="H4" s="546" t="s">
        <v>8</v>
      </c>
      <c r="I4" s="547"/>
      <c r="J4" s="24"/>
      <c r="K4" s="25"/>
      <c r="L4" s="26"/>
      <c r="M4" s="27" t="s">
        <v>9</v>
      </c>
      <c r="N4" s="28" t="s">
        <v>10</v>
      </c>
      <c r="O4" s="29"/>
      <c r="P4" s="30"/>
      <c r="Q4" s="31"/>
      <c r="R4" s="30"/>
      <c r="S4" s="30"/>
      <c r="U4" s="213" t="s">
        <v>55</v>
      </c>
      <c r="V4" s="219">
        <v>44209</v>
      </c>
      <c r="W4" s="217">
        <v>2000</v>
      </c>
    </row>
    <row r="5" spans="1:23" ht="15.75" thickBot="1" x14ac:dyDescent="0.3">
      <c r="A5" s="34" t="s">
        <v>11</v>
      </c>
      <c r="B5" s="134">
        <v>44202</v>
      </c>
      <c r="C5" s="36">
        <v>9137</v>
      </c>
      <c r="D5" s="135" t="s">
        <v>43</v>
      </c>
      <c r="E5" s="136">
        <v>44202</v>
      </c>
      <c r="F5" s="37">
        <v>83075</v>
      </c>
      <c r="G5" s="137"/>
      <c r="H5" s="138">
        <v>44202</v>
      </c>
      <c r="I5" s="38">
        <v>495</v>
      </c>
      <c r="J5" s="39"/>
      <c r="K5" s="157"/>
      <c r="L5" s="6"/>
      <c r="M5" s="41">
        <f>3391+73300</f>
        <v>76691</v>
      </c>
      <c r="N5" s="42">
        <v>3221</v>
      </c>
      <c r="O5" s="29"/>
      <c r="P5" s="7">
        <f>C5+I5+M5+N5</f>
        <v>89544</v>
      </c>
      <c r="Q5" s="201">
        <f>P5-F5</f>
        <v>6469</v>
      </c>
      <c r="R5" s="7"/>
      <c r="U5" s="213" t="s">
        <v>56</v>
      </c>
      <c r="V5" s="220">
        <v>44216</v>
      </c>
      <c r="W5" s="218">
        <v>2000</v>
      </c>
    </row>
    <row r="6" spans="1:23" ht="16.5" thickBot="1" x14ac:dyDescent="0.3">
      <c r="A6" s="34"/>
      <c r="B6" s="134">
        <v>44203</v>
      </c>
      <c r="C6" s="36">
        <v>1644</v>
      </c>
      <c r="D6" s="139" t="s">
        <v>44</v>
      </c>
      <c r="E6" s="136">
        <v>44203</v>
      </c>
      <c r="F6" s="37">
        <v>91892</v>
      </c>
      <c r="G6" s="137"/>
      <c r="H6" s="138">
        <v>44203</v>
      </c>
      <c r="I6" s="43">
        <v>605</v>
      </c>
      <c r="J6" s="44"/>
      <c r="K6" s="45"/>
      <c r="L6" s="46"/>
      <c r="M6" s="41">
        <v>87035</v>
      </c>
      <c r="N6" s="42">
        <v>2608</v>
      </c>
      <c r="O6" s="47"/>
      <c r="P6" s="7">
        <f t="shared" ref="P6:P11" si="0">C6+I6+M6+N6+L6</f>
        <v>91892</v>
      </c>
      <c r="Q6" s="6" t="s">
        <v>11</v>
      </c>
      <c r="R6" s="48"/>
      <c r="U6" s="213" t="s">
        <v>57</v>
      </c>
      <c r="V6" s="220">
        <v>44222</v>
      </c>
      <c r="W6" s="218">
        <v>2000</v>
      </c>
    </row>
    <row r="7" spans="1:23" ht="15.75" thickBot="1" x14ac:dyDescent="0.3">
      <c r="A7" s="34"/>
      <c r="B7" s="134">
        <v>44204</v>
      </c>
      <c r="C7" s="36">
        <v>1756</v>
      </c>
      <c r="D7" s="140" t="s">
        <v>45</v>
      </c>
      <c r="E7" s="136">
        <v>44204</v>
      </c>
      <c r="F7" s="37">
        <v>146656</v>
      </c>
      <c r="G7" s="137"/>
      <c r="H7" s="138">
        <v>44204</v>
      </c>
      <c r="I7" s="49">
        <v>10625</v>
      </c>
      <c r="J7" s="44"/>
      <c r="K7" s="33"/>
      <c r="L7" s="46"/>
      <c r="M7" s="41">
        <v>114124</v>
      </c>
      <c r="N7" s="42">
        <v>20151</v>
      </c>
      <c r="O7" s="29"/>
      <c r="P7" s="7">
        <f t="shared" si="0"/>
        <v>146656</v>
      </c>
      <c r="Q7" s="6">
        <f>P7-F7</f>
        <v>0</v>
      </c>
      <c r="R7" s="50"/>
      <c r="U7" s="213" t="s">
        <v>58</v>
      </c>
      <c r="V7" s="220">
        <v>44230</v>
      </c>
      <c r="W7" s="218">
        <v>2000</v>
      </c>
    </row>
    <row r="8" spans="1:23" ht="15.75" thickBot="1" x14ac:dyDescent="0.3">
      <c r="A8" s="34"/>
      <c r="B8" s="134">
        <v>44205</v>
      </c>
      <c r="C8" s="36">
        <v>16420</v>
      </c>
      <c r="D8" s="141" t="s">
        <v>46</v>
      </c>
      <c r="E8" s="136">
        <v>44205</v>
      </c>
      <c r="F8" s="37">
        <v>175464</v>
      </c>
      <c r="G8" s="137"/>
      <c r="H8" s="138">
        <v>44205</v>
      </c>
      <c r="I8" s="49">
        <v>660</v>
      </c>
      <c r="J8" s="51">
        <v>44205</v>
      </c>
      <c r="K8" s="158" t="s">
        <v>47</v>
      </c>
      <c r="L8" s="46">
        <f>16697.61+400+4000</f>
        <v>21097.61</v>
      </c>
      <c r="M8" s="41">
        <f>124260+11231</f>
        <v>135491</v>
      </c>
      <c r="N8" s="42">
        <v>21871</v>
      </c>
      <c r="O8" s="47"/>
      <c r="P8" s="7">
        <f t="shared" si="0"/>
        <v>195539.61</v>
      </c>
      <c r="Q8" s="202">
        <f>P8-F8</f>
        <v>20075.609999999986</v>
      </c>
      <c r="R8" s="203"/>
      <c r="U8" s="213" t="s">
        <v>59</v>
      </c>
      <c r="V8" s="220"/>
      <c r="W8" s="218"/>
    </row>
    <row r="9" spans="1:23" ht="15.75" thickBot="1" x14ac:dyDescent="0.3">
      <c r="A9" s="34"/>
      <c r="B9" s="134">
        <v>44206</v>
      </c>
      <c r="C9" s="36">
        <v>19283.400000000001</v>
      </c>
      <c r="D9" s="142" t="s">
        <v>48</v>
      </c>
      <c r="E9" s="136">
        <v>44206</v>
      </c>
      <c r="F9" s="37">
        <v>95508</v>
      </c>
      <c r="G9" s="137"/>
      <c r="H9" s="138">
        <v>44206</v>
      </c>
      <c r="I9" s="49">
        <v>660</v>
      </c>
      <c r="J9" s="52">
        <v>44206</v>
      </c>
      <c r="K9" s="159" t="s">
        <v>49</v>
      </c>
      <c r="L9" s="46">
        <v>2100</v>
      </c>
      <c r="M9" s="41">
        <v>68140</v>
      </c>
      <c r="N9" s="42">
        <v>5350</v>
      </c>
      <c r="O9" s="47"/>
      <c r="P9" s="7">
        <f t="shared" si="0"/>
        <v>95533.4</v>
      </c>
      <c r="Q9" s="6">
        <f t="shared" ref="Q9:Q12" si="1">P9-F9</f>
        <v>25.399999999994179</v>
      </c>
      <c r="R9" s="48"/>
      <c r="U9" s="213" t="s">
        <v>60</v>
      </c>
      <c r="V9" s="220"/>
      <c r="W9" s="218"/>
    </row>
    <row r="10" spans="1:23" ht="15.75" thickBot="1" x14ac:dyDescent="0.3">
      <c r="A10" s="34"/>
      <c r="B10" s="134">
        <v>44207</v>
      </c>
      <c r="C10" s="36">
        <v>1279</v>
      </c>
      <c r="D10" s="140" t="s">
        <v>45</v>
      </c>
      <c r="E10" s="136">
        <v>44207</v>
      </c>
      <c r="F10" s="37">
        <v>110789</v>
      </c>
      <c r="G10" s="137"/>
      <c r="H10" s="138">
        <v>44207</v>
      </c>
      <c r="I10" s="49">
        <v>495</v>
      </c>
      <c r="J10" s="52"/>
      <c r="K10" s="160"/>
      <c r="L10" s="53"/>
      <c r="M10" s="41">
        <v>93478</v>
      </c>
      <c r="N10" s="42">
        <v>15537</v>
      </c>
      <c r="O10" s="47"/>
      <c r="P10" s="7">
        <f t="shared" si="0"/>
        <v>110789</v>
      </c>
      <c r="Q10" s="6">
        <f t="shared" si="1"/>
        <v>0</v>
      </c>
      <c r="R10" s="54"/>
      <c r="U10" s="213" t="s">
        <v>61</v>
      </c>
      <c r="V10" s="220"/>
      <c r="W10" s="218"/>
    </row>
    <row r="11" spans="1:23" ht="15.75" thickBot="1" x14ac:dyDescent="0.3">
      <c r="A11" s="34"/>
      <c r="B11" s="134">
        <v>44208</v>
      </c>
      <c r="C11" s="36">
        <v>5427</v>
      </c>
      <c r="D11" s="139" t="s">
        <v>50</v>
      </c>
      <c r="E11" s="136">
        <v>44208</v>
      </c>
      <c r="F11" s="37">
        <v>69224</v>
      </c>
      <c r="G11" s="137"/>
      <c r="H11" s="138">
        <v>44208</v>
      </c>
      <c r="I11" s="49">
        <v>534</v>
      </c>
      <c r="J11" s="55"/>
      <c r="K11" s="161"/>
      <c r="L11" s="46"/>
      <c r="M11" s="41">
        <v>59286</v>
      </c>
      <c r="N11" s="42">
        <v>3977</v>
      </c>
      <c r="O11" s="47"/>
      <c r="P11" s="7">
        <f t="shared" si="0"/>
        <v>69224</v>
      </c>
      <c r="Q11" s="6">
        <f t="shared" si="1"/>
        <v>0</v>
      </c>
      <c r="R11" s="48"/>
      <c r="U11" s="213" t="s">
        <v>62</v>
      </c>
      <c r="V11" s="220"/>
      <c r="W11" s="218"/>
    </row>
    <row r="12" spans="1:23" ht="15.75" thickBot="1" x14ac:dyDescent="0.3">
      <c r="A12" s="34"/>
      <c r="B12" s="134">
        <v>44209</v>
      </c>
      <c r="C12" s="36">
        <v>9305</v>
      </c>
      <c r="D12" s="139" t="s">
        <v>51</v>
      </c>
      <c r="E12" s="136">
        <v>44209</v>
      </c>
      <c r="F12" s="37">
        <v>118226</v>
      </c>
      <c r="G12" s="137"/>
      <c r="H12" s="138">
        <v>44209</v>
      </c>
      <c r="I12" s="49">
        <v>2783</v>
      </c>
      <c r="J12" s="44"/>
      <c r="K12" s="158"/>
      <c r="L12" s="46"/>
      <c r="M12" s="41">
        <f>23682+68458</f>
        <v>92140</v>
      </c>
      <c r="N12" s="42">
        <v>16228</v>
      </c>
      <c r="O12" s="47"/>
      <c r="P12" s="7">
        <f>C12+I12+M12+N12</f>
        <v>120456</v>
      </c>
      <c r="Q12" s="201">
        <f t="shared" si="1"/>
        <v>2230</v>
      </c>
      <c r="R12" s="56"/>
      <c r="U12" s="213" t="s">
        <v>63</v>
      </c>
      <c r="V12" s="220"/>
      <c r="W12" s="218"/>
    </row>
    <row r="13" spans="1:23" ht="15.75" thickBot="1" x14ac:dyDescent="0.3">
      <c r="A13" s="34"/>
      <c r="B13" s="134">
        <v>44210</v>
      </c>
      <c r="C13" s="36">
        <v>2670</v>
      </c>
      <c r="D13" s="141" t="s">
        <v>106</v>
      </c>
      <c r="E13" s="136">
        <v>44210</v>
      </c>
      <c r="F13" s="37">
        <v>88455</v>
      </c>
      <c r="G13" s="137"/>
      <c r="H13" s="138">
        <v>44210</v>
      </c>
      <c r="I13" s="49">
        <v>495</v>
      </c>
      <c r="J13" s="44"/>
      <c r="K13" s="158"/>
      <c r="L13" s="46"/>
      <c r="M13" s="41">
        <v>81627</v>
      </c>
      <c r="N13" s="42">
        <v>3663</v>
      </c>
      <c r="O13" s="47"/>
      <c r="P13" s="7">
        <f>N13+M13+I13+C13</f>
        <v>88455</v>
      </c>
      <c r="Q13" s="6">
        <f>P13-F13</f>
        <v>0</v>
      </c>
      <c r="R13" s="48"/>
      <c r="U13" s="213" t="s">
        <v>64</v>
      </c>
      <c r="V13" s="220"/>
      <c r="W13" s="218"/>
    </row>
    <row r="14" spans="1:23" ht="15.75" thickBot="1" x14ac:dyDescent="0.3">
      <c r="A14" s="34"/>
      <c r="B14" s="134">
        <v>44211</v>
      </c>
      <c r="C14" s="36">
        <v>5755</v>
      </c>
      <c r="D14" s="140" t="s">
        <v>107</v>
      </c>
      <c r="E14" s="136">
        <v>44211</v>
      </c>
      <c r="F14" s="37">
        <v>121702</v>
      </c>
      <c r="G14" s="137"/>
      <c r="H14" s="138">
        <v>44211</v>
      </c>
      <c r="I14" s="49">
        <v>11898</v>
      </c>
      <c r="J14" s="44"/>
      <c r="K14" s="158"/>
      <c r="L14" s="46"/>
      <c r="M14" s="41">
        <v>99139</v>
      </c>
      <c r="N14" s="42">
        <v>4910</v>
      </c>
      <c r="O14" s="47"/>
      <c r="P14" s="7">
        <f t="shared" ref="P14" si="2">C14+I14+M14+N14</f>
        <v>121702</v>
      </c>
      <c r="Q14" s="6">
        <f>P14-F14</f>
        <v>0</v>
      </c>
      <c r="R14" s="54"/>
      <c r="U14" s="213" t="s">
        <v>65</v>
      </c>
      <c r="V14" s="220"/>
      <c r="W14" s="218"/>
    </row>
    <row r="15" spans="1:23" ht="15.75" thickBot="1" x14ac:dyDescent="0.3">
      <c r="A15" s="34"/>
      <c r="B15" s="134">
        <v>44212</v>
      </c>
      <c r="C15" s="36">
        <v>5418.8</v>
      </c>
      <c r="D15" s="139" t="s">
        <v>108</v>
      </c>
      <c r="E15" s="136">
        <v>44212</v>
      </c>
      <c r="F15" s="37">
        <v>148562</v>
      </c>
      <c r="G15" s="137"/>
      <c r="H15" s="138">
        <v>44212</v>
      </c>
      <c r="I15" s="49">
        <v>605</v>
      </c>
      <c r="J15" s="44">
        <v>44212</v>
      </c>
      <c r="K15" s="158" t="s">
        <v>109</v>
      </c>
      <c r="L15" s="46">
        <f>17245.98+400+4000</f>
        <v>21645.98</v>
      </c>
      <c r="M15" s="41">
        <v>111019</v>
      </c>
      <c r="N15" s="42">
        <v>18575</v>
      </c>
      <c r="O15" s="47"/>
      <c r="P15" s="7">
        <f>C15+I15+M15+N15+L15</f>
        <v>157263.78</v>
      </c>
      <c r="Q15" s="202">
        <f t="shared" ref="Q15:Q21" si="3">P15-F15</f>
        <v>8701.7799999999988</v>
      </c>
      <c r="R15" s="58"/>
      <c r="U15" s="213" t="s">
        <v>66</v>
      </c>
      <c r="V15" s="220"/>
      <c r="W15" s="218"/>
    </row>
    <row r="16" spans="1:23" ht="15.75" thickBot="1" x14ac:dyDescent="0.3">
      <c r="A16" s="34"/>
      <c r="B16" s="134">
        <v>44213</v>
      </c>
      <c r="C16" s="36">
        <v>3062</v>
      </c>
      <c r="D16" s="139" t="s">
        <v>110</v>
      </c>
      <c r="E16" s="136">
        <v>44213</v>
      </c>
      <c r="F16" s="37">
        <v>114181</v>
      </c>
      <c r="G16" s="137"/>
      <c r="H16" s="138">
        <v>44213</v>
      </c>
      <c r="I16" s="49">
        <v>605</v>
      </c>
      <c r="J16" s="44"/>
      <c r="K16" s="158"/>
      <c r="L16" s="6"/>
      <c r="M16" s="41">
        <v>102018</v>
      </c>
      <c r="N16" s="42">
        <v>8496</v>
      </c>
      <c r="O16" s="47"/>
      <c r="P16" s="7">
        <f t="shared" ref="P16:P17" si="4">C16+I16+M16+N16</f>
        <v>114181</v>
      </c>
      <c r="Q16" s="6">
        <f t="shared" si="3"/>
        <v>0</v>
      </c>
      <c r="R16" s="58"/>
      <c r="U16" s="213" t="s">
        <v>67</v>
      </c>
      <c r="V16" s="220"/>
      <c r="W16" s="218"/>
    </row>
    <row r="17" spans="1:23" ht="15.75" thickBot="1" x14ac:dyDescent="0.3">
      <c r="A17" s="34"/>
      <c r="B17" s="134">
        <v>44214</v>
      </c>
      <c r="C17" s="36">
        <v>15837</v>
      </c>
      <c r="D17" s="141" t="s">
        <v>111</v>
      </c>
      <c r="E17" s="136">
        <v>44214</v>
      </c>
      <c r="F17" s="37">
        <v>145257</v>
      </c>
      <c r="G17" s="137"/>
      <c r="H17" s="138">
        <v>44214</v>
      </c>
      <c r="I17" s="49">
        <v>495</v>
      </c>
      <c r="J17" s="44"/>
      <c r="K17" s="158"/>
      <c r="L17" s="53"/>
      <c r="M17" s="41">
        <f>75727.7+35998</f>
        <v>111725.7</v>
      </c>
      <c r="N17" s="42">
        <v>17199</v>
      </c>
      <c r="O17" s="47"/>
      <c r="P17" s="7">
        <f t="shared" si="4"/>
        <v>145256.70000000001</v>
      </c>
      <c r="Q17" s="6">
        <f t="shared" si="3"/>
        <v>-0.29999999998835847</v>
      </c>
      <c r="R17" s="48"/>
      <c r="U17" s="213" t="s">
        <v>68</v>
      </c>
      <c r="V17" s="220"/>
      <c r="W17" s="218"/>
    </row>
    <row r="18" spans="1:23" ht="15.75" thickBot="1" x14ac:dyDescent="0.3">
      <c r="A18" s="34"/>
      <c r="B18" s="134">
        <v>44215</v>
      </c>
      <c r="C18" s="36">
        <v>1941</v>
      </c>
      <c r="D18" s="139" t="s">
        <v>45</v>
      </c>
      <c r="E18" s="136">
        <v>44215</v>
      </c>
      <c r="F18" s="37">
        <v>84914</v>
      </c>
      <c r="G18" s="137"/>
      <c r="H18" s="138">
        <v>44215</v>
      </c>
      <c r="I18" s="49">
        <v>624</v>
      </c>
      <c r="J18" s="44"/>
      <c r="K18" s="162"/>
      <c r="L18" s="46"/>
      <c r="M18" s="41">
        <v>78716</v>
      </c>
      <c r="N18" s="42">
        <v>3633</v>
      </c>
      <c r="O18" s="47"/>
      <c r="P18" s="7">
        <f>C18+I18+M18+N18+L18</f>
        <v>84914</v>
      </c>
      <c r="Q18" s="6">
        <f t="shared" si="3"/>
        <v>0</v>
      </c>
      <c r="R18" s="48"/>
      <c r="U18" s="213" t="s">
        <v>69</v>
      </c>
      <c r="V18" s="220"/>
      <c r="W18" s="218"/>
    </row>
    <row r="19" spans="1:23" ht="15.75" thickBot="1" x14ac:dyDescent="0.3">
      <c r="A19" s="34"/>
      <c r="B19" s="134">
        <v>44216</v>
      </c>
      <c r="C19" s="36">
        <v>5412</v>
      </c>
      <c r="D19" s="139" t="s">
        <v>118</v>
      </c>
      <c r="E19" s="136">
        <v>44216</v>
      </c>
      <c r="F19" s="37">
        <v>93079</v>
      </c>
      <c r="G19" s="137"/>
      <c r="H19" s="138">
        <v>44216</v>
      </c>
      <c r="I19" s="49">
        <v>2636</v>
      </c>
      <c r="J19" s="44"/>
      <c r="K19" s="163"/>
      <c r="L19" s="59"/>
      <c r="M19" s="41">
        <v>71562</v>
      </c>
      <c r="N19" s="42">
        <v>13469</v>
      </c>
      <c r="O19" s="47"/>
      <c r="P19" s="7">
        <f>C19+I19+M19+N19+L19</f>
        <v>93079</v>
      </c>
      <c r="Q19" s="6">
        <f t="shared" si="3"/>
        <v>0</v>
      </c>
      <c r="R19" s="58"/>
      <c r="U19" s="213" t="s">
        <v>70</v>
      </c>
      <c r="V19" s="220"/>
      <c r="W19" s="218"/>
    </row>
    <row r="20" spans="1:23" ht="15.75" thickBot="1" x14ac:dyDescent="0.3">
      <c r="A20" s="34"/>
      <c r="B20" s="134">
        <v>44217</v>
      </c>
      <c r="C20" s="36">
        <v>5180</v>
      </c>
      <c r="D20" s="139" t="s">
        <v>119</v>
      </c>
      <c r="E20" s="136">
        <v>44217</v>
      </c>
      <c r="F20" s="37">
        <v>100458</v>
      </c>
      <c r="G20" s="137"/>
      <c r="H20" s="138">
        <v>44217</v>
      </c>
      <c r="I20" s="49">
        <v>585</v>
      </c>
      <c r="J20" s="44"/>
      <c r="K20" s="164"/>
      <c r="L20" s="53"/>
      <c r="M20" s="41">
        <v>91752</v>
      </c>
      <c r="N20" s="42">
        <v>2941</v>
      </c>
      <c r="O20" s="47"/>
      <c r="P20" s="7">
        <f>C20+I20+M20+N20</f>
        <v>100458</v>
      </c>
      <c r="Q20" s="6">
        <f t="shared" si="3"/>
        <v>0</v>
      </c>
      <c r="R20" s="58"/>
      <c r="U20" s="213" t="s">
        <v>71</v>
      </c>
      <c r="V20" s="220"/>
      <c r="W20" s="218"/>
    </row>
    <row r="21" spans="1:23" ht="15.75" thickBot="1" x14ac:dyDescent="0.3">
      <c r="A21" s="34"/>
      <c r="B21" s="134">
        <v>44218</v>
      </c>
      <c r="C21" s="36">
        <v>7914</v>
      </c>
      <c r="D21" s="139" t="s">
        <v>120</v>
      </c>
      <c r="E21" s="136">
        <v>44218</v>
      </c>
      <c r="F21" s="37">
        <v>127995</v>
      </c>
      <c r="G21" s="137"/>
      <c r="H21" s="138">
        <v>44218</v>
      </c>
      <c r="I21" s="49">
        <v>10887</v>
      </c>
      <c r="J21" s="44"/>
      <c r="K21" s="162"/>
      <c r="L21" s="53"/>
      <c r="M21" s="41">
        <f>94325+261+1772</f>
        <v>96358</v>
      </c>
      <c r="N21" s="42">
        <v>15452</v>
      </c>
      <c r="O21" s="47"/>
      <c r="P21" s="7">
        <f>C21+I21+M21+N21+L21</f>
        <v>130611</v>
      </c>
      <c r="Q21" s="201">
        <f t="shared" si="3"/>
        <v>2616</v>
      </c>
      <c r="R21" s="224">
        <v>93</v>
      </c>
      <c r="U21" s="213" t="s">
        <v>72</v>
      </c>
      <c r="V21" s="220"/>
      <c r="W21" s="218"/>
    </row>
    <row r="22" spans="1:23" ht="15.75" thickBot="1" x14ac:dyDescent="0.3">
      <c r="A22" s="34"/>
      <c r="B22" s="134">
        <v>44219</v>
      </c>
      <c r="C22" s="36">
        <v>2749</v>
      </c>
      <c r="D22" s="139" t="s">
        <v>121</v>
      </c>
      <c r="E22" s="136">
        <v>44219</v>
      </c>
      <c r="F22" s="37">
        <v>142397</v>
      </c>
      <c r="G22" s="137"/>
      <c r="H22" s="138">
        <v>44219</v>
      </c>
      <c r="I22" s="49">
        <v>2270</v>
      </c>
      <c r="J22" s="52">
        <v>44219</v>
      </c>
      <c r="K22" s="165" t="s">
        <v>122</v>
      </c>
      <c r="L22" s="61">
        <f>16898.35+400+4000</f>
        <v>21298.35</v>
      </c>
      <c r="M22" s="41">
        <f>103162+15177+280</f>
        <v>118619</v>
      </c>
      <c r="N22" s="42">
        <v>5563</v>
      </c>
      <c r="O22" s="47"/>
      <c r="P22" s="7">
        <f>C22+I22+M22+N22+L22</f>
        <v>150499.35</v>
      </c>
      <c r="Q22" s="202">
        <f>P22-F22</f>
        <v>8102.3500000000058</v>
      </c>
      <c r="R22" s="58"/>
      <c r="U22" s="213" t="s">
        <v>73</v>
      </c>
      <c r="V22" s="220"/>
      <c r="W22" s="218"/>
    </row>
    <row r="23" spans="1:23" ht="15.75" thickBot="1" x14ac:dyDescent="0.3">
      <c r="A23" s="34"/>
      <c r="B23" s="134">
        <v>44220</v>
      </c>
      <c r="C23" s="36">
        <v>20668</v>
      </c>
      <c r="D23" s="139" t="s">
        <v>123</v>
      </c>
      <c r="E23" s="136">
        <v>44220</v>
      </c>
      <c r="F23" s="37">
        <v>114361</v>
      </c>
      <c r="G23" s="137"/>
      <c r="H23" s="138">
        <v>44220</v>
      </c>
      <c r="I23" s="49">
        <v>722</v>
      </c>
      <c r="J23" s="62"/>
      <c r="K23" s="166"/>
      <c r="L23" s="63"/>
      <c r="M23" s="41">
        <v>74166</v>
      </c>
      <c r="N23" s="42">
        <v>18805</v>
      </c>
      <c r="O23" s="47"/>
      <c r="P23" s="7">
        <f>C23+I23+M23+N23+L23</f>
        <v>114361</v>
      </c>
      <c r="Q23" s="6">
        <f>P23-F23</f>
        <v>0</v>
      </c>
      <c r="R23" s="54"/>
      <c r="U23" s="213" t="s">
        <v>74</v>
      </c>
      <c r="V23" s="220"/>
      <c r="W23" s="218"/>
    </row>
    <row r="24" spans="1:23" ht="15.75" thickBot="1" x14ac:dyDescent="0.3">
      <c r="A24" s="34"/>
      <c r="B24" s="134">
        <v>44221</v>
      </c>
      <c r="C24" s="36">
        <v>1369</v>
      </c>
      <c r="D24" s="139" t="s">
        <v>45</v>
      </c>
      <c r="E24" s="136">
        <v>44221</v>
      </c>
      <c r="F24" s="37">
        <v>76677</v>
      </c>
      <c r="G24" s="137"/>
      <c r="H24" s="138">
        <v>44221</v>
      </c>
      <c r="I24" s="49">
        <v>597</v>
      </c>
      <c r="J24" s="156"/>
      <c r="K24" s="167"/>
      <c r="L24" s="64"/>
      <c r="M24" s="41">
        <v>67388</v>
      </c>
      <c r="N24" s="42">
        <v>7323</v>
      </c>
      <c r="O24" s="47"/>
      <c r="P24" s="7">
        <f>C24+I24+M24+N24+L24</f>
        <v>76677</v>
      </c>
      <c r="Q24" s="6">
        <f t="shared" ref="Q24:Q34" si="5">P24-F24</f>
        <v>0</v>
      </c>
      <c r="R24" s="48"/>
      <c r="U24" s="213" t="s">
        <v>75</v>
      </c>
      <c r="V24" s="220"/>
      <c r="W24" s="218"/>
    </row>
    <row r="25" spans="1:23" ht="15.75" thickBot="1" x14ac:dyDescent="0.3">
      <c r="A25" s="34"/>
      <c r="B25" s="134">
        <v>44222</v>
      </c>
      <c r="C25" s="36">
        <v>3969</v>
      </c>
      <c r="D25" s="139" t="s">
        <v>124</v>
      </c>
      <c r="E25" s="136">
        <v>44222</v>
      </c>
      <c r="F25" s="37">
        <v>84243</v>
      </c>
      <c r="G25" s="137"/>
      <c r="H25" s="138">
        <v>44222</v>
      </c>
      <c r="I25" s="49">
        <v>4073</v>
      </c>
      <c r="J25" s="65"/>
      <c r="K25" s="144"/>
      <c r="L25" s="66"/>
      <c r="M25" s="41">
        <v>72066</v>
      </c>
      <c r="N25" s="42">
        <v>4135</v>
      </c>
      <c r="O25" s="47"/>
      <c r="P25" s="7">
        <f t="shared" ref="P25:P26" si="6">C25+I25+M25+N25+L25</f>
        <v>84243</v>
      </c>
      <c r="Q25" s="6">
        <f t="shared" si="5"/>
        <v>0</v>
      </c>
      <c r="R25" s="48"/>
      <c r="U25" s="213" t="s">
        <v>76</v>
      </c>
      <c r="V25" s="220"/>
      <c r="W25" s="218"/>
    </row>
    <row r="26" spans="1:23" ht="15.75" thickBot="1" x14ac:dyDescent="0.3">
      <c r="A26" s="34"/>
      <c r="B26" s="134">
        <v>44223</v>
      </c>
      <c r="C26" s="36">
        <v>13400</v>
      </c>
      <c r="D26" s="139" t="s">
        <v>125</v>
      </c>
      <c r="E26" s="136">
        <v>44223</v>
      </c>
      <c r="F26" s="37">
        <v>94079</v>
      </c>
      <c r="G26" s="137"/>
      <c r="H26" s="138">
        <v>44223</v>
      </c>
      <c r="I26" s="49">
        <v>602</v>
      </c>
      <c r="J26" s="44"/>
      <c r="K26" s="167"/>
      <c r="L26" s="63"/>
      <c r="M26" s="41">
        <f>76661+3067</f>
        <v>79728</v>
      </c>
      <c r="N26" s="257">
        <v>349</v>
      </c>
      <c r="O26" s="47"/>
      <c r="P26" s="7">
        <f t="shared" si="6"/>
        <v>94079</v>
      </c>
      <c r="Q26" s="6">
        <f t="shared" si="5"/>
        <v>0</v>
      </c>
      <c r="R26" s="48"/>
      <c r="U26" s="213" t="s">
        <v>77</v>
      </c>
      <c r="V26" s="220"/>
      <c r="W26" s="218"/>
    </row>
    <row r="27" spans="1:23" ht="15" customHeight="1" thickBot="1" x14ac:dyDescent="0.3">
      <c r="A27" s="34"/>
      <c r="B27" s="134">
        <v>44224</v>
      </c>
      <c r="C27" s="36">
        <v>1667</v>
      </c>
      <c r="D27" s="141" t="s">
        <v>45</v>
      </c>
      <c r="E27" s="136">
        <v>44224</v>
      </c>
      <c r="F27" s="37">
        <v>78818</v>
      </c>
      <c r="G27" s="137"/>
      <c r="H27" s="138">
        <v>44224</v>
      </c>
      <c r="I27" s="49">
        <v>659</v>
      </c>
      <c r="J27" s="67"/>
      <c r="K27" s="168"/>
      <c r="L27" s="66"/>
      <c r="M27" s="41">
        <v>75770</v>
      </c>
      <c r="N27" s="42">
        <v>721</v>
      </c>
      <c r="O27" s="47"/>
      <c r="P27" s="7">
        <f>C27+I27+M27+N27</f>
        <v>78817</v>
      </c>
      <c r="Q27" s="6">
        <f t="shared" si="5"/>
        <v>-1</v>
      </c>
      <c r="R27" s="48"/>
      <c r="U27" s="213" t="s">
        <v>78</v>
      </c>
      <c r="V27" s="220"/>
      <c r="W27" s="218"/>
    </row>
    <row r="28" spans="1:23" ht="15.75" thickBot="1" x14ac:dyDescent="0.3">
      <c r="A28" s="34"/>
      <c r="B28" s="134">
        <v>44225</v>
      </c>
      <c r="C28" s="36">
        <v>1201</v>
      </c>
      <c r="D28" s="141" t="s">
        <v>45</v>
      </c>
      <c r="E28" s="136">
        <v>44225</v>
      </c>
      <c r="F28" s="37">
        <v>123158</v>
      </c>
      <c r="G28" s="137"/>
      <c r="H28" s="138">
        <v>44225</v>
      </c>
      <c r="I28" s="49">
        <v>10625</v>
      </c>
      <c r="J28" s="67"/>
      <c r="K28" s="68"/>
      <c r="L28" s="66"/>
      <c r="M28" s="41">
        <v>106378</v>
      </c>
      <c r="N28" s="42">
        <v>4954</v>
      </c>
      <c r="O28" s="47"/>
      <c r="P28" s="7">
        <f>C28+I28+M28+N28+L28</f>
        <v>123158</v>
      </c>
      <c r="Q28" s="6">
        <f>P28-F28</f>
        <v>0</v>
      </c>
      <c r="R28" s="48"/>
      <c r="U28" s="213" t="s">
        <v>79</v>
      </c>
      <c r="V28" s="220"/>
      <c r="W28" s="218"/>
    </row>
    <row r="29" spans="1:23" ht="15.75" thickBot="1" x14ac:dyDescent="0.3">
      <c r="A29" s="34"/>
      <c r="B29" s="134">
        <v>44226</v>
      </c>
      <c r="C29" s="36">
        <v>5337</v>
      </c>
      <c r="D29" s="143" t="s">
        <v>126</v>
      </c>
      <c r="E29" s="136">
        <v>44226</v>
      </c>
      <c r="F29" s="37">
        <v>137579</v>
      </c>
      <c r="G29" s="137"/>
      <c r="H29" s="138">
        <v>44226</v>
      </c>
      <c r="I29" s="49">
        <v>2297</v>
      </c>
      <c r="J29" s="67">
        <v>44226</v>
      </c>
      <c r="K29" s="169" t="s">
        <v>127</v>
      </c>
      <c r="L29" s="66">
        <f>16963.3+400+4000</f>
        <v>21363.3</v>
      </c>
      <c r="M29" s="41">
        <v>112677</v>
      </c>
      <c r="N29" s="42">
        <v>4310</v>
      </c>
      <c r="O29" s="47"/>
      <c r="P29" s="7">
        <f>C29+I29+M29+N29+L29</f>
        <v>145984.29999999999</v>
      </c>
      <c r="Q29" s="202">
        <f>P29-F29</f>
        <v>8405.2999999999884</v>
      </c>
      <c r="R29" s="48"/>
      <c r="U29" s="213" t="s">
        <v>80</v>
      </c>
      <c r="V29" s="220"/>
      <c r="W29" s="218"/>
    </row>
    <row r="30" spans="1:23" ht="15.75" thickBot="1" x14ac:dyDescent="0.3">
      <c r="A30" s="34"/>
      <c r="B30" s="134">
        <v>44227</v>
      </c>
      <c r="C30" s="36">
        <v>10206</v>
      </c>
      <c r="D30" s="143" t="s">
        <v>128</v>
      </c>
      <c r="E30" s="136">
        <v>44227</v>
      </c>
      <c r="F30" s="37">
        <v>113946</v>
      </c>
      <c r="G30" s="137"/>
      <c r="H30" s="138">
        <v>44227</v>
      </c>
      <c r="I30" s="69">
        <v>550</v>
      </c>
      <c r="J30" s="67"/>
      <c r="K30" s="158"/>
      <c r="L30" s="46"/>
      <c r="M30" s="41">
        <v>103190</v>
      </c>
      <c r="N30" s="42">
        <v>0</v>
      </c>
      <c r="O30" s="47"/>
      <c r="P30" s="7">
        <f>C30+I30+M30+N30+L30</f>
        <v>113946</v>
      </c>
      <c r="Q30" s="6">
        <f t="shared" si="5"/>
        <v>0</v>
      </c>
      <c r="R30" s="48"/>
      <c r="U30" s="213" t="s">
        <v>81</v>
      </c>
      <c r="V30" s="221"/>
      <c r="W30" s="207"/>
    </row>
    <row r="31" spans="1:23" ht="15.75" thickBot="1" x14ac:dyDescent="0.3">
      <c r="A31" s="34"/>
      <c r="B31" s="134">
        <v>44228</v>
      </c>
      <c r="C31" s="36">
        <v>8788</v>
      </c>
      <c r="D31" s="143" t="s">
        <v>129</v>
      </c>
      <c r="E31" s="136">
        <v>44228</v>
      </c>
      <c r="F31" s="37">
        <v>104547</v>
      </c>
      <c r="G31" s="137"/>
      <c r="H31" s="138">
        <v>44228</v>
      </c>
      <c r="I31" s="69">
        <v>385</v>
      </c>
      <c r="J31" s="67">
        <v>44228</v>
      </c>
      <c r="K31" s="227" t="s">
        <v>12</v>
      </c>
      <c r="L31" s="66">
        <v>20000</v>
      </c>
      <c r="M31" s="41">
        <v>75374</v>
      </c>
      <c r="N31" s="42">
        <v>0</v>
      </c>
      <c r="O31" s="47"/>
      <c r="P31" s="7">
        <f>C31+I31+M31+N31+L31</f>
        <v>104547</v>
      </c>
      <c r="Q31" s="6">
        <f t="shared" si="5"/>
        <v>0</v>
      </c>
      <c r="R31" s="48"/>
      <c r="U31" s="213" t="s">
        <v>82</v>
      </c>
      <c r="V31" s="221"/>
      <c r="W31" s="207"/>
    </row>
    <row r="32" spans="1:23" ht="15.75" thickBot="1" x14ac:dyDescent="0.3">
      <c r="A32" s="34"/>
      <c r="B32" s="134">
        <v>44229</v>
      </c>
      <c r="C32" s="36">
        <v>8244</v>
      </c>
      <c r="D32" s="143" t="s">
        <v>50</v>
      </c>
      <c r="E32" s="136">
        <v>44229</v>
      </c>
      <c r="F32" s="70">
        <v>134992</v>
      </c>
      <c r="G32" s="137"/>
      <c r="H32" s="138">
        <v>44229</v>
      </c>
      <c r="I32" s="69">
        <v>479</v>
      </c>
      <c r="J32" s="67"/>
      <c r="K32" s="158"/>
      <c r="L32" s="46"/>
      <c r="M32" s="41">
        <v>120716</v>
      </c>
      <c r="N32" s="42">
        <v>5553</v>
      </c>
      <c r="O32" s="47"/>
      <c r="P32" s="7">
        <f>C32+I32+M32+N32+L32</f>
        <v>134992</v>
      </c>
      <c r="Q32" s="6">
        <f t="shared" si="5"/>
        <v>0</v>
      </c>
      <c r="R32" s="48"/>
      <c r="U32" s="213" t="s">
        <v>83</v>
      </c>
      <c r="V32" s="221"/>
      <c r="W32" s="207"/>
    </row>
    <row r="33" spans="1:23" ht="15.75" thickBot="1" x14ac:dyDescent="0.3">
      <c r="A33" s="34"/>
      <c r="B33" s="134">
        <v>44230</v>
      </c>
      <c r="C33" s="36">
        <v>4397</v>
      </c>
      <c r="D33" s="228" t="s">
        <v>130</v>
      </c>
      <c r="E33" s="136">
        <v>44230</v>
      </c>
      <c r="F33" s="71">
        <v>88039</v>
      </c>
      <c r="G33" s="137"/>
      <c r="H33" s="138">
        <v>44230</v>
      </c>
      <c r="I33" s="69">
        <v>2495</v>
      </c>
      <c r="J33" s="67"/>
      <c r="K33" s="158"/>
      <c r="L33" s="71"/>
      <c r="M33" s="41">
        <f>74838+3056</f>
        <v>77894</v>
      </c>
      <c r="N33" s="42">
        <v>3253</v>
      </c>
      <c r="O33" s="47"/>
      <c r="P33" s="7">
        <f t="shared" ref="P33" si="7">C33+I33+M33+N33+L33</f>
        <v>88039</v>
      </c>
      <c r="Q33" s="6">
        <f t="shared" si="5"/>
        <v>0</v>
      </c>
      <c r="R33" s="48"/>
      <c r="U33" s="213" t="s">
        <v>84</v>
      </c>
      <c r="V33" s="221"/>
      <c r="W33" s="207"/>
    </row>
    <row r="34" spans="1:23" ht="15.75" thickBot="1" x14ac:dyDescent="0.3">
      <c r="A34" s="34"/>
      <c r="B34" s="134"/>
      <c r="C34" s="36"/>
      <c r="D34" s="144"/>
      <c r="E34" s="136"/>
      <c r="F34" s="71"/>
      <c r="G34" s="137"/>
      <c r="H34" s="138"/>
      <c r="I34" s="69"/>
      <c r="J34" s="67"/>
      <c r="K34" s="157"/>
      <c r="L34" s="6"/>
      <c r="M34" s="41">
        <v>0</v>
      </c>
      <c r="N34" s="42">
        <v>0</v>
      </c>
      <c r="O34" s="47"/>
      <c r="P34" s="7">
        <f>C34+I34+M34+N34+L34</f>
        <v>0</v>
      </c>
      <c r="Q34" s="6">
        <f t="shared" si="5"/>
        <v>0</v>
      </c>
      <c r="R34" s="48"/>
      <c r="U34" s="213" t="s">
        <v>85</v>
      </c>
      <c r="V34" s="221"/>
      <c r="W34" s="207"/>
    </row>
    <row r="35" spans="1:23" ht="15.75" thickBot="1" x14ac:dyDescent="0.3">
      <c r="A35" s="34"/>
      <c r="B35" s="226">
        <v>44203</v>
      </c>
      <c r="C35" s="225">
        <v>30394.12</v>
      </c>
      <c r="D35" s="144"/>
      <c r="E35" s="136"/>
      <c r="F35" s="71"/>
      <c r="G35" s="137"/>
      <c r="H35" s="138"/>
      <c r="I35" s="69"/>
      <c r="J35" s="67">
        <v>44203</v>
      </c>
      <c r="K35" s="252" t="s">
        <v>259</v>
      </c>
      <c r="L35" s="71">
        <v>4880</v>
      </c>
      <c r="M35" s="41">
        <v>0</v>
      </c>
      <c r="N35" s="42">
        <v>0</v>
      </c>
      <c r="O35" s="47"/>
      <c r="P35" s="7">
        <v>0</v>
      </c>
      <c r="Q35" s="6">
        <v>0</v>
      </c>
      <c r="R35" s="48"/>
      <c r="U35" s="213" t="s">
        <v>86</v>
      </c>
      <c r="V35" s="221"/>
      <c r="W35" s="207"/>
    </row>
    <row r="36" spans="1:23" ht="15" customHeight="1" thickBot="1" x14ac:dyDescent="0.3">
      <c r="A36" s="34"/>
      <c r="B36" s="226">
        <v>44204</v>
      </c>
      <c r="C36" s="225">
        <v>14246.86</v>
      </c>
      <c r="D36" s="144"/>
      <c r="E36" s="136"/>
      <c r="F36" s="71"/>
      <c r="G36" s="137"/>
      <c r="H36" s="138"/>
      <c r="I36" s="69"/>
      <c r="J36" s="67">
        <v>44204</v>
      </c>
      <c r="K36" s="165" t="s">
        <v>131</v>
      </c>
      <c r="L36" s="6">
        <v>6055</v>
      </c>
      <c r="M36" s="41">
        <v>0</v>
      </c>
      <c r="N36" s="42">
        <v>0</v>
      </c>
      <c r="O36" s="47"/>
      <c r="P36" s="7">
        <v>0</v>
      </c>
      <c r="Q36" s="6">
        <v>0</v>
      </c>
      <c r="R36" s="48"/>
      <c r="U36" s="213" t="s">
        <v>87</v>
      </c>
      <c r="V36" s="221"/>
      <c r="W36" s="207"/>
    </row>
    <row r="37" spans="1:23" ht="19.5" customHeight="1" thickBot="1" x14ac:dyDescent="0.3">
      <c r="A37" s="34"/>
      <c r="B37" s="226">
        <v>44205</v>
      </c>
      <c r="C37" s="225">
        <v>12466.83</v>
      </c>
      <c r="D37" s="144"/>
      <c r="E37" s="136"/>
      <c r="F37" s="71"/>
      <c r="G37" s="137"/>
      <c r="H37" s="138"/>
      <c r="I37" s="69"/>
      <c r="J37" s="67">
        <v>44207</v>
      </c>
      <c r="K37" s="251" t="s">
        <v>132</v>
      </c>
      <c r="L37" s="71">
        <v>3000</v>
      </c>
      <c r="M37" s="41">
        <v>0</v>
      </c>
      <c r="N37" s="42">
        <v>0</v>
      </c>
      <c r="O37" s="47"/>
      <c r="P37" s="7">
        <v>0</v>
      </c>
      <c r="Q37" s="6">
        <v>0</v>
      </c>
      <c r="R37" s="48"/>
      <c r="U37" s="213" t="s">
        <v>88</v>
      </c>
      <c r="V37" s="221"/>
      <c r="W37" s="207"/>
    </row>
    <row r="38" spans="1:23" ht="15" customHeight="1" thickBot="1" x14ac:dyDescent="0.3">
      <c r="A38" s="34"/>
      <c r="B38" s="226">
        <v>44207</v>
      </c>
      <c r="C38" s="225">
        <v>9901.66</v>
      </c>
      <c r="D38" s="144"/>
      <c r="E38" s="136"/>
      <c r="F38" s="71"/>
      <c r="G38" s="137"/>
      <c r="H38" s="138"/>
      <c r="I38" s="69"/>
      <c r="J38" s="67">
        <v>44208</v>
      </c>
      <c r="K38" s="171" t="s">
        <v>133</v>
      </c>
      <c r="L38" s="71">
        <v>4563.3900000000003</v>
      </c>
      <c r="M38" s="41">
        <v>0</v>
      </c>
      <c r="N38" s="42">
        <v>0</v>
      </c>
      <c r="O38" s="47"/>
      <c r="P38" s="7">
        <v>0</v>
      </c>
      <c r="Q38" s="6">
        <v>0</v>
      </c>
      <c r="R38" s="48"/>
      <c r="U38" s="213" t="s">
        <v>89</v>
      </c>
      <c r="V38" s="221"/>
      <c r="W38" s="207"/>
    </row>
    <row r="39" spans="1:23" ht="15" customHeight="1" thickBot="1" x14ac:dyDescent="0.3">
      <c r="A39" s="34"/>
      <c r="B39" s="226">
        <v>44208</v>
      </c>
      <c r="C39" s="225">
        <v>16408.63</v>
      </c>
      <c r="D39" s="144"/>
      <c r="E39" s="136"/>
      <c r="F39" s="71"/>
      <c r="G39" s="137"/>
      <c r="H39" s="138"/>
      <c r="I39" s="69"/>
      <c r="J39" s="67">
        <v>44209</v>
      </c>
      <c r="K39" s="157" t="s">
        <v>260</v>
      </c>
      <c r="L39" s="71">
        <v>5610.99</v>
      </c>
      <c r="M39" s="41">
        <v>0</v>
      </c>
      <c r="N39" s="42">
        <v>0</v>
      </c>
      <c r="O39" s="47"/>
      <c r="P39" s="7">
        <v>0</v>
      </c>
      <c r="Q39" s="6">
        <v>0</v>
      </c>
      <c r="R39" s="48"/>
      <c r="U39" s="213" t="s">
        <v>90</v>
      </c>
      <c r="V39" s="221"/>
      <c r="W39" s="207"/>
    </row>
    <row r="40" spans="1:23" ht="15" customHeight="1" thickBot="1" x14ac:dyDescent="0.3">
      <c r="A40" s="34"/>
      <c r="B40" s="226">
        <v>44209</v>
      </c>
      <c r="C40" s="225">
        <v>19720</v>
      </c>
      <c r="D40" s="144"/>
      <c r="E40" s="136"/>
      <c r="F40" s="71"/>
      <c r="G40" s="137"/>
      <c r="H40" s="138"/>
      <c r="I40" s="69"/>
      <c r="J40" s="67">
        <v>44211</v>
      </c>
      <c r="K40" s="171" t="s">
        <v>134</v>
      </c>
      <c r="L40" s="71">
        <v>5800</v>
      </c>
      <c r="M40" s="41">
        <v>0</v>
      </c>
      <c r="N40" s="42">
        <v>0</v>
      </c>
      <c r="O40" s="47"/>
      <c r="P40" s="7">
        <v>0</v>
      </c>
      <c r="Q40" s="6">
        <v>0</v>
      </c>
      <c r="R40" s="48"/>
      <c r="U40" s="213" t="s">
        <v>91</v>
      </c>
      <c r="V40" s="221"/>
      <c r="W40" s="207"/>
    </row>
    <row r="41" spans="1:23" ht="15" customHeight="1" thickBot="1" x14ac:dyDescent="0.3">
      <c r="A41" s="34"/>
      <c r="B41" s="226">
        <v>44210</v>
      </c>
      <c r="C41" s="225">
        <v>15779.04</v>
      </c>
      <c r="D41" s="144"/>
      <c r="E41" s="136"/>
      <c r="F41" s="71"/>
      <c r="G41" s="137"/>
      <c r="H41" s="138"/>
      <c r="I41" s="69"/>
      <c r="J41" s="67">
        <v>44214</v>
      </c>
      <c r="K41" s="170" t="s">
        <v>261</v>
      </c>
      <c r="L41" s="71">
        <v>24526.41</v>
      </c>
      <c r="M41" s="41">
        <v>0</v>
      </c>
      <c r="N41" s="42">
        <v>0</v>
      </c>
      <c r="O41" s="47"/>
      <c r="P41" s="7">
        <v>0</v>
      </c>
      <c r="Q41" s="6">
        <v>0</v>
      </c>
      <c r="R41" s="48"/>
      <c r="U41" s="213" t="s">
        <v>92</v>
      </c>
      <c r="V41" s="221"/>
      <c r="W41" s="207"/>
    </row>
    <row r="42" spans="1:23" ht="15" customHeight="1" thickBot="1" x14ac:dyDescent="0.3">
      <c r="A42" s="34"/>
      <c r="B42" s="226">
        <v>44212</v>
      </c>
      <c r="C42" s="225">
        <v>21877.27</v>
      </c>
      <c r="D42" s="144"/>
      <c r="E42" s="136"/>
      <c r="F42" s="71"/>
      <c r="G42" s="137"/>
      <c r="H42" s="138"/>
      <c r="I42" s="69"/>
      <c r="J42" s="67">
        <v>44214</v>
      </c>
      <c r="K42" s="158" t="s">
        <v>135</v>
      </c>
      <c r="L42" s="71">
        <f>9720+9345+705</f>
        <v>19770</v>
      </c>
      <c r="M42" s="41">
        <v>0</v>
      </c>
      <c r="N42" s="42">
        <v>0</v>
      </c>
      <c r="O42" s="47"/>
      <c r="P42" s="7">
        <v>0</v>
      </c>
      <c r="Q42" s="6">
        <v>0</v>
      </c>
      <c r="R42" s="48"/>
      <c r="U42" s="213" t="s">
        <v>93</v>
      </c>
      <c r="V42" s="221"/>
      <c r="W42" s="207"/>
    </row>
    <row r="43" spans="1:23" ht="16.149999999999999" customHeight="1" thickBot="1" x14ac:dyDescent="0.3">
      <c r="A43" s="34"/>
      <c r="B43" s="226">
        <v>44214</v>
      </c>
      <c r="C43" s="225">
        <v>8529.94</v>
      </c>
      <c r="D43" s="147"/>
      <c r="E43" s="136"/>
      <c r="F43" s="71"/>
      <c r="G43" s="137"/>
      <c r="H43" s="138"/>
      <c r="I43" s="69"/>
      <c r="J43" s="67">
        <v>44214</v>
      </c>
      <c r="K43" s="158" t="s">
        <v>136</v>
      </c>
      <c r="L43" s="71">
        <v>986</v>
      </c>
      <c r="M43" s="41">
        <v>0</v>
      </c>
      <c r="N43" s="42">
        <v>0</v>
      </c>
      <c r="O43" s="47"/>
      <c r="P43" s="7">
        <v>0</v>
      </c>
      <c r="Q43" s="6">
        <v>0</v>
      </c>
      <c r="R43" s="48"/>
      <c r="U43" s="213" t="s">
        <v>94</v>
      </c>
      <c r="V43" s="221"/>
      <c r="W43" s="207"/>
    </row>
    <row r="44" spans="1:23" ht="16.149999999999999" customHeight="1" thickBot="1" x14ac:dyDescent="0.3">
      <c r="A44" s="34"/>
      <c r="B44" s="226">
        <v>44215</v>
      </c>
      <c r="C44" s="225">
        <v>13042.72</v>
      </c>
      <c r="D44" s="148"/>
      <c r="E44" s="149"/>
      <c r="F44" s="74"/>
      <c r="G44" s="137"/>
      <c r="H44" s="138"/>
      <c r="I44" s="69"/>
      <c r="J44" s="67">
        <v>44215</v>
      </c>
      <c r="K44" s="253" t="s">
        <v>137</v>
      </c>
      <c r="L44" s="71">
        <f>25960.8+4315.2+23367.04</f>
        <v>53643.040000000001</v>
      </c>
      <c r="M44" s="41">
        <v>0</v>
      </c>
      <c r="N44" s="42">
        <v>0</v>
      </c>
      <c r="O44" s="47"/>
      <c r="P44" s="7">
        <v>0</v>
      </c>
      <c r="Q44" s="6">
        <v>0</v>
      </c>
      <c r="R44" s="48"/>
      <c r="U44" s="213" t="s">
        <v>95</v>
      </c>
      <c r="V44" s="221"/>
      <c r="W44" s="207"/>
    </row>
    <row r="45" spans="1:23" ht="16.149999999999999" customHeight="1" thickBot="1" x14ac:dyDescent="0.3">
      <c r="A45" s="34"/>
      <c r="B45" s="226">
        <v>44216</v>
      </c>
      <c r="C45" s="225">
        <v>18810.37</v>
      </c>
      <c r="D45" s="148"/>
      <c r="E45" s="149"/>
      <c r="F45" s="74"/>
      <c r="G45" s="137"/>
      <c r="H45" s="138"/>
      <c r="I45" s="69"/>
      <c r="J45" s="67">
        <v>44218</v>
      </c>
      <c r="K45" s="254" t="s">
        <v>138</v>
      </c>
      <c r="L45" s="75">
        <v>10022.4</v>
      </c>
      <c r="M45" s="41">
        <v>0</v>
      </c>
      <c r="N45" s="42">
        <v>0</v>
      </c>
      <c r="O45" s="47"/>
      <c r="P45" s="7">
        <v>0</v>
      </c>
      <c r="Q45" s="6">
        <v>0</v>
      </c>
      <c r="R45" s="48"/>
      <c r="U45" s="213" t="s">
        <v>96</v>
      </c>
      <c r="V45" s="221"/>
      <c r="W45" s="207"/>
    </row>
    <row r="46" spans="1:23" ht="16.149999999999999" customHeight="1" thickBot="1" x14ac:dyDescent="0.3">
      <c r="A46" s="34"/>
      <c r="B46" s="226">
        <v>44217</v>
      </c>
      <c r="C46" s="225">
        <v>13715.81</v>
      </c>
      <c r="D46" s="148"/>
      <c r="E46" s="150"/>
      <c r="F46" s="74"/>
      <c r="G46" s="137"/>
      <c r="H46" s="138"/>
      <c r="I46" s="69"/>
      <c r="J46" s="67">
        <v>44221</v>
      </c>
      <c r="K46" s="255" t="s">
        <v>139</v>
      </c>
      <c r="L46" s="75">
        <f>3700+500</f>
        <v>4200</v>
      </c>
      <c r="M46" s="41">
        <v>0</v>
      </c>
      <c r="N46" s="42">
        <v>0</v>
      </c>
      <c r="O46" s="47"/>
      <c r="P46" s="7">
        <v>0</v>
      </c>
      <c r="Q46" s="6">
        <v>0</v>
      </c>
      <c r="R46" s="48"/>
      <c r="U46" s="213" t="s">
        <v>97</v>
      </c>
      <c r="V46" s="221"/>
      <c r="W46" s="207"/>
    </row>
    <row r="47" spans="1:23" ht="16.149999999999999" customHeight="1" thickBot="1" x14ac:dyDescent="0.3">
      <c r="A47" s="34"/>
      <c r="B47" s="226">
        <v>44219</v>
      </c>
      <c r="C47" s="225">
        <v>25365.19</v>
      </c>
      <c r="D47" s="151"/>
      <c r="E47" s="150"/>
      <c r="F47" s="74"/>
      <c r="G47" s="137"/>
      <c r="H47" s="138"/>
      <c r="I47" s="69"/>
      <c r="J47" s="67">
        <v>44222</v>
      </c>
      <c r="K47" s="171" t="s">
        <v>140</v>
      </c>
      <c r="L47" s="75">
        <v>348</v>
      </c>
      <c r="M47" s="41">
        <v>0</v>
      </c>
      <c r="N47" s="42">
        <v>0</v>
      </c>
      <c r="O47" s="47"/>
      <c r="P47" s="7">
        <v>0</v>
      </c>
      <c r="Q47" s="6">
        <v>0</v>
      </c>
      <c r="R47" s="48"/>
      <c r="U47" s="213" t="s">
        <v>98</v>
      </c>
      <c r="V47" s="221"/>
      <c r="W47" s="207"/>
    </row>
    <row r="48" spans="1:23" ht="16.149999999999999" customHeight="1" thickBot="1" x14ac:dyDescent="0.3">
      <c r="A48" s="34"/>
      <c r="B48" s="226">
        <v>44221</v>
      </c>
      <c r="C48" s="225">
        <v>25421.5</v>
      </c>
      <c r="D48" s="151"/>
      <c r="E48" s="150"/>
      <c r="F48" s="74"/>
      <c r="G48" s="137"/>
      <c r="H48" s="145"/>
      <c r="I48" s="69"/>
      <c r="J48" s="67">
        <v>44222</v>
      </c>
      <c r="K48" s="40" t="s">
        <v>141</v>
      </c>
      <c r="L48" s="50">
        <v>23331</v>
      </c>
      <c r="M48" s="77"/>
      <c r="N48" s="42"/>
      <c r="O48" s="47"/>
      <c r="P48" s="7">
        <v>0</v>
      </c>
      <c r="Q48" s="6">
        <v>0</v>
      </c>
      <c r="R48" s="48"/>
      <c r="U48" s="213" t="s">
        <v>99</v>
      </c>
      <c r="V48" s="221"/>
      <c r="W48" s="207"/>
    </row>
    <row r="49" spans="1:23" ht="16.5" thickBot="1" x14ac:dyDescent="0.3">
      <c r="A49" s="34"/>
      <c r="B49" s="226">
        <v>44225</v>
      </c>
      <c r="C49" s="225">
        <v>20030.84</v>
      </c>
      <c r="D49" s="151"/>
      <c r="E49" s="150"/>
      <c r="F49" s="74"/>
      <c r="G49" s="137"/>
      <c r="H49" s="145"/>
      <c r="I49" s="69"/>
      <c r="J49" s="67">
        <v>44224</v>
      </c>
      <c r="K49" s="256" t="s">
        <v>142</v>
      </c>
      <c r="L49" s="50">
        <v>1884.94</v>
      </c>
      <c r="M49" s="77"/>
      <c r="N49" s="42"/>
      <c r="O49" s="47"/>
      <c r="P49" s="7">
        <v>0</v>
      </c>
      <c r="Q49" s="6">
        <v>0</v>
      </c>
      <c r="R49" s="48"/>
      <c r="U49" s="213" t="s">
        <v>100</v>
      </c>
      <c r="V49" s="221"/>
      <c r="W49" s="207"/>
    </row>
    <row r="50" spans="1:23" ht="16.5" thickBot="1" x14ac:dyDescent="0.3">
      <c r="A50" s="34"/>
      <c r="B50" s="226">
        <v>44229</v>
      </c>
      <c r="C50" s="225">
        <v>16491.599999999999</v>
      </c>
      <c r="D50" s="152"/>
      <c r="E50" s="149"/>
      <c r="F50" s="74"/>
      <c r="G50" s="137"/>
      <c r="H50" s="145"/>
      <c r="I50" s="69"/>
      <c r="J50" s="67">
        <v>44225</v>
      </c>
      <c r="K50" s="172" t="s">
        <v>143</v>
      </c>
      <c r="L50" s="75">
        <v>1697.17</v>
      </c>
      <c r="M50" s="77"/>
      <c r="N50" s="42"/>
      <c r="O50" s="47"/>
      <c r="P50" s="7">
        <v>0</v>
      </c>
      <c r="Q50" s="6">
        <v>0</v>
      </c>
      <c r="R50" s="48"/>
      <c r="U50" s="213" t="s">
        <v>101</v>
      </c>
      <c r="V50" s="221"/>
      <c r="W50" s="207"/>
    </row>
    <row r="51" spans="1:23" ht="16.5" thickBot="1" x14ac:dyDescent="0.3">
      <c r="A51" s="34"/>
      <c r="B51" s="146"/>
      <c r="C51" s="71"/>
      <c r="D51" s="151"/>
      <c r="E51" s="149"/>
      <c r="F51" s="74"/>
      <c r="G51" s="137"/>
      <c r="H51" s="145"/>
      <c r="I51" s="69"/>
      <c r="J51" s="67">
        <v>44225</v>
      </c>
      <c r="K51" s="172" t="s">
        <v>144</v>
      </c>
      <c r="L51" s="75">
        <v>522</v>
      </c>
      <c r="M51" s="77"/>
      <c r="N51" s="42"/>
      <c r="O51" s="47"/>
      <c r="P51" s="7">
        <v>0</v>
      </c>
      <c r="Q51" s="6">
        <v>0</v>
      </c>
      <c r="R51" s="48"/>
      <c r="U51" s="213" t="s">
        <v>102</v>
      </c>
      <c r="V51" s="221"/>
      <c r="W51" s="207"/>
    </row>
    <row r="52" spans="1:23" ht="16.5" customHeight="1" thickBot="1" x14ac:dyDescent="0.35">
      <c r="A52" s="34"/>
      <c r="B52" s="146"/>
      <c r="C52" s="71"/>
      <c r="D52" s="153"/>
      <c r="E52" s="136"/>
      <c r="F52" s="71"/>
      <c r="G52" s="137"/>
      <c r="H52" s="145"/>
      <c r="I52" s="69"/>
      <c r="J52" s="67">
        <v>44225</v>
      </c>
      <c r="K52" s="172" t="s">
        <v>145</v>
      </c>
      <c r="L52" s="75">
        <v>5962</v>
      </c>
      <c r="M52" s="77"/>
      <c r="N52" s="42"/>
      <c r="O52" s="47"/>
      <c r="P52" s="7">
        <v>0</v>
      </c>
      <c r="Q52" s="6">
        <v>0</v>
      </c>
      <c r="R52" s="48"/>
      <c r="U52" s="213" t="s">
        <v>103</v>
      </c>
      <c r="V52" s="221"/>
      <c r="W52" s="207"/>
    </row>
    <row r="53" spans="1:23" ht="15.75" customHeight="1" thickBot="1" x14ac:dyDescent="0.35">
      <c r="A53" s="34"/>
      <c r="B53" s="146"/>
      <c r="C53" s="71"/>
      <c r="D53" s="153"/>
      <c r="E53" s="136"/>
      <c r="F53" s="71"/>
      <c r="G53" s="137"/>
      <c r="H53" s="145"/>
      <c r="I53" s="69"/>
      <c r="J53" s="67">
        <v>44225</v>
      </c>
      <c r="K53" s="171" t="s">
        <v>146</v>
      </c>
      <c r="L53" s="75">
        <v>5005.2700000000004</v>
      </c>
      <c r="M53" s="77"/>
      <c r="N53" s="42"/>
      <c r="O53" s="47"/>
      <c r="P53" s="7">
        <v>0</v>
      </c>
      <c r="Q53" s="6">
        <v>0</v>
      </c>
      <c r="R53" s="48"/>
      <c r="U53" s="213" t="s">
        <v>104</v>
      </c>
      <c r="V53" s="221"/>
      <c r="W53" s="207"/>
    </row>
    <row r="54" spans="1:23" ht="15.75" customHeight="1" thickBot="1" x14ac:dyDescent="0.35">
      <c r="A54" s="34"/>
      <c r="B54" s="146"/>
      <c r="C54" s="71"/>
      <c r="D54" s="153"/>
      <c r="E54" s="136"/>
      <c r="F54" s="71"/>
      <c r="G54" s="137"/>
      <c r="H54" s="145"/>
      <c r="I54" s="69"/>
      <c r="J54" s="67"/>
      <c r="K54" s="254"/>
      <c r="L54" s="71">
        <v>0</v>
      </c>
      <c r="M54" s="41"/>
      <c r="N54" s="42"/>
      <c r="O54" s="47"/>
      <c r="P54" s="7">
        <v>0</v>
      </c>
      <c r="Q54" s="6">
        <v>0</v>
      </c>
      <c r="R54" s="48"/>
      <c r="U54" s="213" t="s">
        <v>105</v>
      </c>
      <c r="V54" s="221"/>
      <c r="W54" s="207"/>
    </row>
    <row r="55" spans="1:23" ht="15" hidden="1" customHeight="1" thickBot="1" x14ac:dyDescent="0.35">
      <c r="A55" s="34"/>
      <c r="B55" s="146"/>
      <c r="C55" s="71"/>
      <c r="D55" s="153"/>
      <c r="E55" s="136"/>
      <c r="F55" s="71"/>
      <c r="G55" s="137"/>
      <c r="H55" s="145"/>
      <c r="I55" s="69"/>
      <c r="J55" s="67"/>
      <c r="K55" s="76"/>
      <c r="L55" s="75"/>
      <c r="M55" s="41">
        <v>0</v>
      </c>
      <c r="N55" s="42">
        <v>0</v>
      </c>
      <c r="O55" s="47"/>
      <c r="P55" s="7">
        <v>0</v>
      </c>
      <c r="Q55" s="7"/>
      <c r="R55" s="48"/>
      <c r="U55" s="212"/>
      <c r="V55" s="222"/>
      <c r="W55" s="207"/>
    </row>
    <row r="56" spans="1:23" ht="15.75" hidden="1" customHeight="1" thickBot="1" x14ac:dyDescent="0.35">
      <c r="A56" s="34"/>
      <c r="B56" s="146"/>
      <c r="C56" s="71"/>
      <c r="D56" s="153"/>
      <c r="E56" s="154"/>
      <c r="F56" s="79"/>
      <c r="G56" s="137"/>
      <c r="H56" s="145"/>
      <c r="I56" s="80"/>
      <c r="J56" s="67"/>
      <c r="K56" s="81"/>
      <c r="L56" s="50"/>
      <c r="M56" s="41"/>
      <c r="N56" s="42"/>
      <c r="O56" s="47"/>
      <c r="P56" s="7">
        <v>0</v>
      </c>
      <c r="Q56" s="7"/>
      <c r="R56" s="48"/>
      <c r="U56" s="212"/>
      <c r="V56" s="222"/>
      <c r="W56" s="207"/>
    </row>
    <row r="57" spans="1:23" ht="15.75" hidden="1" customHeight="1" thickBot="1" x14ac:dyDescent="0.3">
      <c r="A57" s="34"/>
      <c r="B57" s="146"/>
      <c r="C57" s="71"/>
      <c r="D57" s="155"/>
      <c r="E57" s="154"/>
      <c r="F57" s="79"/>
      <c r="G57" s="137"/>
      <c r="H57" s="145"/>
      <c r="I57" s="80"/>
      <c r="J57" s="67"/>
      <c r="K57" s="157"/>
      <c r="L57" s="50"/>
      <c r="M57" s="41"/>
      <c r="N57" s="42"/>
      <c r="O57" s="47"/>
      <c r="P57" s="7">
        <v>0</v>
      </c>
      <c r="Q57" s="7"/>
      <c r="R57" s="48"/>
      <c r="U57" s="212"/>
      <c r="V57" s="222"/>
      <c r="W57" s="207"/>
    </row>
    <row r="58" spans="1:23" ht="15.75" hidden="1" customHeight="1" thickBot="1" x14ac:dyDescent="0.3">
      <c r="A58" s="34"/>
      <c r="B58" s="146"/>
      <c r="C58" s="71"/>
      <c r="D58" s="155"/>
      <c r="E58" s="154"/>
      <c r="F58" s="79"/>
      <c r="G58" s="137"/>
      <c r="H58" s="145"/>
      <c r="I58" s="80"/>
      <c r="J58" s="67"/>
      <c r="K58" s="157"/>
      <c r="L58" s="50"/>
      <c r="M58" s="41"/>
      <c r="N58" s="42"/>
      <c r="O58" s="47"/>
      <c r="P58" s="7">
        <v>0</v>
      </c>
      <c r="Q58" s="7"/>
      <c r="R58" s="48"/>
      <c r="U58" s="212"/>
      <c r="V58" s="222"/>
      <c r="W58" s="207"/>
    </row>
    <row r="59" spans="1:23" ht="15.75" hidden="1" customHeight="1" thickBot="1" x14ac:dyDescent="0.3">
      <c r="A59" s="34"/>
      <c r="B59" s="146"/>
      <c r="C59" s="71"/>
      <c r="D59" s="155"/>
      <c r="E59" s="154"/>
      <c r="F59" s="79"/>
      <c r="G59" s="137"/>
      <c r="H59" s="145"/>
      <c r="I59" s="80"/>
      <c r="J59" s="67"/>
      <c r="K59" s="81"/>
      <c r="L59" s="50"/>
      <c r="M59" s="41"/>
      <c r="N59" s="42"/>
      <c r="O59" s="47"/>
      <c r="P59" s="7">
        <v>0</v>
      </c>
      <c r="Q59" s="7"/>
      <c r="R59" s="48"/>
      <c r="U59" s="212"/>
      <c r="V59" s="222"/>
      <c r="W59" s="207"/>
    </row>
    <row r="60" spans="1:23" ht="15.75" hidden="1" customHeight="1" thickBot="1" x14ac:dyDescent="0.3">
      <c r="A60" s="34"/>
      <c r="B60" s="35"/>
      <c r="C60" s="71"/>
      <c r="D60" s="82"/>
      <c r="E60" s="78"/>
      <c r="F60" s="79"/>
      <c r="H60" s="73"/>
      <c r="I60" s="80"/>
      <c r="J60" s="67"/>
      <c r="K60" s="81"/>
      <c r="L60" s="50"/>
      <c r="M60" s="41"/>
      <c r="N60" s="42"/>
      <c r="O60" s="47"/>
      <c r="P60" s="7">
        <v>0</v>
      </c>
      <c r="Q60" s="7"/>
      <c r="R60" s="48"/>
      <c r="U60" s="212"/>
      <c r="V60" s="222"/>
      <c r="W60" s="207"/>
    </row>
    <row r="61" spans="1:23" ht="15.75" thickBot="1" x14ac:dyDescent="0.3">
      <c r="A61" s="34"/>
      <c r="B61" s="35"/>
      <c r="C61" s="36">
        <v>0</v>
      </c>
      <c r="D61" s="82"/>
      <c r="E61" s="78"/>
      <c r="F61" s="79"/>
      <c r="H61" s="73"/>
      <c r="I61" s="80"/>
      <c r="J61" s="67"/>
      <c r="K61" s="83"/>
      <c r="L61" s="6"/>
      <c r="M61" s="41">
        <v>0</v>
      </c>
      <c r="N61" s="42">
        <v>0</v>
      </c>
      <c r="O61" s="47"/>
      <c r="P61" s="84"/>
      <c r="Q61" s="84"/>
      <c r="R61" s="48"/>
      <c r="U61" s="210"/>
      <c r="V61" s="222"/>
      <c r="W61" s="207"/>
    </row>
    <row r="62" spans="1:23" ht="16.5" thickBot="1" x14ac:dyDescent="0.3">
      <c r="B62" s="85" t="s">
        <v>13</v>
      </c>
      <c r="C62" s="86">
        <f>SUM(C5:C61)</f>
        <v>481638.57999999996</v>
      </c>
      <c r="D62" s="87"/>
      <c r="E62" s="88" t="s">
        <v>13</v>
      </c>
      <c r="F62" s="89">
        <f>SUM(F5:F61)</f>
        <v>3208273</v>
      </c>
      <c r="G62" s="87"/>
      <c r="H62" s="90" t="s">
        <v>14</v>
      </c>
      <c r="I62" s="91">
        <f>SUM(I5:I61)</f>
        <v>71441</v>
      </c>
      <c r="J62" s="92"/>
      <c r="K62" s="93" t="s">
        <v>15</v>
      </c>
      <c r="L62" s="94">
        <f>SUM(L5:L61)</f>
        <v>289312.84999999998</v>
      </c>
      <c r="M62" s="95">
        <f>SUM(M5:M61)</f>
        <v>2654267.7000000002</v>
      </c>
      <c r="N62" s="95">
        <f>SUM(N5:N61)</f>
        <v>232247</v>
      </c>
      <c r="O62" s="96"/>
      <c r="P62" s="7">
        <f>SUM(P5:P61)</f>
        <v>3264897.1399999997</v>
      </c>
      <c r="Q62" s="7">
        <f>SUM(Q5:Q61)</f>
        <v>56624.139999999985</v>
      </c>
      <c r="R62" s="97"/>
      <c r="U62" s="210"/>
      <c r="V62" s="222"/>
      <c r="W62" s="207"/>
    </row>
    <row r="63" spans="1:23" ht="20.25" thickTop="1" thickBot="1" x14ac:dyDescent="0.3">
      <c r="C63" s="8" t="s">
        <v>11</v>
      </c>
      <c r="O63" s="96"/>
      <c r="P63" s="7"/>
      <c r="Q63" s="7"/>
      <c r="R63" s="98"/>
      <c r="S63" s="99"/>
      <c r="U63" s="211"/>
      <c r="V63" s="223"/>
      <c r="W63" s="208"/>
    </row>
    <row r="64" spans="1:23" ht="17.25" customHeight="1" thickBot="1" x14ac:dyDescent="0.3">
      <c r="A64" s="60"/>
      <c r="B64" s="100"/>
      <c r="C64" s="4"/>
      <c r="H64" s="548" t="s">
        <v>16</v>
      </c>
      <c r="I64" s="549"/>
      <c r="J64" s="101"/>
      <c r="K64" s="550">
        <f>I62+L62</f>
        <v>360753.85</v>
      </c>
      <c r="L64" s="551"/>
      <c r="M64" s="552">
        <f>M62+N62</f>
        <v>2886514.7</v>
      </c>
      <c r="N64" s="553"/>
      <c r="O64" s="102"/>
      <c r="P64" s="99"/>
      <c r="Q64" s="99"/>
      <c r="S64" s="174"/>
    </row>
    <row r="65" spans="2:19" ht="19.5" customHeight="1" thickBot="1" x14ac:dyDescent="0.3">
      <c r="D65" s="560" t="s">
        <v>17</v>
      </c>
      <c r="E65" s="560"/>
      <c r="F65" s="103">
        <f>F62-K64-C62</f>
        <v>2365880.5699999998</v>
      </c>
      <c r="I65" s="104"/>
      <c r="J65" s="105"/>
      <c r="P65" s="561">
        <f>P62+Q62</f>
        <v>3321521.28</v>
      </c>
      <c r="Q65" s="562"/>
      <c r="S65" s="50"/>
    </row>
    <row r="66" spans="2:19" ht="15.75" customHeight="1" x14ac:dyDescent="0.3">
      <c r="D66" s="563" t="s">
        <v>18</v>
      </c>
      <c r="E66" s="563"/>
      <c r="F66" s="95">
        <v>-2276696.6800000002</v>
      </c>
      <c r="I66" s="564" t="s">
        <v>19</v>
      </c>
      <c r="J66" s="565"/>
      <c r="K66" s="566">
        <f>F68+F69+F70</f>
        <v>344253.98999999964</v>
      </c>
      <c r="L66" s="567"/>
      <c r="P66" s="50"/>
      <c r="S66" s="107"/>
    </row>
    <row r="67" spans="2:19" ht="19.5" thickBot="1" x14ac:dyDescent="0.35">
      <c r="D67" s="108"/>
      <c r="E67" s="60"/>
      <c r="F67" s="109">
        <v>0</v>
      </c>
      <c r="I67" s="110"/>
      <c r="J67" s="111"/>
      <c r="K67" s="112"/>
      <c r="L67" s="113"/>
      <c r="P67" s="107"/>
      <c r="Q67" s="7"/>
      <c r="S67" s="50"/>
    </row>
    <row r="68" spans="2:19" ht="18.75" customHeight="1" thickTop="1" x14ac:dyDescent="0.3">
      <c r="C68" s="9" t="s">
        <v>11</v>
      </c>
      <c r="E68" s="60" t="s">
        <v>20</v>
      </c>
      <c r="F68" s="95">
        <f>SUM(F65:F67)</f>
        <v>89183.889999999665</v>
      </c>
      <c r="H68" s="34"/>
      <c r="I68" s="114" t="s">
        <v>21</v>
      </c>
      <c r="J68" s="115"/>
      <c r="K68" s="568">
        <f>-C4</f>
        <v>-250864.68</v>
      </c>
      <c r="L68" s="569"/>
      <c r="M68" s="116"/>
      <c r="P68" s="50"/>
      <c r="Q68" s="7"/>
      <c r="S68" s="50"/>
    </row>
    <row r="69" spans="2:19" ht="16.5" thickBot="1" x14ac:dyDescent="0.3">
      <c r="D69" s="117" t="s">
        <v>22</v>
      </c>
      <c r="E69" s="60" t="s">
        <v>23</v>
      </c>
      <c r="F69" s="118">
        <v>45529</v>
      </c>
      <c r="P69" s="50"/>
      <c r="Q69" s="7"/>
      <c r="S69" s="50"/>
    </row>
    <row r="70" spans="2:19" ht="20.25" thickTop="1" thickBot="1" x14ac:dyDescent="0.35">
      <c r="C70" s="119">
        <v>44230</v>
      </c>
      <c r="D70" s="554" t="s">
        <v>24</v>
      </c>
      <c r="E70" s="555"/>
      <c r="F70" s="120">
        <v>209541.1</v>
      </c>
      <c r="I70" s="556" t="s">
        <v>25</v>
      </c>
      <c r="J70" s="557"/>
      <c r="K70" s="558">
        <f>K66+K68</f>
        <v>93389.309999999648</v>
      </c>
      <c r="L70" s="559"/>
      <c r="P70" s="50"/>
      <c r="Q70" s="7"/>
      <c r="S70" s="121"/>
    </row>
    <row r="71" spans="2:19" ht="18.75" x14ac:dyDescent="0.3">
      <c r="C71" s="122"/>
      <c r="D71" s="123"/>
      <c r="E71" s="57"/>
      <c r="F71" s="124"/>
      <c r="J71" s="125"/>
      <c r="M71" s="126"/>
      <c r="P71" s="121"/>
      <c r="Q71" s="7"/>
    </row>
    <row r="72" spans="2:19" x14ac:dyDescent="0.25">
      <c r="P72" s="7"/>
      <c r="Q72" s="7"/>
    </row>
    <row r="73" spans="2:19" ht="15.75" x14ac:dyDescent="0.25">
      <c r="B73" s="127"/>
      <c r="C73" s="128"/>
      <c r="D73" s="129"/>
      <c r="E73" s="7"/>
      <c r="M73" s="2"/>
      <c r="N73" s="60"/>
      <c r="P73" s="7"/>
      <c r="Q73" s="7"/>
      <c r="R73" s="165"/>
      <c r="S73" s="106"/>
    </row>
    <row r="74" spans="2:19" ht="15.75" x14ac:dyDescent="0.25">
      <c r="B74" s="127"/>
      <c r="C74" s="130"/>
      <c r="E74" s="7"/>
      <c r="M74" s="2"/>
      <c r="N74" s="60"/>
      <c r="O74" s="131"/>
      <c r="P74" s="173"/>
      <c r="Q74" s="165"/>
      <c r="R74" s="165"/>
      <c r="S74" s="60"/>
    </row>
    <row r="75" spans="2:19" ht="15.75" x14ac:dyDescent="0.25">
      <c r="B75" s="127"/>
      <c r="C75" s="130"/>
      <c r="E75" s="7"/>
      <c r="F75" s="132"/>
      <c r="L75" s="133"/>
      <c r="M75" s="4"/>
      <c r="O75" s="131"/>
      <c r="P75" s="165"/>
      <c r="Q75" s="165"/>
    </row>
    <row r="76" spans="2:19" ht="15.75" x14ac:dyDescent="0.25">
      <c r="B76" s="127"/>
      <c r="C76" s="130"/>
      <c r="E76" s="7"/>
      <c r="M76" s="4"/>
    </row>
    <row r="77" spans="2:19" ht="15.75" x14ac:dyDescent="0.25">
      <c r="B77" s="127"/>
      <c r="C77" s="130"/>
      <c r="E77" s="7"/>
      <c r="M77" s="4"/>
    </row>
    <row r="78" spans="2:19" x14ac:dyDescent="0.25">
      <c r="M78" s="4"/>
    </row>
    <row r="79" spans="2:19" x14ac:dyDescent="0.25">
      <c r="M79" s="4"/>
    </row>
    <row r="80" spans="2:19" x14ac:dyDescent="0.25">
      <c r="M80" s="4"/>
    </row>
    <row r="81" spans="13:13" x14ac:dyDescent="0.25">
      <c r="M81" s="4"/>
    </row>
    <row r="82" spans="13:13" x14ac:dyDescent="0.25">
      <c r="M82" s="4"/>
    </row>
    <row r="83" spans="13:13" x14ac:dyDescent="0.25">
      <c r="M83" s="4"/>
    </row>
    <row r="84" spans="13:13" x14ac:dyDescent="0.25">
      <c r="M84" s="4"/>
    </row>
    <row r="85" spans="13:13" x14ac:dyDescent="0.25">
      <c r="M85" s="4"/>
    </row>
    <row r="86" spans="13:13" x14ac:dyDescent="0.25">
      <c r="M86" s="4"/>
    </row>
    <row r="87" spans="13:13" x14ac:dyDescent="0.25">
      <c r="M87" s="4"/>
    </row>
    <row r="88" spans="13:13" x14ac:dyDescent="0.25">
      <c r="M88" s="4"/>
    </row>
  </sheetData>
  <sortState ref="J35:L54">
    <sortCondition ref="J35:J54"/>
  </sortState>
  <mergeCells count="17">
    <mergeCell ref="P65:Q65"/>
    <mergeCell ref="D66:E66"/>
    <mergeCell ref="I66:J66"/>
    <mergeCell ref="K66:L66"/>
    <mergeCell ref="K68:L68"/>
    <mergeCell ref="H64:I64"/>
    <mergeCell ref="K64:L64"/>
    <mergeCell ref="M64:N64"/>
    <mergeCell ref="D70:E70"/>
    <mergeCell ref="I70:J70"/>
    <mergeCell ref="K70:L70"/>
    <mergeCell ref="D65:E65"/>
    <mergeCell ref="C1:K1"/>
    <mergeCell ref="B3:C3"/>
    <mergeCell ref="H3:I3"/>
    <mergeCell ref="E4:F4"/>
    <mergeCell ref="H4:I4"/>
  </mergeCells>
  <phoneticPr fontId="41" type="noConversion"/>
  <pageMargins left="0.2" right="0.16" top="0.34" bottom="0.32" header="0.31496062992125984" footer="0.31496062992125984"/>
  <pageSetup paperSize="5" scale="75" orientation="landscape" verticalDpi="0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G114"/>
  <sheetViews>
    <sheetView topLeftCell="A25" workbookViewId="0">
      <selection activeCell="D13" sqref="D13"/>
    </sheetView>
  </sheetViews>
  <sheetFormatPr baseColWidth="10" defaultRowHeight="15" x14ac:dyDescent="0.25"/>
  <cols>
    <col min="1" max="1" width="13.42578125" style="60" bestFit="1" customWidth="1"/>
    <col min="2" max="2" width="12.85546875" bestFit="1" customWidth="1"/>
    <col min="3" max="3" width="15.85546875" style="9" bestFit="1" customWidth="1"/>
    <col min="4" max="4" width="12.42578125" bestFit="1" customWidth="1"/>
    <col min="5" max="5" width="15.140625" style="9" bestFit="1" customWidth="1"/>
    <col min="6" max="6" width="19.5703125" style="8" bestFit="1" customWidth="1"/>
  </cols>
  <sheetData>
    <row r="1" spans="1:7" ht="36.75" customHeight="1" x14ac:dyDescent="0.35">
      <c r="B1" s="175" t="s">
        <v>31</v>
      </c>
      <c r="C1" s="176"/>
      <c r="D1" s="177"/>
      <c r="E1" s="176"/>
      <c r="F1" s="178"/>
    </row>
    <row r="2" spans="1:7" ht="16.5" thickBot="1" x14ac:dyDescent="0.3">
      <c r="A2" s="179" t="s">
        <v>5</v>
      </c>
      <c r="B2" s="179" t="s">
        <v>27</v>
      </c>
      <c r="C2" s="180" t="s">
        <v>28</v>
      </c>
      <c r="D2" s="179" t="s">
        <v>29</v>
      </c>
      <c r="E2" s="180" t="s">
        <v>30</v>
      </c>
      <c r="F2" s="180" t="s">
        <v>28</v>
      </c>
    </row>
    <row r="3" spans="1:7" ht="18.75" x14ac:dyDescent="0.3">
      <c r="A3" s="192">
        <v>44321</v>
      </c>
      <c r="B3" s="193" t="s">
        <v>419</v>
      </c>
      <c r="C3" s="71">
        <v>150372.1</v>
      </c>
      <c r="D3" s="194"/>
      <c r="E3" s="6"/>
      <c r="F3" s="182">
        <f>C3-E3</f>
        <v>150372.1</v>
      </c>
    </row>
    <row r="4" spans="1:7" ht="18.75" x14ac:dyDescent="0.3">
      <c r="A4" s="192">
        <v>44321</v>
      </c>
      <c r="B4" s="193" t="s">
        <v>420</v>
      </c>
      <c r="C4" s="71">
        <v>48414.400000000001</v>
      </c>
      <c r="D4" s="195"/>
      <c r="E4" s="71"/>
      <c r="F4" s="183">
        <f>F3+C4-E4</f>
        <v>198786.5</v>
      </c>
      <c r="G4" s="184"/>
    </row>
    <row r="5" spans="1:7" ht="15.75" x14ac:dyDescent="0.25">
      <c r="A5" s="195">
        <v>44322</v>
      </c>
      <c r="B5" s="193" t="s">
        <v>421</v>
      </c>
      <c r="C5" s="71">
        <v>168126.93</v>
      </c>
      <c r="D5" s="195">
        <v>44323</v>
      </c>
      <c r="E5" s="71">
        <v>366913.43</v>
      </c>
      <c r="F5" s="183">
        <f t="shared" ref="F5:F68" si="0">F4+C5-E5</f>
        <v>0</v>
      </c>
    </row>
    <row r="6" spans="1:7" ht="15.75" x14ac:dyDescent="0.25">
      <c r="A6" s="195">
        <v>44323</v>
      </c>
      <c r="B6" s="193" t="s">
        <v>457</v>
      </c>
      <c r="C6" s="71">
        <v>115329.5</v>
      </c>
      <c r="D6" s="195"/>
      <c r="E6" s="71"/>
      <c r="F6" s="183">
        <f t="shared" si="0"/>
        <v>115329.5</v>
      </c>
    </row>
    <row r="7" spans="1:7" ht="15.75" x14ac:dyDescent="0.25">
      <c r="A7" s="195">
        <v>44324</v>
      </c>
      <c r="B7" s="193" t="s">
        <v>458</v>
      </c>
      <c r="C7" s="71">
        <v>210514.4</v>
      </c>
      <c r="D7" s="195"/>
      <c r="E7" s="71"/>
      <c r="F7" s="183">
        <f t="shared" si="0"/>
        <v>325843.90000000002</v>
      </c>
    </row>
    <row r="8" spans="1:7" ht="15.75" x14ac:dyDescent="0.25">
      <c r="A8" s="195">
        <v>44324</v>
      </c>
      <c r="B8" s="193" t="s">
        <v>459</v>
      </c>
      <c r="C8" s="71">
        <v>16808</v>
      </c>
      <c r="D8" s="195"/>
      <c r="E8" s="71"/>
      <c r="F8" s="183">
        <f t="shared" si="0"/>
        <v>342651.9</v>
      </c>
    </row>
    <row r="9" spans="1:7" ht="15.75" x14ac:dyDescent="0.25">
      <c r="A9" s="195">
        <v>44326</v>
      </c>
      <c r="B9" s="193" t="s">
        <v>460</v>
      </c>
      <c r="C9" s="71">
        <v>29077.599999999999</v>
      </c>
      <c r="D9" s="195"/>
      <c r="E9" s="71"/>
      <c r="F9" s="183">
        <f t="shared" si="0"/>
        <v>371729.5</v>
      </c>
    </row>
    <row r="10" spans="1:7" ht="18.75" x14ac:dyDescent="0.3">
      <c r="A10" s="195">
        <v>44326</v>
      </c>
      <c r="B10" s="193" t="s">
        <v>461</v>
      </c>
      <c r="C10" s="71">
        <v>47948.6</v>
      </c>
      <c r="D10" s="195"/>
      <c r="E10" s="71"/>
      <c r="F10" s="183">
        <f t="shared" si="0"/>
        <v>419678.1</v>
      </c>
      <c r="G10" s="184"/>
    </row>
    <row r="11" spans="1:7" ht="15.75" x14ac:dyDescent="0.25">
      <c r="A11" s="192">
        <v>44327</v>
      </c>
      <c r="B11" s="193" t="s">
        <v>462</v>
      </c>
      <c r="C11" s="71">
        <v>55802</v>
      </c>
      <c r="D11" s="195"/>
      <c r="E11" s="71"/>
      <c r="F11" s="183">
        <f t="shared" si="0"/>
        <v>475480.1</v>
      </c>
    </row>
    <row r="12" spans="1:7" ht="15.75" x14ac:dyDescent="0.25">
      <c r="A12" s="195">
        <v>44327</v>
      </c>
      <c r="B12" s="193" t="s">
        <v>463</v>
      </c>
      <c r="C12" s="71">
        <v>50266.6</v>
      </c>
      <c r="D12" s="195"/>
      <c r="E12" s="71"/>
      <c r="F12" s="183">
        <f t="shared" si="0"/>
        <v>525746.69999999995</v>
      </c>
    </row>
    <row r="13" spans="1:7" ht="15.75" x14ac:dyDescent="0.25">
      <c r="A13" s="195">
        <v>44329</v>
      </c>
      <c r="B13" s="193" t="s">
        <v>464</v>
      </c>
      <c r="C13" s="71">
        <v>183934.07</v>
      </c>
      <c r="D13" s="195"/>
      <c r="E13" s="71"/>
      <c r="F13" s="183">
        <f t="shared" si="0"/>
        <v>709680.77</v>
      </c>
    </row>
    <row r="14" spans="1:7" ht="15.75" x14ac:dyDescent="0.25">
      <c r="A14" s="195">
        <v>44330</v>
      </c>
      <c r="B14" s="193" t="s">
        <v>465</v>
      </c>
      <c r="C14" s="71">
        <v>187288.82</v>
      </c>
      <c r="D14" s="195">
        <v>44331</v>
      </c>
      <c r="E14" s="71">
        <v>896969.59</v>
      </c>
      <c r="F14" s="183">
        <f t="shared" si="0"/>
        <v>0</v>
      </c>
    </row>
    <row r="15" spans="1:7" ht="15.75" x14ac:dyDescent="0.25">
      <c r="A15" s="195">
        <v>44331</v>
      </c>
      <c r="B15" s="193" t="s">
        <v>466</v>
      </c>
      <c r="C15" s="71">
        <v>108.8</v>
      </c>
      <c r="D15" s="195"/>
      <c r="E15" s="71"/>
      <c r="F15" s="183">
        <f t="shared" si="0"/>
        <v>108.8</v>
      </c>
    </row>
    <row r="16" spans="1:7" ht="15.75" x14ac:dyDescent="0.25">
      <c r="A16" s="195">
        <v>44331</v>
      </c>
      <c r="B16" s="193" t="s">
        <v>467</v>
      </c>
      <c r="C16" s="71">
        <v>165123.85</v>
      </c>
      <c r="D16" s="195"/>
      <c r="E16" s="71"/>
      <c r="F16" s="183">
        <f t="shared" si="0"/>
        <v>165232.65</v>
      </c>
    </row>
    <row r="17" spans="1:7" ht="15.75" x14ac:dyDescent="0.25">
      <c r="A17" s="195">
        <v>44333</v>
      </c>
      <c r="B17" s="193" t="s">
        <v>468</v>
      </c>
      <c r="C17" s="71">
        <v>107259.1</v>
      </c>
      <c r="D17" s="195"/>
      <c r="E17" s="71"/>
      <c r="F17" s="183">
        <f t="shared" si="0"/>
        <v>272491.75</v>
      </c>
    </row>
    <row r="18" spans="1:7" ht="15.75" x14ac:dyDescent="0.25">
      <c r="A18" s="195">
        <v>44335</v>
      </c>
      <c r="B18" s="193" t="s">
        <v>469</v>
      </c>
      <c r="C18" s="71">
        <v>124216.01</v>
      </c>
      <c r="D18" s="195"/>
      <c r="E18" s="71"/>
      <c r="F18" s="183">
        <f t="shared" si="0"/>
        <v>396707.76</v>
      </c>
    </row>
    <row r="19" spans="1:7" ht="15.75" x14ac:dyDescent="0.25">
      <c r="A19" s="195">
        <v>44335</v>
      </c>
      <c r="B19" s="193" t="s">
        <v>470</v>
      </c>
      <c r="C19" s="71">
        <v>40493.199999999997</v>
      </c>
      <c r="D19" s="195"/>
      <c r="E19" s="71"/>
      <c r="F19" s="183">
        <f t="shared" si="0"/>
        <v>437200.96</v>
      </c>
    </row>
    <row r="20" spans="1:7" ht="15.75" x14ac:dyDescent="0.25">
      <c r="A20" s="195">
        <v>44335</v>
      </c>
      <c r="B20" s="193" t="s">
        <v>471</v>
      </c>
      <c r="C20" s="71">
        <v>2172</v>
      </c>
      <c r="D20" s="195"/>
      <c r="E20" s="71"/>
      <c r="F20" s="183">
        <f t="shared" si="0"/>
        <v>439372.96</v>
      </c>
    </row>
    <row r="21" spans="1:7" ht="15.75" x14ac:dyDescent="0.25">
      <c r="A21" s="195">
        <v>44336</v>
      </c>
      <c r="B21" s="193" t="s">
        <v>472</v>
      </c>
      <c r="C21" s="71">
        <v>62034.5</v>
      </c>
      <c r="D21" s="195"/>
      <c r="E21" s="71"/>
      <c r="F21" s="183">
        <f t="shared" si="0"/>
        <v>501407.46</v>
      </c>
    </row>
    <row r="22" spans="1:7" ht="18.75" x14ac:dyDescent="0.3">
      <c r="A22" s="195">
        <v>44337</v>
      </c>
      <c r="B22" s="193" t="s">
        <v>473</v>
      </c>
      <c r="C22" s="71">
        <v>120346.16</v>
      </c>
      <c r="D22" s="195"/>
      <c r="E22" s="71"/>
      <c r="F22" s="183">
        <f t="shared" si="0"/>
        <v>621753.62</v>
      </c>
      <c r="G22" s="184"/>
    </row>
    <row r="23" spans="1:7" ht="15.75" x14ac:dyDescent="0.25">
      <c r="A23" s="195">
        <v>44337</v>
      </c>
      <c r="B23" s="193" t="s">
        <v>474</v>
      </c>
      <c r="C23" s="71">
        <v>44935</v>
      </c>
      <c r="D23" s="195">
        <v>44338</v>
      </c>
      <c r="E23" s="71">
        <v>666688.62</v>
      </c>
      <c r="F23" s="183">
        <f t="shared" si="0"/>
        <v>0</v>
      </c>
    </row>
    <row r="24" spans="1:7" ht="15.75" x14ac:dyDescent="0.25">
      <c r="A24" s="195">
        <v>44337</v>
      </c>
      <c r="B24" s="193" t="s">
        <v>475</v>
      </c>
      <c r="C24" s="71">
        <v>9679.7999999999993</v>
      </c>
      <c r="D24" s="195"/>
      <c r="E24" s="71"/>
      <c r="F24" s="183">
        <f t="shared" si="0"/>
        <v>9679.7999999999993</v>
      </c>
    </row>
    <row r="25" spans="1:7" ht="15.75" x14ac:dyDescent="0.25">
      <c r="A25" s="195">
        <v>44338</v>
      </c>
      <c r="B25" s="193" t="s">
        <v>476</v>
      </c>
      <c r="C25" s="71">
        <v>168583.32</v>
      </c>
      <c r="D25" s="195"/>
      <c r="E25" s="71"/>
      <c r="F25" s="183">
        <f t="shared" si="0"/>
        <v>178263.12</v>
      </c>
    </row>
    <row r="26" spans="1:7" ht="15.75" x14ac:dyDescent="0.25">
      <c r="A26" s="195">
        <v>44338</v>
      </c>
      <c r="B26" s="193" t="s">
        <v>477</v>
      </c>
      <c r="C26" s="71">
        <v>21117.599999999999</v>
      </c>
      <c r="D26" s="195"/>
      <c r="E26" s="71"/>
      <c r="F26" s="183">
        <f t="shared" si="0"/>
        <v>199380.72</v>
      </c>
    </row>
    <row r="27" spans="1:7" ht="15.75" x14ac:dyDescent="0.25">
      <c r="A27" s="195">
        <v>44340</v>
      </c>
      <c r="B27" s="193" t="s">
        <v>478</v>
      </c>
      <c r="C27" s="71">
        <v>128928.1</v>
      </c>
      <c r="D27" s="195"/>
      <c r="E27" s="71"/>
      <c r="F27" s="183">
        <f t="shared" si="0"/>
        <v>328308.82</v>
      </c>
    </row>
    <row r="28" spans="1:7" ht="15.75" x14ac:dyDescent="0.25">
      <c r="A28" s="195">
        <v>44341</v>
      </c>
      <c r="B28" s="193" t="s">
        <v>479</v>
      </c>
      <c r="C28" s="71">
        <v>17042.400000000001</v>
      </c>
      <c r="D28" s="195"/>
      <c r="E28" s="71"/>
      <c r="F28" s="183">
        <f t="shared" si="0"/>
        <v>345351.22000000003</v>
      </c>
    </row>
    <row r="29" spans="1:7" ht="15.75" x14ac:dyDescent="0.25">
      <c r="A29" s="195">
        <v>44341</v>
      </c>
      <c r="B29" s="193" t="s">
        <v>480</v>
      </c>
      <c r="C29" s="71">
        <v>288</v>
      </c>
      <c r="D29" s="195"/>
      <c r="E29" s="71"/>
      <c r="F29" s="183">
        <f t="shared" si="0"/>
        <v>345639.22000000003</v>
      </c>
    </row>
    <row r="30" spans="1:7" ht="18.75" x14ac:dyDescent="0.3">
      <c r="A30" s="195">
        <v>44341</v>
      </c>
      <c r="B30" s="193" t="s">
        <v>481</v>
      </c>
      <c r="C30" s="71">
        <v>168700.4</v>
      </c>
      <c r="D30" s="195"/>
      <c r="E30" s="71"/>
      <c r="F30" s="183">
        <f t="shared" si="0"/>
        <v>514339.62</v>
      </c>
      <c r="G30" s="184"/>
    </row>
    <row r="31" spans="1:7" ht="15.75" x14ac:dyDescent="0.25">
      <c r="A31" s="195">
        <v>44343</v>
      </c>
      <c r="B31" s="193" t="s">
        <v>482</v>
      </c>
      <c r="C31" s="71">
        <v>163151.94</v>
      </c>
      <c r="D31" s="195"/>
      <c r="E31" s="71"/>
      <c r="F31" s="183">
        <f t="shared" si="0"/>
        <v>677491.56</v>
      </c>
    </row>
    <row r="32" spans="1:7" ht="15.75" x14ac:dyDescent="0.25">
      <c r="A32" s="192">
        <v>44344</v>
      </c>
      <c r="B32" s="193" t="s">
        <v>483</v>
      </c>
      <c r="C32" s="71">
        <v>91776.4</v>
      </c>
      <c r="D32" s="195">
        <v>44345</v>
      </c>
      <c r="E32" s="71">
        <v>769267.96</v>
      </c>
      <c r="F32" s="183">
        <f t="shared" si="0"/>
        <v>0</v>
      </c>
    </row>
    <row r="33" spans="1:6" ht="15.75" x14ac:dyDescent="0.25">
      <c r="A33" s="192">
        <v>44345</v>
      </c>
      <c r="B33" s="193" t="s">
        <v>484</v>
      </c>
      <c r="C33" s="71">
        <v>16448.400000000001</v>
      </c>
      <c r="D33" s="195"/>
      <c r="E33" s="71"/>
      <c r="F33" s="183">
        <f t="shared" si="0"/>
        <v>16448.400000000001</v>
      </c>
    </row>
    <row r="34" spans="1:6" ht="15.75" x14ac:dyDescent="0.25">
      <c r="A34" s="192">
        <v>44345</v>
      </c>
      <c r="B34" s="193" t="s">
        <v>485</v>
      </c>
      <c r="C34" s="71">
        <v>232988.63</v>
      </c>
      <c r="D34" s="195"/>
      <c r="E34" s="71"/>
      <c r="F34" s="183">
        <f t="shared" si="0"/>
        <v>249437.03</v>
      </c>
    </row>
    <row r="35" spans="1:6" ht="15.75" x14ac:dyDescent="0.25">
      <c r="A35" s="192">
        <v>44347</v>
      </c>
      <c r="B35" s="193" t="s">
        <v>486</v>
      </c>
      <c r="C35" s="71">
        <v>120348</v>
      </c>
      <c r="D35" s="195"/>
      <c r="E35" s="71"/>
      <c r="F35" s="183">
        <f t="shared" si="0"/>
        <v>369785.03</v>
      </c>
    </row>
    <row r="36" spans="1:6" ht="15.75" x14ac:dyDescent="0.25">
      <c r="A36" s="192">
        <v>44347</v>
      </c>
      <c r="B36" s="193" t="s">
        <v>487</v>
      </c>
      <c r="C36" s="71">
        <v>42066</v>
      </c>
      <c r="D36" s="195"/>
      <c r="E36" s="71"/>
      <c r="F36" s="183">
        <f t="shared" si="0"/>
        <v>411851.03</v>
      </c>
    </row>
    <row r="37" spans="1:6" ht="15.75" x14ac:dyDescent="0.25">
      <c r="A37" s="195">
        <v>44348</v>
      </c>
      <c r="B37" s="193" t="s">
        <v>488</v>
      </c>
      <c r="C37" s="71">
        <v>120428.98</v>
      </c>
      <c r="D37" s="195"/>
      <c r="E37" s="71"/>
      <c r="F37" s="183">
        <f t="shared" si="0"/>
        <v>532280.01</v>
      </c>
    </row>
    <row r="38" spans="1:6" ht="15.75" x14ac:dyDescent="0.25">
      <c r="A38" s="195">
        <v>44349</v>
      </c>
      <c r="B38" s="193" t="s">
        <v>489</v>
      </c>
      <c r="C38" s="71">
        <v>378</v>
      </c>
      <c r="D38" s="195"/>
      <c r="E38" s="71"/>
      <c r="F38" s="183">
        <f t="shared" si="0"/>
        <v>532658.01</v>
      </c>
    </row>
    <row r="39" spans="1:6" ht="15.75" x14ac:dyDescent="0.25">
      <c r="A39" s="195">
        <v>44349</v>
      </c>
      <c r="B39" s="193" t="s">
        <v>490</v>
      </c>
      <c r="C39" s="71">
        <v>175319.6</v>
      </c>
      <c r="D39" s="195"/>
      <c r="E39" s="71"/>
      <c r="F39" s="183">
        <f t="shared" si="0"/>
        <v>707977.61</v>
      </c>
    </row>
    <row r="40" spans="1:6" ht="15.75" x14ac:dyDescent="0.25">
      <c r="A40" s="192">
        <v>44350</v>
      </c>
      <c r="B40" s="193" t="s">
        <v>491</v>
      </c>
      <c r="C40" s="71">
        <v>212502.44</v>
      </c>
      <c r="D40" s="195"/>
      <c r="E40" s="71"/>
      <c r="F40" s="183">
        <f t="shared" si="0"/>
        <v>920480.05</v>
      </c>
    </row>
    <row r="41" spans="1:6" ht="15.75" x14ac:dyDescent="0.25">
      <c r="A41" s="192">
        <v>44351</v>
      </c>
      <c r="B41" s="193" t="s">
        <v>492</v>
      </c>
      <c r="C41" s="71">
        <v>3158.75</v>
      </c>
      <c r="D41" s="195"/>
      <c r="E41" s="71"/>
      <c r="F41" s="183">
        <f t="shared" si="0"/>
        <v>923638.8</v>
      </c>
    </row>
    <row r="42" spans="1:6" ht="15.75" x14ac:dyDescent="0.25">
      <c r="A42" s="192">
        <v>44351</v>
      </c>
      <c r="B42" s="193" t="s">
        <v>498</v>
      </c>
      <c r="C42" s="71">
        <v>42422.2</v>
      </c>
      <c r="D42" s="195"/>
      <c r="E42" s="71"/>
      <c r="F42" s="183">
        <f t="shared" si="0"/>
        <v>966061</v>
      </c>
    </row>
    <row r="43" spans="1:6" ht="15.75" hidden="1" x14ac:dyDescent="0.25">
      <c r="A43" s="192"/>
      <c r="B43" s="193"/>
      <c r="C43" s="71"/>
      <c r="D43" s="195"/>
      <c r="E43" s="71"/>
      <c r="F43" s="183">
        <f t="shared" si="0"/>
        <v>966061</v>
      </c>
    </row>
    <row r="44" spans="1:6" ht="15.75" hidden="1" x14ac:dyDescent="0.25">
      <c r="A44" s="192"/>
      <c r="B44" s="193"/>
      <c r="C44" s="71"/>
      <c r="D44" s="195"/>
      <c r="E44" s="71"/>
      <c r="F44" s="183">
        <f t="shared" si="0"/>
        <v>966061</v>
      </c>
    </row>
    <row r="45" spans="1:6" ht="15.75" hidden="1" x14ac:dyDescent="0.25">
      <c r="A45" s="192"/>
      <c r="B45" s="193"/>
      <c r="C45" s="71"/>
      <c r="D45" s="195"/>
      <c r="E45" s="71"/>
      <c r="F45" s="183">
        <f t="shared" si="0"/>
        <v>966061</v>
      </c>
    </row>
    <row r="46" spans="1:6" ht="15.75" hidden="1" x14ac:dyDescent="0.25">
      <c r="A46" s="192"/>
      <c r="B46" s="193"/>
      <c r="C46" s="71"/>
      <c r="D46" s="195"/>
      <c r="E46" s="71"/>
      <c r="F46" s="183">
        <f t="shared" si="0"/>
        <v>966061</v>
      </c>
    </row>
    <row r="47" spans="1:6" ht="15.75" hidden="1" x14ac:dyDescent="0.25">
      <c r="A47" s="192"/>
      <c r="B47" s="193"/>
      <c r="C47" s="71"/>
      <c r="D47" s="195"/>
      <c r="E47" s="71"/>
      <c r="F47" s="183">
        <f t="shared" si="0"/>
        <v>966061</v>
      </c>
    </row>
    <row r="48" spans="1:6" ht="15.75" hidden="1" x14ac:dyDescent="0.25">
      <c r="A48" s="192"/>
      <c r="B48" s="193"/>
      <c r="C48" s="71"/>
      <c r="D48" s="195"/>
      <c r="E48" s="71"/>
      <c r="F48" s="183">
        <f t="shared" si="0"/>
        <v>966061</v>
      </c>
    </row>
    <row r="49" spans="1:6" ht="15.75" hidden="1" x14ac:dyDescent="0.25">
      <c r="A49" s="192"/>
      <c r="B49" s="193"/>
      <c r="C49" s="71"/>
      <c r="D49" s="195"/>
      <c r="E49" s="71"/>
      <c r="F49" s="183">
        <f t="shared" si="0"/>
        <v>966061</v>
      </c>
    </row>
    <row r="50" spans="1:6" ht="15.75" hidden="1" x14ac:dyDescent="0.25">
      <c r="A50" s="192"/>
      <c r="B50" s="193"/>
      <c r="C50" s="71"/>
      <c r="D50" s="195"/>
      <c r="E50" s="71"/>
      <c r="F50" s="183">
        <f t="shared" si="0"/>
        <v>966061</v>
      </c>
    </row>
    <row r="51" spans="1:6" ht="15.75" hidden="1" x14ac:dyDescent="0.25">
      <c r="A51" s="192"/>
      <c r="B51" s="193"/>
      <c r="C51" s="71"/>
      <c r="D51" s="195"/>
      <c r="E51" s="71"/>
      <c r="F51" s="183">
        <f t="shared" si="0"/>
        <v>966061</v>
      </c>
    </row>
    <row r="52" spans="1:6" ht="15.75" hidden="1" x14ac:dyDescent="0.25">
      <c r="A52" s="192"/>
      <c r="B52" s="193"/>
      <c r="C52" s="71"/>
      <c r="D52" s="195"/>
      <c r="E52" s="71"/>
      <c r="F52" s="183">
        <f t="shared" si="0"/>
        <v>966061</v>
      </c>
    </row>
    <row r="53" spans="1:6" ht="15.75" hidden="1" x14ac:dyDescent="0.25">
      <c r="A53" s="192"/>
      <c r="B53" s="193"/>
      <c r="C53" s="71"/>
      <c r="D53" s="195"/>
      <c r="E53" s="71"/>
      <c r="F53" s="183">
        <f t="shared" si="0"/>
        <v>966061</v>
      </c>
    </row>
    <row r="54" spans="1:6" ht="15.75" hidden="1" x14ac:dyDescent="0.25">
      <c r="A54" s="192"/>
      <c r="B54" s="193"/>
      <c r="C54" s="71"/>
      <c r="D54" s="195"/>
      <c r="E54" s="71"/>
      <c r="F54" s="183">
        <f t="shared" si="0"/>
        <v>966061</v>
      </c>
    </row>
    <row r="55" spans="1:6" ht="15.75" hidden="1" x14ac:dyDescent="0.25">
      <c r="A55" s="192"/>
      <c r="B55" s="193"/>
      <c r="C55" s="71"/>
      <c r="D55" s="195"/>
      <c r="E55" s="71"/>
      <c r="F55" s="183">
        <f t="shared" si="0"/>
        <v>966061</v>
      </c>
    </row>
    <row r="56" spans="1:6" ht="15.75" hidden="1" x14ac:dyDescent="0.25">
      <c r="A56" s="192"/>
      <c r="B56" s="193"/>
      <c r="C56" s="71"/>
      <c r="D56" s="195"/>
      <c r="E56" s="71"/>
      <c r="F56" s="183">
        <f t="shared" si="0"/>
        <v>966061</v>
      </c>
    </row>
    <row r="57" spans="1:6" ht="15.75" hidden="1" x14ac:dyDescent="0.25">
      <c r="A57" s="192"/>
      <c r="B57" s="193"/>
      <c r="C57" s="71"/>
      <c r="D57" s="195"/>
      <c r="E57" s="71"/>
      <c r="F57" s="183">
        <f t="shared" si="0"/>
        <v>966061</v>
      </c>
    </row>
    <row r="58" spans="1:6" ht="15.75" hidden="1" x14ac:dyDescent="0.25">
      <c r="A58" s="192"/>
      <c r="B58" s="193"/>
      <c r="C58" s="71"/>
      <c r="D58" s="195"/>
      <c r="E58" s="71"/>
      <c r="F58" s="183">
        <f t="shared" si="0"/>
        <v>966061</v>
      </c>
    </row>
    <row r="59" spans="1:6" ht="15.75" hidden="1" x14ac:dyDescent="0.25">
      <c r="A59" s="192"/>
      <c r="B59" s="193"/>
      <c r="C59" s="71"/>
      <c r="D59" s="195"/>
      <c r="E59" s="71"/>
      <c r="F59" s="183">
        <f t="shared" si="0"/>
        <v>966061</v>
      </c>
    </row>
    <row r="60" spans="1:6" ht="15.75" hidden="1" x14ac:dyDescent="0.25">
      <c r="A60" s="192"/>
      <c r="B60" s="193"/>
      <c r="C60" s="71"/>
      <c r="D60" s="195"/>
      <c r="E60" s="71"/>
      <c r="F60" s="183">
        <f t="shared" si="0"/>
        <v>966061</v>
      </c>
    </row>
    <row r="61" spans="1:6" ht="15.75" hidden="1" x14ac:dyDescent="0.25">
      <c r="A61" s="186"/>
      <c r="B61" s="187"/>
      <c r="C61" s="7"/>
      <c r="D61" s="181"/>
      <c r="E61" s="7"/>
      <c r="F61" s="183">
        <f t="shared" si="0"/>
        <v>966061</v>
      </c>
    </row>
    <row r="62" spans="1:6" ht="15.75" hidden="1" x14ac:dyDescent="0.25">
      <c r="A62" s="186"/>
      <c r="B62" s="187"/>
      <c r="C62" s="7"/>
      <c r="D62" s="181"/>
      <c r="E62" s="7"/>
      <c r="F62" s="183">
        <f t="shared" si="0"/>
        <v>966061</v>
      </c>
    </row>
    <row r="63" spans="1:6" ht="15.75" hidden="1" x14ac:dyDescent="0.25">
      <c r="A63" s="186"/>
      <c r="B63" s="187"/>
      <c r="C63" s="7"/>
      <c r="D63" s="181"/>
      <c r="E63" s="7"/>
      <c r="F63" s="183">
        <f t="shared" si="0"/>
        <v>966061</v>
      </c>
    </row>
    <row r="64" spans="1:6" ht="15.75" hidden="1" x14ac:dyDescent="0.25">
      <c r="A64" s="186"/>
      <c r="B64" s="187"/>
      <c r="C64" s="7"/>
      <c r="D64" s="181"/>
      <c r="E64" s="7"/>
      <c r="F64" s="183">
        <f t="shared" si="0"/>
        <v>966061</v>
      </c>
    </row>
    <row r="65" spans="1:6" ht="15.75" hidden="1" x14ac:dyDescent="0.25">
      <c r="A65" s="186"/>
      <c r="B65" s="187"/>
      <c r="C65" s="7"/>
      <c r="D65" s="181"/>
      <c r="E65" s="7"/>
      <c r="F65" s="183">
        <f t="shared" si="0"/>
        <v>966061</v>
      </c>
    </row>
    <row r="66" spans="1:6" ht="15.75" x14ac:dyDescent="0.25">
      <c r="A66" s="186">
        <v>44352</v>
      </c>
      <c r="B66" s="187" t="s">
        <v>499</v>
      </c>
      <c r="C66" s="7">
        <v>52136</v>
      </c>
      <c r="D66" s="181"/>
      <c r="E66" s="7"/>
      <c r="F66" s="183">
        <f t="shared" si="0"/>
        <v>1018197</v>
      </c>
    </row>
    <row r="67" spans="1:6" ht="15.75" x14ac:dyDescent="0.25">
      <c r="A67" s="270">
        <v>44352</v>
      </c>
      <c r="B67" s="268" t="s">
        <v>500</v>
      </c>
      <c r="C67" s="71">
        <v>131950.39999999999</v>
      </c>
      <c r="D67" s="269"/>
      <c r="E67" s="71"/>
      <c r="F67" s="183">
        <f t="shared" si="0"/>
        <v>1150147.3999999999</v>
      </c>
    </row>
    <row r="68" spans="1:6" ht="15.75" x14ac:dyDescent="0.25">
      <c r="A68" s="270">
        <v>44353</v>
      </c>
      <c r="B68" s="268" t="s">
        <v>501</v>
      </c>
      <c r="C68" s="71">
        <v>4436.8</v>
      </c>
      <c r="D68" s="269">
        <v>44355</v>
      </c>
      <c r="E68" s="71">
        <v>1154584.2</v>
      </c>
      <c r="F68" s="183">
        <f t="shared" si="0"/>
        <v>0</v>
      </c>
    </row>
    <row r="69" spans="1:6" ht="15.75" x14ac:dyDescent="0.25">
      <c r="A69" s="270"/>
      <c r="B69" s="268"/>
      <c r="C69" s="71"/>
      <c r="D69" s="269"/>
      <c r="E69" s="71"/>
      <c r="F69" s="183">
        <f t="shared" ref="F69:F77" si="1">F68+C69-E69</f>
        <v>0</v>
      </c>
    </row>
    <row r="70" spans="1:6" ht="15.75" x14ac:dyDescent="0.25">
      <c r="A70" s="270"/>
      <c r="B70" s="268"/>
      <c r="C70" s="71"/>
      <c r="D70" s="269"/>
      <c r="E70" s="71"/>
      <c r="F70" s="183">
        <f t="shared" si="1"/>
        <v>0</v>
      </c>
    </row>
    <row r="71" spans="1:6" ht="15.75" x14ac:dyDescent="0.25">
      <c r="A71" s="270"/>
      <c r="B71" s="268"/>
      <c r="C71" s="71"/>
      <c r="D71" s="269"/>
      <c r="E71" s="71"/>
      <c r="F71" s="183">
        <f t="shared" si="1"/>
        <v>0</v>
      </c>
    </row>
    <row r="72" spans="1:6" ht="15.75" x14ac:dyDescent="0.25">
      <c r="A72" s="270"/>
      <c r="B72" s="268"/>
      <c r="C72" s="71"/>
      <c r="D72" s="269"/>
      <c r="E72" s="71"/>
      <c r="F72" s="183">
        <f t="shared" si="1"/>
        <v>0</v>
      </c>
    </row>
    <row r="73" spans="1:6" ht="15.75" x14ac:dyDescent="0.25">
      <c r="A73" s="270"/>
      <c r="B73" s="268"/>
      <c r="C73" s="71"/>
      <c r="D73" s="269"/>
      <c r="E73" s="71"/>
      <c r="F73" s="183">
        <f t="shared" si="1"/>
        <v>0</v>
      </c>
    </row>
    <row r="74" spans="1:6" ht="15.75" x14ac:dyDescent="0.25">
      <c r="A74" s="270"/>
      <c r="B74" s="268"/>
      <c r="C74" s="71"/>
      <c r="D74" s="269"/>
      <c r="E74" s="71"/>
      <c r="F74" s="183">
        <f t="shared" si="1"/>
        <v>0</v>
      </c>
    </row>
    <row r="75" spans="1:6" ht="15.75" x14ac:dyDescent="0.25">
      <c r="A75" s="270"/>
      <c r="B75" s="268"/>
      <c r="C75" s="71"/>
      <c r="D75" s="269"/>
      <c r="E75" s="71"/>
      <c r="F75" s="183">
        <f t="shared" si="1"/>
        <v>0</v>
      </c>
    </row>
    <row r="76" spans="1:6" ht="15.75" x14ac:dyDescent="0.25">
      <c r="A76" s="270"/>
      <c r="B76" s="268"/>
      <c r="C76" s="71"/>
      <c r="D76" s="269"/>
      <c r="E76" s="71"/>
      <c r="F76" s="183">
        <f t="shared" si="1"/>
        <v>0</v>
      </c>
    </row>
    <row r="77" spans="1:6" ht="16.5" thickBot="1" x14ac:dyDescent="0.3">
      <c r="A77" s="188"/>
      <c r="B77" s="189"/>
      <c r="C77" s="84">
        <v>0</v>
      </c>
      <c r="D77" s="190"/>
      <c r="E77" s="84"/>
      <c r="F77" s="183">
        <f t="shared" si="1"/>
        <v>0</v>
      </c>
    </row>
    <row r="78" spans="1:6" ht="19.5" thickTop="1" x14ac:dyDescent="0.3">
      <c r="B78" s="60"/>
      <c r="C78" s="4">
        <f>SUM(C3:C77)</f>
        <v>3854423.8</v>
      </c>
      <c r="D78" s="1"/>
      <c r="E78" s="4">
        <f>SUM(E3:E77)</f>
        <v>3854423.8</v>
      </c>
      <c r="F78" s="191">
        <f>F77</f>
        <v>0</v>
      </c>
    </row>
    <row r="79" spans="1:6" x14ac:dyDescent="0.25">
      <c r="B79" s="60"/>
      <c r="C79" s="4"/>
      <c r="D79" s="1"/>
      <c r="E79" s="8"/>
      <c r="F79" s="4"/>
    </row>
    <row r="80" spans="1:6" x14ac:dyDescent="0.25">
      <c r="B80" s="60"/>
      <c r="C80" s="4"/>
      <c r="D80" s="1"/>
      <c r="E80" s="8"/>
      <c r="F80" s="4"/>
    </row>
    <row r="81" spans="1:6" x14ac:dyDescent="0.25">
      <c r="A81"/>
      <c r="B81" s="34"/>
      <c r="D81" s="34"/>
    </row>
    <row r="82" spans="1:6" x14ac:dyDescent="0.25">
      <c r="A82"/>
      <c r="B82" s="34"/>
      <c r="D82" s="34"/>
    </row>
    <row r="83" spans="1:6" x14ac:dyDescent="0.25">
      <c r="A83"/>
      <c r="B83" s="34"/>
      <c r="D83" s="34"/>
    </row>
    <row r="84" spans="1:6" x14ac:dyDescent="0.25">
      <c r="A84"/>
      <c r="B84" s="34"/>
      <c r="D84" s="34"/>
      <c r="F84"/>
    </row>
    <row r="85" spans="1:6" x14ac:dyDescent="0.25">
      <c r="A85"/>
      <c r="B85" s="34"/>
      <c r="D85" s="34"/>
      <c r="F85"/>
    </row>
    <row r="86" spans="1:6" x14ac:dyDescent="0.25">
      <c r="A86"/>
      <c r="B86" s="34"/>
      <c r="D86" s="34"/>
      <c r="F86"/>
    </row>
    <row r="87" spans="1:6" x14ac:dyDescent="0.25">
      <c r="A87"/>
      <c r="B87" s="34"/>
      <c r="D87" s="34"/>
      <c r="F87"/>
    </row>
    <row r="88" spans="1:6" x14ac:dyDescent="0.25">
      <c r="A88"/>
      <c r="B88" s="34"/>
      <c r="D88" s="34"/>
      <c r="F88"/>
    </row>
    <row r="89" spans="1:6" x14ac:dyDescent="0.25">
      <c r="A89"/>
      <c r="B89" s="34"/>
      <c r="D89" s="34"/>
      <c r="F89"/>
    </row>
    <row r="90" spans="1:6" x14ac:dyDescent="0.25">
      <c r="A90"/>
      <c r="B90" s="34"/>
      <c r="D90" s="34"/>
      <c r="F90"/>
    </row>
    <row r="91" spans="1:6" x14ac:dyDescent="0.25">
      <c r="A91"/>
      <c r="B91" s="34"/>
      <c r="D91" s="34"/>
      <c r="F91"/>
    </row>
    <row r="92" spans="1:6" x14ac:dyDescent="0.25">
      <c r="A92"/>
      <c r="B92" s="34"/>
      <c r="D92" s="34"/>
      <c r="F92"/>
    </row>
    <row r="93" spans="1:6" x14ac:dyDescent="0.25">
      <c r="A93"/>
      <c r="B93" s="34"/>
      <c r="D93" s="34"/>
      <c r="E93"/>
      <c r="F93"/>
    </row>
    <row r="94" spans="1:6" x14ac:dyDescent="0.25">
      <c r="A94"/>
      <c r="B94" s="34"/>
      <c r="D94" s="34"/>
      <c r="E94"/>
      <c r="F94"/>
    </row>
    <row r="95" spans="1:6" x14ac:dyDescent="0.25">
      <c r="A95"/>
      <c r="B95" s="34"/>
      <c r="D95" s="34"/>
      <c r="E95"/>
      <c r="F95"/>
    </row>
    <row r="96" spans="1:6" x14ac:dyDescent="0.25">
      <c r="A96"/>
      <c r="B96" s="34"/>
      <c r="D96" s="34"/>
      <c r="E96"/>
      <c r="F96"/>
    </row>
    <row r="97" spans="1:6" x14ac:dyDescent="0.25">
      <c r="A97"/>
      <c r="B97" s="34"/>
      <c r="D97" s="34"/>
      <c r="E97"/>
      <c r="F97"/>
    </row>
    <row r="98" spans="1:6" x14ac:dyDescent="0.25">
      <c r="A98"/>
      <c r="B98" s="34"/>
      <c r="D98" s="34"/>
      <c r="E98"/>
      <c r="F98"/>
    </row>
    <row r="99" spans="1:6" x14ac:dyDescent="0.25">
      <c r="B99" s="34"/>
      <c r="D99" s="34"/>
      <c r="E99"/>
    </row>
    <row r="100" spans="1:6" x14ac:dyDescent="0.25">
      <c r="B100" s="34"/>
      <c r="D100" s="34"/>
      <c r="E100"/>
    </row>
    <row r="101" spans="1:6" x14ac:dyDescent="0.25">
      <c r="B101" s="34"/>
      <c r="D101" s="34"/>
      <c r="E101"/>
    </row>
    <row r="102" spans="1:6" x14ac:dyDescent="0.25">
      <c r="B102" s="34"/>
      <c r="D102" s="34"/>
      <c r="E102"/>
    </row>
    <row r="103" spans="1:6" x14ac:dyDescent="0.25">
      <c r="B103" s="34"/>
      <c r="D103" s="34"/>
      <c r="E103"/>
    </row>
    <row r="104" spans="1:6" x14ac:dyDescent="0.25">
      <c r="B104" s="34"/>
      <c r="D104" s="34"/>
      <c r="E104"/>
    </row>
    <row r="105" spans="1:6" x14ac:dyDescent="0.25">
      <c r="B105" s="34"/>
      <c r="D105" s="34"/>
      <c r="E105"/>
    </row>
    <row r="106" spans="1:6" x14ac:dyDescent="0.25">
      <c r="B106" s="34"/>
      <c r="D106" s="34"/>
      <c r="E106"/>
    </row>
    <row r="107" spans="1:6" x14ac:dyDescent="0.25">
      <c r="B107" s="34"/>
      <c r="D107" s="34"/>
      <c r="E107"/>
    </row>
    <row r="108" spans="1:6" x14ac:dyDescent="0.25">
      <c r="B108" s="34"/>
    </row>
    <row r="109" spans="1:6" x14ac:dyDescent="0.25">
      <c r="B109" s="34"/>
    </row>
    <row r="110" spans="1:6" x14ac:dyDescent="0.25">
      <c r="B110" s="34"/>
      <c r="D110" s="34"/>
    </row>
    <row r="111" spans="1:6" x14ac:dyDescent="0.25">
      <c r="B111" s="34"/>
    </row>
    <row r="112" spans="1:6" x14ac:dyDescent="0.25">
      <c r="B112" s="34"/>
    </row>
    <row r="113" spans="2:3" x14ac:dyDescent="0.25">
      <c r="B113" s="34"/>
    </row>
    <row r="114" spans="2:3" ht="18.75" x14ac:dyDescent="0.3">
      <c r="C114" s="126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966FF"/>
  </sheetPr>
  <dimension ref="A1:AG92"/>
  <sheetViews>
    <sheetView topLeftCell="H22" workbookViewId="0">
      <selection activeCell="L17" sqref="L17"/>
    </sheetView>
  </sheetViews>
  <sheetFormatPr baseColWidth="10" defaultRowHeight="15.75" x14ac:dyDescent="0.25"/>
  <cols>
    <col min="1" max="1" width="2.5703125" customWidth="1"/>
    <col min="2" max="2" width="12.42578125" style="1" customWidth="1"/>
    <col min="3" max="3" width="16.42578125" style="9" customWidth="1"/>
    <col min="4" max="4" width="15.28515625" customWidth="1"/>
    <col min="6" max="6" width="17.85546875" style="9" customWidth="1"/>
    <col min="7" max="7" width="2.85546875" customWidth="1"/>
    <col min="9" max="9" width="14.140625" style="9" customWidth="1"/>
    <col min="10" max="10" width="11.7109375" style="16" customWidth="1"/>
    <col min="11" max="11" width="14.42578125" customWidth="1"/>
    <col min="12" max="12" width="14.5703125" style="8" customWidth="1"/>
    <col min="13" max="13" width="18.140625" style="9" customWidth="1"/>
    <col min="14" max="14" width="14.140625" style="4" customWidth="1"/>
    <col min="15" max="15" width="7.140625" style="6" customWidth="1"/>
    <col min="16" max="16" width="15" style="6" customWidth="1"/>
    <col min="17" max="17" width="6.28515625" style="6" customWidth="1"/>
    <col min="18" max="18" width="15.5703125" style="6" bestFit="1" customWidth="1"/>
    <col min="19" max="19" width="18.7109375" style="6" customWidth="1"/>
    <col min="20" max="20" width="11.5703125" style="6" bestFit="1" customWidth="1"/>
    <col min="21" max="21" width="15.5703125" style="7" bestFit="1" customWidth="1"/>
    <col min="23" max="24" width="11.42578125" style="204"/>
    <col min="25" max="25" width="11.42578125" style="8"/>
    <col min="28" max="28" width="15" style="13" customWidth="1"/>
    <col min="29" max="29" width="22.7109375" style="321" customWidth="1"/>
    <col min="30" max="30" width="6.28515625" style="321" customWidth="1"/>
    <col min="31" max="31" width="11.140625" style="321" customWidth="1"/>
    <col min="32" max="32" width="12.85546875" style="321" customWidth="1"/>
    <col min="33" max="33" width="22.7109375" style="321" customWidth="1"/>
  </cols>
  <sheetData>
    <row r="1" spans="1:33" ht="20.25" customHeight="1" thickBot="1" x14ac:dyDescent="0.4">
      <c r="B1" s="583" t="s">
        <v>529</v>
      </c>
      <c r="C1" s="540" t="s">
        <v>503</v>
      </c>
      <c r="D1" s="540"/>
      <c r="E1" s="540"/>
      <c r="F1" s="540"/>
      <c r="G1" s="540"/>
      <c r="H1" s="540"/>
      <c r="I1" s="540"/>
      <c r="J1" s="540"/>
      <c r="K1" s="540"/>
      <c r="L1" s="2"/>
      <c r="M1" s="3"/>
      <c r="W1" s="209"/>
      <c r="X1" s="205" t="s">
        <v>52</v>
      </c>
      <c r="Y1" s="206"/>
    </row>
    <row r="2" spans="1:33" ht="15" customHeight="1" thickBot="1" x14ac:dyDescent="0.3">
      <c r="B2" s="584"/>
      <c r="C2" s="8"/>
      <c r="H2" s="10" t="s">
        <v>0</v>
      </c>
      <c r="I2" s="3"/>
      <c r="J2" s="11"/>
      <c r="L2" s="12"/>
      <c r="M2" s="3"/>
      <c r="N2" s="6"/>
      <c r="W2" s="214" t="s">
        <v>53</v>
      </c>
      <c r="X2" s="215" t="s">
        <v>5</v>
      </c>
      <c r="Y2" s="216" t="s">
        <v>28</v>
      </c>
      <c r="AB2" s="596" t="s">
        <v>596</v>
      </c>
      <c r="AC2" s="596"/>
      <c r="AD2" s="596"/>
      <c r="AE2" s="596"/>
      <c r="AF2" s="596"/>
      <c r="AG2" s="596"/>
    </row>
    <row r="3" spans="1:33" ht="18" customHeight="1" thickBot="1" x14ac:dyDescent="0.35">
      <c r="B3" s="541" t="s">
        <v>1</v>
      </c>
      <c r="C3" s="542"/>
      <c r="D3" s="14"/>
      <c r="E3" s="15"/>
      <c r="F3" s="15"/>
      <c r="H3" s="543" t="s">
        <v>2</v>
      </c>
      <c r="I3" s="543"/>
      <c r="K3" s="17" t="s">
        <v>3</v>
      </c>
      <c r="L3" s="17" t="s">
        <v>4</v>
      </c>
      <c r="M3" s="18"/>
      <c r="P3" s="586" t="s">
        <v>562</v>
      </c>
      <c r="Q3" s="393"/>
      <c r="W3" s="213" t="s">
        <v>54</v>
      </c>
      <c r="X3" s="219">
        <v>44201</v>
      </c>
      <c r="Y3" s="198">
        <v>2000</v>
      </c>
      <c r="AB3" s="596"/>
      <c r="AC3" s="596"/>
      <c r="AD3" s="596"/>
      <c r="AE3" s="596"/>
      <c r="AF3" s="596"/>
      <c r="AG3" s="596"/>
    </row>
    <row r="4" spans="1:33" ht="20.25" thickTop="1" thickBot="1" x14ac:dyDescent="0.35">
      <c r="A4" s="20" t="s">
        <v>6</v>
      </c>
      <c r="B4" s="21"/>
      <c r="C4" s="22">
        <v>255764.39</v>
      </c>
      <c r="D4" s="23">
        <v>44353</v>
      </c>
      <c r="E4" s="544" t="s">
        <v>7</v>
      </c>
      <c r="F4" s="545"/>
      <c r="H4" s="546" t="s">
        <v>8</v>
      </c>
      <c r="I4" s="547"/>
      <c r="J4" s="24"/>
      <c r="K4" s="25"/>
      <c r="L4" s="26"/>
      <c r="M4" s="27" t="s">
        <v>717</v>
      </c>
      <c r="N4" s="28" t="s">
        <v>10</v>
      </c>
      <c r="O4" s="365"/>
      <c r="P4" s="586"/>
      <c r="Q4" s="393"/>
      <c r="R4" s="30"/>
      <c r="S4" s="31"/>
      <c r="T4" s="30"/>
      <c r="U4" s="30"/>
      <c r="W4" s="213" t="s">
        <v>55</v>
      </c>
      <c r="X4" s="219">
        <v>44209</v>
      </c>
      <c r="Y4" s="217">
        <v>2000</v>
      </c>
      <c r="AB4" s="597" t="s">
        <v>527</v>
      </c>
      <c r="AC4" s="598"/>
      <c r="AD4" s="99"/>
      <c r="AE4" s="599" t="s">
        <v>567</v>
      </c>
      <c r="AF4" s="599"/>
      <c r="AG4" s="599"/>
    </row>
    <row r="5" spans="1:33" ht="16.5" thickBot="1" x14ac:dyDescent="0.3">
      <c r="A5" s="34" t="s">
        <v>11</v>
      </c>
      <c r="B5" s="134">
        <v>44354</v>
      </c>
      <c r="C5" s="36">
        <v>1260</v>
      </c>
      <c r="D5" s="135" t="s">
        <v>45</v>
      </c>
      <c r="E5" s="136">
        <v>44354</v>
      </c>
      <c r="F5" s="37">
        <v>77113</v>
      </c>
      <c r="G5" s="137"/>
      <c r="H5" s="138">
        <v>44354</v>
      </c>
      <c r="I5" s="38">
        <v>495</v>
      </c>
      <c r="J5" s="39"/>
      <c r="K5" s="157"/>
      <c r="L5" s="6"/>
      <c r="M5" s="41">
        <v>0</v>
      </c>
      <c r="N5" s="42">
        <v>2926</v>
      </c>
      <c r="O5" s="318" t="s">
        <v>516</v>
      </c>
      <c r="P5" s="398">
        <v>-79419</v>
      </c>
      <c r="Q5" s="99"/>
      <c r="R5" s="7">
        <f>C5+I5+M5+N5</f>
        <v>4681</v>
      </c>
      <c r="S5" s="6">
        <f t="shared" ref="S5:S35" si="0">R5-F5</f>
        <v>-72432</v>
      </c>
      <c r="T5" s="381">
        <v>6987</v>
      </c>
      <c r="W5" s="213" t="s">
        <v>56</v>
      </c>
      <c r="X5" s="220">
        <v>44216</v>
      </c>
      <c r="Y5" s="218">
        <v>2000</v>
      </c>
      <c r="AB5" s="347">
        <v>44354</v>
      </c>
      <c r="AC5" s="348">
        <v>79419</v>
      </c>
      <c r="AD5" s="99"/>
      <c r="AE5" s="99"/>
      <c r="AF5" s="99"/>
      <c r="AG5" s="99"/>
    </row>
    <row r="6" spans="1:33" ht="16.5" thickBot="1" x14ac:dyDescent="0.3">
      <c r="A6" s="34"/>
      <c r="B6" s="134">
        <v>44355</v>
      </c>
      <c r="C6" s="36">
        <v>9200</v>
      </c>
      <c r="D6" s="139" t="s">
        <v>505</v>
      </c>
      <c r="E6" s="136">
        <v>44355</v>
      </c>
      <c r="F6" s="37">
        <f>141354+10866</f>
        <v>152220</v>
      </c>
      <c r="G6" s="137"/>
      <c r="H6" s="138">
        <v>44355</v>
      </c>
      <c r="I6" s="43">
        <v>495</v>
      </c>
      <c r="J6" s="52"/>
      <c r="K6" s="151"/>
      <c r="L6" s="46"/>
      <c r="M6" s="41">
        <v>120000</v>
      </c>
      <c r="N6" s="42">
        <v>20382</v>
      </c>
      <c r="O6" s="7"/>
      <c r="P6" s="397">
        <v>-2143</v>
      </c>
      <c r="Q6" s="392"/>
      <c r="R6" s="7">
        <f>C6+I6+M6+N6+L6</f>
        <v>150077</v>
      </c>
      <c r="S6" s="6">
        <f t="shared" si="0"/>
        <v>-2143</v>
      </c>
      <c r="T6" s="48"/>
      <c r="W6" s="213" t="s">
        <v>57</v>
      </c>
      <c r="X6" s="220">
        <v>44222</v>
      </c>
      <c r="Y6" s="218">
        <v>2000</v>
      </c>
      <c r="AB6" s="349">
        <v>44355</v>
      </c>
      <c r="AC6" s="350">
        <v>122143</v>
      </c>
      <c r="AD6" s="99"/>
      <c r="AE6" s="343" t="s">
        <v>566</v>
      </c>
      <c r="AF6" s="299">
        <v>44356</v>
      </c>
      <c r="AG6" s="344">
        <v>120000</v>
      </c>
    </row>
    <row r="7" spans="1:33" ht="16.5" thickBot="1" x14ac:dyDescent="0.3">
      <c r="A7" s="34"/>
      <c r="B7" s="134">
        <v>44356</v>
      </c>
      <c r="C7" s="36">
        <v>10718</v>
      </c>
      <c r="D7" s="140" t="s">
        <v>506</v>
      </c>
      <c r="E7" s="136">
        <v>44356</v>
      </c>
      <c r="F7" s="37">
        <v>109009</v>
      </c>
      <c r="G7" s="137"/>
      <c r="H7" s="138">
        <v>44356</v>
      </c>
      <c r="I7" s="49">
        <v>440</v>
      </c>
      <c r="J7" s="52">
        <v>44356</v>
      </c>
      <c r="K7" s="158" t="s">
        <v>559</v>
      </c>
      <c r="L7" s="46">
        <v>679</v>
      </c>
      <c r="M7" s="41">
        <f>10230+150+75440</f>
        <v>85820</v>
      </c>
      <c r="N7" s="42">
        <v>2701</v>
      </c>
      <c r="O7" s="7"/>
      <c r="P7" s="397">
        <v>-8801</v>
      </c>
      <c r="Q7" s="392"/>
      <c r="R7" s="7">
        <f>C7+I7+M7+N7+L7</f>
        <v>100358</v>
      </c>
      <c r="S7" s="202">
        <f t="shared" si="0"/>
        <v>-8651</v>
      </c>
      <c r="T7" s="380">
        <v>150</v>
      </c>
      <c r="W7" s="213" t="s">
        <v>58</v>
      </c>
      <c r="X7" s="220">
        <v>44230</v>
      </c>
      <c r="Y7" s="218">
        <v>2000</v>
      </c>
      <c r="AB7" s="349">
        <v>44356</v>
      </c>
      <c r="AC7" s="350">
        <v>84241</v>
      </c>
      <c r="AD7" s="99"/>
      <c r="AE7" s="343" t="s">
        <v>566</v>
      </c>
      <c r="AF7" s="299">
        <v>44357</v>
      </c>
      <c r="AG7" s="344">
        <v>75440</v>
      </c>
    </row>
    <row r="8" spans="1:33" ht="16.5" thickBot="1" x14ac:dyDescent="0.3">
      <c r="A8" s="34"/>
      <c r="B8" s="134">
        <v>44357</v>
      </c>
      <c r="C8" s="36">
        <v>4966</v>
      </c>
      <c r="D8" s="141" t="s">
        <v>507</v>
      </c>
      <c r="E8" s="136">
        <v>44357</v>
      </c>
      <c r="F8" s="37">
        <f>85581+46561</f>
        <v>132142</v>
      </c>
      <c r="G8" s="137"/>
      <c r="H8" s="138">
        <v>44357</v>
      </c>
      <c r="I8" s="49">
        <v>495</v>
      </c>
      <c r="J8" s="291"/>
      <c r="K8" s="158"/>
      <c r="L8" s="46"/>
      <c r="M8" s="41">
        <v>0</v>
      </c>
      <c r="N8" s="42">
        <v>5129</v>
      </c>
      <c r="O8" s="7"/>
      <c r="P8" s="397">
        <v>-121552</v>
      </c>
      <c r="Q8" s="392"/>
      <c r="R8" s="7">
        <f t="shared" ref="R8:R28" si="1">C8+I8+M8+N8+L8</f>
        <v>10590</v>
      </c>
      <c r="S8" s="6">
        <f t="shared" si="0"/>
        <v>-121552</v>
      </c>
      <c r="T8" s="58"/>
      <c r="W8" s="213" t="s">
        <v>59</v>
      </c>
      <c r="X8" s="220">
        <v>44239</v>
      </c>
      <c r="Y8" s="218">
        <v>2000</v>
      </c>
      <c r="AB8" s="349">
        <v>44357</v>
      </c>
      <c r="AC8" s="350">
        <v>121552</v>
      </c>
      <c r="AD8" s="99"/>
      <c r="AE8" s="343" t="s">
        <v>566</v>
      </c>
      <c r="AF8" s="299">
        <v>44368</v>
      </c>
      <c r="AG8" s="344">
        <v>120000</v>
      </c>
    </row>
    <row r="9" spans="1:33" ht="16.5" thickBot="1" x14ac:dyDescent="0.3">
      <c r="A9" s="34"/>
      <c r="B9" s="134">
        <v>44358</v>
      </c>
      <c r="C9" s="36">
        <v>0</v>
      </c>
      <c r="D9" s="141"/>
      <c r="E9" s="136">
        <v>44358</v>
      </c>
      <c r="F9" s="37">
        <v>192498</v>
      </c>
      <c r="G9" s="137"/>
      <c r="H9" s="138">
        <v>44358</v>
      </c>
      <c r="I9" s="49">
        <v>10288</v>
      </c>
      <c r="J9" s="52"/>
      <c r="K9" s="159"/>
      <c r="L9" s="46"/>
      <c r="M9" s="41">
        <v>181550</v>
      </c>
      <c r="N9" s="42">
        <v>8193</v>
      </c>
      <c r="O9" s="7"/>
      <c r="P9" s="394">
        <v>3855</v>
      </c>
      <c r="Q9" s="392"/>
      <c r="R9" s="7">
        <f t="shared" si="1"/>
        <v>200031</v>
      </c>
      <c r="S9" s="201">
        <f t="shared" si="0"/>
        <v>7533</v>
      </c>
      <c r="T9" s="203">
        <v>3678</v>
      </c>
      <c r="W9" s="213" t="s">
        <v>60</v>
      </c>
      <c r="X9" s="220">
        <v>44253</v>
      </c>
      <c r="Y9" s="218">
        <v>2000</v>
      </c>
      <c r="AB9" s="349">
        <v>44358</v>
      </c>
      <c r="AC9" s="350">
        <v>177695</v>
      </c>
      <c r="AD9" s="99"/>
      <c r="AE9" s="343" t="s">
        <v>566</v>
      </c>
      <c r="AF9" s="299">
        <v>44369</v>
      </c>
      <c r="AG9" s="344">
        <v>164450</v>
      </c>
    </row>
    <row r="10" spans="1:33" ht="16.5" thickBot="1" x14ac:dyDescent="0.3">
      <c r="A10" s="34"/>
      <c r="B10" s="134">
        <v>44359</v>
      </c>
      <c r="C10" s="36">
        <v>4654</v>
      </c>
      <c r="D10" s="140" t="s">
        <v>511</v>
      </c>
      <c r="E10" s="136">
        <v>44359</v>
      </c>
      <c r="F10" s="37">
        <v>180402</v>
      </c>
      <c r="G10" s="137"/>
      <c r="H10" s="138">
        <v>44359</v>
      </c>
      <c r="I10" s="49">
        <v>5550</v>
      </c>
      <c r="J10" s="52">
        <v>44359</v>
      </c>
      <c r="K10" s="160" t="s">
        <v>521</v>
      </c>
      <c r="L10" s="53">
        <f>16368.46+400+4000</f>
        <v>20768.46</v>
      </c>
      <c r="M10" s="41">
        <v>325340</v>
      </c>
      <c r="N10" s="42">
        <v>10601</v>
      </c>
      <c r="O10" s="7"/>
      <c r="P10" s="394">
        <v>177657</v>
      </c>
      <c r="Q10" s="392"/>
      <c r="R10" s="7">
        <f t="shared" si="1"/>
        <v>366913.46</v>
      </c>
      <c r="S10" s="202">
        <f t="shared" si="0"/>
        <v>186511.46000000002</v>
      </c>
      <c r="T10" s="54">
        <v>8854.4599999999991</v>
      </c>
      <c r="W10" s="213" t="s">
        <v>61</v>
      </c>
      <c r="X10" s="220">
        <v>44253</v>
      </c>
      <c r="Y10" s="218">
        <v>2000</v>
      </c>
      <c r="AB10" s="349">
        <v>44359</v>
      </c>
      <c r="AC10" s="350">
        <v>147683</v>
      </c>
      <c r="AD10" s="99"/>
      <c r="AE10" s="343" t="s">
        <v>566</v>
      </c>
      <c r="AF10" s="299">
        <v>44370</v>
      </c>
      <c r="AG10" s="344">
        <v>274260</v>
      </c>
    </row>
    <row r="11" spans="1:33" ht="18" thickBot="1" x14ac:dyDescent="0.35">
      <c r="A11" s="34"/>
      <c r="B11" s="134">
        <v>44360</v>
      </c>
      <c r="C11" s="36">
        <v>17685</v>
      </c>
      <c r="D11" s="139" t="s">
        <v>512</v>
      </c>
      <c r="E11" s="136">
        <v>44360</v>
      </c>
      <c r="F11" s="37">
        <v>115973</v>
      </c>
      <c r="G11" s="137"/>
      <c r="H11" s="138">
        <v>44360</v>
      </c>
      <c r="I11" s="49">
        <v>550</v>
      </c>
      <c r="J11" s="292"/>
      <c r="K11" s="161"/>
      <c r="L11" s="46"/>
      <c r="M11" s="41">
        <v>82350</v>
      </c>
      <c r="N11" s="42">
        <v>9369</v>
      </c>
      <c r="O11" s="7"/>
      <c r="P11" s="397">
        <v>-6019</v>
      </c>
      <c r="Q11" s="392"/>
      <c r="R11" s="7">
        <f t="shared" si="1"/>
        <v>109954</v>
      </c>
      <c r="S11" s="6">
        <f t="shared" si="0"/>
        <v>-6019</v>
      </c>
      <c r="T11" s="48"/>
      <c r="W11" s="213" t="s">
        <v>62</v>
      </c>
      <c r="X11" s="220">
        <v>44258</v>
      </c>
      <c r="Y11" s="218">
        <v>2000</v>
      </c>
      <c r="AB11" s="349">
        <v>44360</v>
      </c>
      <c r="AC11" s="350">
        <v>88369</v>
      </c>
      <c r="AD11" s="99"/>
      <c r="AE11" s="345" t="s">
        <v>563</v>
      </c>
      <c r="AF11" s="299">
        <v>44358</v>
      </c>
      <c r="AG11" s="346">
        <v>181550</v>
      </c>
    </row>
    <row r="12" spans="1:33" ht="18" thickBot="1" x14ac:dyDescent="0.35">
      <c r="A12" s="34"/>
      <c r="B12" s="134">
        <v>44361</v>
      </c>
      <c r="C12" s="36">
        <v>9388</v>
      </c>
      <c r="D12" s="139" t="s">
        <v>513</v>
      </c>
      <c r="E12" s="136">
        <v>44361</v>
      </c>
      <c r="F12" s="37">
        <v>154060</v>
      </c>
      <c r="G12" s="137"/>
      <c r="H12" s="138">
        <v>44361</v>
      </c>
      <c r="I12" s="49">
        <v>495</v>
      </c>
      <c r="J12" s="52"/>
      <c r="K12" s="158"/>
      <c r="L12" s="46"/>
      <c r="M12" s="41">
        <v>132090</v>
      </c>
      <c r="N12" s="42">
        <v>3080</v>
      </c>
      <c r="O12" s="7"/>
      <c r="P12" s="397">
        <v>-9007</v>
      </c>
      <c r="Q12" s="392"/>
      <c r="R12" s="7">
        <f t="shared" si="1"/>
        <v>145053</v>
      </c>
      <c r="S12" s="6">
        <f t="shared" si="0"/>
        <v>-9007</v>
      </c>
      <c r="T12" s="56"/>
      <c r="W12" s="213" t="s">
        <v>63</v>
      </c>
      <c r="X12" s="220">
        <v>44265</v>
      </c>
      <c r="Y12" s="218">
        <v>2000</v>
      </c>
      <c r="AB12" s="349">
        <v>44361</v>
      </c>
      <c r="AC12" s="350">
        <v>141097</v>
      </c>
      <c r="AD12" s="99"/>
      <c r="AE12" s="345" t="s">
        <v>563</v>
      </c>
      <c r="AF12" s="299">
        <v>44361</v>
      </c>
      <c r="AG12" s="346">
        <v>325340</v>
      </c>
    </row>
    <row r="13" spans="1:33" ht="18" thickBot="1" x14ac:dyDescent="0.35">
      <c r="A13" s="34"/>
      <c r="B13" s="134">
        <v>44362</v>
      </c>
      <c r="C13" s="36">
        <v>3514</v>
      </c>
      <c r="D13" s="141" t="s">
        <v>514</v>
      </c>
      <c r="E13" s="136">
        <v>44362</v>
      </c>
      <c r="F13" s="37">
        <v>108946</v>
      </c>
      <c r="G13" s="137"/>
      <c r="H13" s="138">
        <v>44362</v>
      </c>
      <c r="I13" s="49">
        <v>895</v>
      </c>
      <c r="J13" s="52">
        <v>44362</v>
      </c>
      <c r="K13" s="374" t="s">
        <v>387</v>
      </c>
      <c r="L13" s="46">
        <v>6000</v>
      </c>
      <c r="M13" s="41">
        <f>3060+2203+84946</f>
        <v>90209</v>
      </c>
      <c r="N13" s="42">
        <v>8328</v>
      </c>
      <c r="O13" s="396" t="s">
        <v>608</v>
      </c>
      <c r="P13" s="392">
        <v>0</v>
      </c>
      <c r="Q13" s="392"/>
      <c r="R13" s="7">
        <f t="shared" si="1"/>
        <v>108946</v>
      </c>
      <c r="S13" s="6">
        <f t="shared" si="0"/>
        <v>0</v>
      </c>
      <c r="T13" s="48"/>
      <c r="W13" s="213" t="s">
        <v>64</v>
      </c>
      <c r="X13" s="220">
        <v>44272</v>
      </c>
      <c r="Y13" s="218">
        <v>2000</v>
      </c>
      <c r="AB13" s="349">
        <v>44362</v>
      </c>
      <c r="AC13" s="350">
        <v>84946</v>
      </c>
      <c r="AD13" s="99"/>
      <c r="AE13" s="345" t="s">
        <v>563</v>
      </c>
      <c r="AF13" s="299">
        <v>44362</v>
      </c>
      <c r="AG13" s="346">
        <v>82350</v>
      </c>
    </row>
    <row r="14" spans="1:33" ht="18" thickBot="1" x14ac:dyDescent="0.35">
      <c r="A14" s="34"/>
      <c r="B14" s="134">
        <v>44363</v>
      </c>
      <c r="C14" s="36">
        <v>9111</v>
      </c>
      <c r="D14" s="140" t="s">
        <v>517</v>
      </c>
      <c r="E14" s="136">
        <v>44363</v>
      </c>
      <c r="F14" s="37">
        <v>114847</v>
      </c>
      <c r="G14" s="137"/>
      <c r="H14" s="138">
        <v>44363</v>
      </c>
      <c r="I14" s="49">
        <v>2440</v>
      </c>
      <c r="J14" s="52"/>
      <c r="K14" s="158"/>
      <c r="L14" s="46"/>
      <c r="M14" s="41">
        <f>150+91494</f>
        <v>91644</v>
      </c>
      <c r="N14" s="42">
        <v>6703</v>
      </c>
      <c r="O14" s="395" t="s">
        <v>609</v>
      </c>
      <c r="P14" s="397">
        <v>-5099</v>
      </c>
      <c r="Q14" s="392"/>
      <c r="R14" s="7">
        <f t="shared" si="1"/>
        <v>109898</v>
      </c>
      <c r="S14" s="6">
        <f t="shared" si="0"/>
        <v>-4949</v>
      </c>
      <c r="T14" s="54"/>
      <c r="W14" s="213" t="s">
        <v>65</v>
      </c>
      <c r="X14" s="220">
        <v>44281</v>
      </c>
      <c r="Y14" s="218">
        <v>2000</v>
      </c>
      <c r="AB14" s="349">
        <v>44363</v>
      </c>
      <c r="AC14" s="350">
        <v>96593</v>
      </c>
      <c r="AD14" s="99"/>
      <c r="AE14" s="345" t="s">
        <v>563</v>
      </c>
      <c r="AF14" s="299">
        <v>44363</v>
      </c>
      <c r="AG14" s="346">
        <v>132090</v>
      </c>
    </row>
    <row r="15" spans="1:33" ht="18" thickBot="1" x14ac:dyDescent="0.35">
      <c r="A15" s="34"/>
      <c r="B15" s="134">
        <v>44364</v>
      </c>
      <c r="C15" s="36">
        <v>8755</v>
      </c>
      <c r="D15" s="139" t="s">
        <v>518</v>
      </c>
      <c r="E15" s="136">
        <v>44364</v>
      </c>
      <c r="F15" s="37">
        <v>155251</v>
      </c>
      <c r="G15" s="137"/>
      <c r="H15" s="138">
        <v>44364</v>
      </c>
      <c r="I15" s="49">
        <v>440</v>
      </c>
      <c r="J15" s="52"/>
      <c r="K15" s="158"/>
      <c r="L15" s="46"/>
      <c r="M15" s="41">
        <v>120000</v>
      </c>
      <c r="N15" s="401">
        <v>8236</v>
      </c>
      <c r="O15" s="7"/>
      <c r="P15" s="397">
        <v>-17820</v>
      </c>
      <c r="Q15" s="392"/>
      <c r="R15" s="7">
        <f t="shared" si="1"/>
        <v>137431</v>
      </c>
      <c r="S15" s="6">
        <f t="shared" si="0"/>
        <v>-17820</v>
      </c>
      <c r="T15" s="58"/>
      <c r="W15" s="213" t="s">
        <v>66</v>
      </c>
      <c r="X15" s="220"/>
      <c r="Y15" s="218"/>
      <c r="AB15" s="349">
        <v>44364</v>
      </c>
      <c r="AC15" s="350">
        <v>137820</v>
      </c>
      <c r="AD15" s="99"/>
      <c r="AE15" s="345" t="s">
        <v>563</v>
      </c>
      <c r="AF15" s="299">
        <v>44364</v>
      </c>
      <c r="AG15" s="346">
        <v>176440</v>
      </c>
    </row>
    <row r="16" spans="1:33" ht="18" thickBot="1" x14ac:dyDescent="0.35">
      <c r="A16" s="34"/>
      <c r="B16" s="134">
        <v>44365</v>
      </c>
      <c r="C16" s="36">
        <v>10454</v>
      </c>
      <c r="D16" s="139" t="s">
        <v>519</v>
      </c>
      <c r="E16" s="136">
        <v>44365</v>
      </c>
      <c r="F16" s="37">
        <v>153813</v>
      </c>
      <c r="G16" s="137"/>
      <c r="H16" s="138">
        <v>44365</v>
      </c>
      <c r="I16" s="49">
        <v>590</v>
      </c>
      <c r="J16" s="52"/>
      <c r="K16" s="158"/>
      <c r="L16" s="6"/>
      <c r="M16" s="368">
        <v>164450</v>
      </c>
      <c r="N16" s="7">
        <v>11121</v>
      </c>
      <c r="O16" s="7"/>
      <c r="P16" s="394">
        <v>32802</v>
      </c>
      <c r="Q16" s="392"/>
      <c r="R16" s="7">
        <f t="shared" si="1"/>
        <v>186615</v>
      </c>
      <c r="S16" s="6">
        <f t="shared" si="0"/>
        <v>32802</v>
      </c>
      <c r="T16" s="58"/>
      <c r="W16" s="213" t="s">
        <v>67</v>
      </c>
      <c r="X16" s="220">
        <v>44300</v>
      </c>
      <c r="Y16" s="218">
        <v>2000</v>
      </c>
      <c r="AB16" s="349">
        <v>44365</v>
      </c>
      <c r="AC16" s="350">
        <v>131648</v>
      </c>
      <c r="AD16" s="99"/>
      <c r="AE16" s="345" t="s">
        <v>563</v>
      </c>
      <c r="AF16" s="299">
        <v>44365</v>
      </c>
      <c r="AG16" s="346">
        <v>137820</v>
      </c>
    </row>
    <row r="17" spans="1:33" ht="18" thickBot="1" x14ac:dyDescent="0.35">
      <c r="A17" s="34"/>
      <c r="B17" s="134">
        <v>44366</v>
      </c>
      <c r="C17" s="36">
        <v>2767</v>
      </c>
      <c r="D17" s="141" t="s">
        <v>364</v>
      </c>
      <c r="E17" s="136">
        <v>44366</v>
      </c>
      <c r="F17" s="37">
        <v>256498</v>
      </c>
      <c r="G17" s="137"/>
      <c r="H17" s="138">
        <v>44366</v>
      </c>
      <c r="I17" s="49">
        <v>12050</v>
      </c>
      <c r="J17" s="52">
        <v>44366</v>
      </c>
      <c r="K17" s="158" t="s">
        <v>520</v>
      </c>
      <c r="L17" s="53">
        <f>16468.46+400+4000</f>
        <v>20868.46</v>
      </c>
      <c r="M17" s="41">
        <f>12964+274260</f>
        <v>287224</v>
      </c>
      <c r="N17" s="402">
        <v>12247</v>
      </c>
      <c r="O17" s="7"/>
      <c r="P17" s="394">
        <v>56840</v>
      </c>
      <c r="Q17" s="392"/>
      <c r="R17" s="7">
        <f t="shared" si="1"/>
        <v>335156.46000000002</v>
      </c>
      <c r="S17" s="202">
        <f t="shared" si="0"/>
        <v>78658.460000000021</v>
      </c>
      <c r="T17" s="48">
        <v>8854.42</v>
      </c>
      <c r="W17" s="213" t="s">
        <v>68</v>
      </c>
      <c r="X17" s="220">
        <v>44300</v>
      </c>
      <c r="Y17" s="218">
        <v>2000</v>
      </c>
      <c r="AB17" s="349">
        <v>44366</v>
      </c>
      <c r="AC17" s="350">
        <v>217420</v>
      </c>
      <c r="AD17" s="99"/>
      <c r="AE17" s="345" t="s">
        <v>563</v>
      </c>
      <c r="AF17" s="299">
        <v>44371</v>
      </c>
      <c r="AG17" s="346">
        <v>81200</v>
      </c>
    </row>
    <row r="18" spans="1:33" ht="18" thickBot="1" x14ac:dyDescent="0.35">
      <c r="A18" s="34"/>
      <c r="B18" s="134">
        <v>44367</v>
      </c>
      <c r="C18" s="36">
        <v>26412</v>
      </c>
      <c r="D18" s="139" t="s">
        <v>522</v>
      </c>
      <c r="E18" s="136">
        <v>44367</v>
      </c>
      <c r="F18" s="37">
        <v>230627</v>
      </c>
      <c r="G18" s="137"/>
      <c r="H18" s="138">
        <v>44367</v>
      </c>
      <c r="I18" s="49">
        <v>550</v>
      </c>
      <c r="J18" s="52"/>
      <c r="K18" s="278"/>
      <c r="L18" s="46"/>
      <c r="M18" s="399">
        <v>167190</v>
      </c>
      <c r="N18" s="42">
        <v>12780</v>
      </c>
      <c r="O18" s="7"/>
      <c r="P18" s="397">
        <v>-23695</v>
      </c>
      <c r="Q18" s="392"/>
      <c r="R18" s="7">
        <f t="shared" si="1"/>
        <v>206932</v>
      </c>
      <c r="S18" s="6">
        <f t="shared" si="0"/>
        <v>-23695</v>
      </c>
      <c r="T18" s="48"/>
      <c r="W18" s="213" t="s">
        <v>69</v>
      </c>
      <c r="X18" s="220">
        <v>44309</v>
      </c>
      <c r="Y18" s="218">
        <v>2000</v>
      </c>
      <c r="AB18" s="349">
        <v>44367</v>
      </c>
      <c r="AC18" s="350">
        <v>190885</v>
      </c>
      <c r="AD18" s="99"/>
      <c r="AE18" s="345" t="s">
        <v>563</v>
      </c>
      <c r="AF18" s="299">
        <v>44372</v>
      </c>
      <c r="AG18" s="346">
        <v>167190</v>
      </c>
    </row>
    <row r="19" spans="1:33" ht="18" thickBot="1" x14ac:dyDescent="0.35">
      <c r="A19" s="34"/>
      <c r="B19" s="134">
        <v>44368</v>
      </c>
      <c r="C19" s="36">
        <v>3306</v>
      </c>
      <c r="D19" s="139" t="s">
        <v>355</v>
      </c>
      <c r="E19" s="136">
        <v>44368</v>
      </c>
      <c r="F19" s="37">
        <v>91166</v>
      </c>
      <c r="G19" s="137"/>
      <c r="H19" s="138">
        <v>44368</v>
      </c>
      <c r="I19" s="49">
        <v>840</v>
      </c>
      <c r="J19" s="52"/>
      <c r="K19" s="163"/>
      <c r="L19" s="59"/>
      <c r="M19" s="41">
        <v>0</v>
      </c>
      <c r="N19" s="42">
        <v>3622</v>
      </c>
      <c r="O19" s="7"/>
      <c r="P19" s="397">
        <v>-83398</v>
      </c>
      <c r="Q19" s="392"/>
      <c r="R19" s="7">
        <f t="shared" si="1"/>
        <v>7768</v>
      </c>
      <c r="S19" s="6">
        <f t="shared" si="0"/>
        <v>-83398</v>
      </c>
      <c r="T19" s="58"/>
      <c r="W19" s="213" t="s">
        <v>70</v>
      </c>
      <c r="X19" s="220">
        <v>44320</v>
      </c>
      <c r="Y19" s="218">
        <v>2000</v>
      </c>
      <c r="AB19" s="349">
        <v>44368</v>
      </c>
      <c r="AC19" s="350">
        <v>83398</v>
      </c>
      <c r="AD19" s="99"/>
      <c r="AE19" s="345" t="s">
        <v>563</v>
      </c>
      <c r="AF19" s="299">
        <v>44376</v>
      </c>
      <c r="AG19" s="346">
        <v>209600</v>
      </c>
    </row>
    <row r="20" spans="1:33" ht="18" thickBot="1" x14ac:dyDescent="0.35">
      <c r="A20" s="34"/>
      <c r="B20" s="134">
        <v>44369</v>
      </c>
      <c r="C20" s="36">
        <v>2327</v>
      </c>
      <c r="D20" s="139" t="s">
        <v>45</v>
      </c>
      <c r="E20" s="136">
        <v>44369</v>
      </c>
      <c r="F20" s="37">
        <v>99473</v>
      </c>
      <c r="G20" s="137"/>
      <c r="H20" s="138">
        <v>44369</v>
      </c>
      <c r="I20" s="49">
        <v>495</v>
      </c>
      <c r="J20" s="52"/>
      <c r="K20" s="164"/>
      <c r="L20" s="53"/>
      <c r="M20" s="41">
        <f>45+1710</f>
        <v>1755</v>
      </c>
      <c r="N20" s="42">
        <v>3669</v>
      </c>
      <c r="O20" s="7"/>
      <c r="P20" s="397">
        <v>-91227</v>
      </c>
      <c r="Q20" s="392"/>
      <c r="R20" s="7">
        <f t="shared" si="1"/>
        <v>8246</v>
      </c>
      <c r="S20" s="6">
        <f t="shared" si="0"/>
        <v>-91227</v>
      </c>
      <c r="T20" s="58"/>
      <c r="W20" s="213" t="s">
        <v>71</v>
      </c>
      <c r="X20" s="220">
        <v>44320</v>
      </c>
      <c r="Y20" s="218">
        <v>2000</v>
      </c>
      <c r="AB20" s="349">
        <v>44369</v>
      </c>
      <c r="AC20" s="350">
        <v>91227</v>
      </c>
      <c r="AD20" s="99"/>
      <c r="AE20" s="345" t="s">
        <v>563</v>
      </c>
      <c r="AF20" s="299">
        <v>44378</v>
      </c>
      <c r="AG20" s="346">
        <v>75870</v>
      </c>
    </row>
    <row r="21" spans="1:33" ht="18" thickBot="1" x14ac:dyDescent="0.35">
      <c r="A21" s="34"/>
      <c r="B21" s="134">
        <v>44370</v>
      </c>
      <c r="C21" s="36">
        <v>6965</v>
      </c>
      <c r="D21" s="139" t="s">
        <v>523</v>
      </c>
      <c r="E21" s="136">
        <v>44370</v>
      </c>
      <c r="F21" s="37">
        <v>103144</v>
      </c>
      <c r="G21" s="137"/>
      <c r="H21" s="138">
        <v>44370</v>
      </c>
      <c r="I21" s="49">
        <v>2440</v>
      </c>
      <c r="J21" s="52"/>
      <c r="K21" s="162"/>
      <c r="L21" s="53"/>
      <c r="M21" s="41">
        <v>135</v>
      </c>
      <c r="N21" s="42">
        <v>6518</v>
      </c>
      <c r="O21" s="7"/>
      <c r="P21" s="397">
        <v>-87086</v>
      </c>
      <c r="Q21" s="392"/>
      <c r="R21" s="7">
        <f t="shared" si="1"/>
        <v>16058</v>
      </c>
      <c r="S21" s="6">
        <f t="shared" si="0"/>
        <v>-87086</v>
      </c>
      <c r="T21" s="58"/>
      <c r="W21" s="213" t="s">
        <v>72</v>
      </c>
      <c r="X21" s="220">
        <v>44330</v>
      </c>
      <c r="Y21" s="218">
        <v>2000</v>
      </c>
      <c r="AB21" s="349">
        <v>44370</v>
      </c>
      <c r="AC21" s="350">
        <v>87086</v>
      </c>
      <c r="AD21" s="99"/>
      <c r="AE21" s="345"/>
      <c r="AF21" s="299"/>
      <c r="AG21" s="346">
        <v>0</v>
      </c>
    </row>
    <row r="22" spans="1:33" ht="24" thickBot="1" x14ac:dyDescent="0.3">
      <c r="A22" s="34"/>
      <c r="B22" s="134">
        <v>44371</v>
      </c>
      <c r="C22" s="36">
        <v>1742</v>
      </c>
      <c r="D22" s="139" t="s">
        <v>524</v>
      </c>
      <c r="E22" s="136">
        <v>44371</v>
      </c>
      <c r="F22" s="37">
        <v>90937</v>
      </c>
      <c r="G22" s="137"/>
      <c r="H22" s="138">
        <v>44371</v>
      </c>
      <c r="I22" s="49">
        <v>440</v>
      </c>
      <c r="J22" s="52"/>
      <c r="K22" s="165"/>
      <c r="L22" s="61"/>
      <c r="M22" s="399">
        <v>81200</v>
      </c>
      <c r="N22" s="42">
        <v>8632</v>
      </c>
      <c r="O22" s="7"/>
      <c r="P22" s="394">
        <v>1077</v>
      </c>
      <c r="Q22" s="392"/>
      <c r="R22" s="7">
        <f t="shared" si="1"/>
        <v>92014</v>
      </c>
      <c r="S22" s="6">
        <f t="shared" si="0"/>
        <v>1077</v>
      </c>
      <c r="T22" s="58"/>
      <c r="W22" s="213" t="s">
        <v>73</v>
      </c>
      <c r="X22" s="220">
        <v>44337</v>
      </c>
      <c r="Y22" s="218">
        <v>2000</v>
      </c>
      <c r="AB22" s="349">
        <v>44371</v>
      </c>
      <c r="AC22" s="350">
        <v>80123</v>
      </c>
      <c r="AD22" s="99"/>
      <c r="AE22" s="375"/>
      <c r="AF22" s="376"/>
      <c r="AG22" s="377">
        <v>0</v>
      </c>
    </row>
    <row r="23" spans="1:33" ht="18" thickBot="1" x14ac:dyDescent="0.35">
      <c r="A23" s="34"/>
      <c r="B23" s="134">
        <v>44372</v>
      </c>
      <c r="C23" s="36">
        <v>11366</v>
      </c>
      <c r="D23" s="139" t="s">
        <v>519</v>
      </c>
      <c r="E23" s="136">
        <v>44372</v>
      </c>
      <c r="F23" s="37">
        <v>180311</v>
      </c>
      <c r="G23" s="137"/>
      <c r="H23" s="138">
        <v>44372</v>
      </c>
      <c r="I23" s="49">
        <v>10550</v>
      </c>
      <c r="J23" s="293"/>
      <c r="K23" s="279"/>
      <c r="L23" s="53"/>
      <c r="M23" s="41">
        <v>152531</v>
      </c>
      <c r="N23" s="42">
        <v>5864</v>
      </c>
      <c r="O23" s="7"/>
      <c r="P23" s="392">
        <v>0</v>
      </c>
      <c r="Q23" s="392"/>
      <c r="R23" s="7">
        <f t="shared" si="1"/>
        <v>180311</v>
      </c>
      <c r="S23" s="6">
        <f t="shared" si="0"/>
        <v>0</v>
      </c>
      <c r="T23" s="54">
        <v>0</v>
      </c>
      <c r="W23" s="213" t="s">
        <v>74</v>
      </c>
      <c r="X23" s="220">
        <v>44342</v>
      </c>
      <c r="Y23" s="218">
        <v>2000</v>
      </c>
      <c r="AB23" s="349">
        <v>44372</v>
      </c>
      <c r="AC23" s="350">
        <v>0</v>
      </c>
      <c r="AD23" s="99"/>
      <c r="AE23" s="604" t="s">
        <v>564</v>
      </c>
      <c r="AF23" s="605"/>
      <c r="AG23" s="339">
        <f>SUM(AG6:AG22)</f>
        <v>2323600</v>
      </c>
    </row>
    <row r="24" spans="1:33" ht="16.5" thickBot="1" x14ac:dyDescent="0.3">
      <c r="A24" s="34"/>
      <c r="B24" s="134">
        <v>44373</v>
      </c>
      <c r="C24" s="36">
        <v>2308</v>
      </c>
      <c r="D24" s="139" t="s">
        <v>525</v>
      </c>
      <c r="E24" s="136">
        <v>44373</v>
      </c>
      <c r="F24" s="37">
        <v>145102</v>
      </c>
      <c r="G24" s="137"/>
      <c r="H24" s="138">
        <v>44373</v>
      </c>
      <c r="I24" s="49">
        <f>550+175</f>
        <v>725</v>
      </c>
      <c r="J24" s="294">
        <v>44373</v>
      </c>
      <c r="K24" s="295" t="s">
        <v>526</v>
      </c>
      <c r="L24" s="296">
        <f>15022.3+400+4000</f>
        <v>19422.3</v>
      </c>
      <c r="M24" s="41">
        <v>127951</v>
      </c>
      <c r="N24" s="42">
        <v>3550</v>
      </c>
      <c r="O24" s="7"/>
      <c r="P24" s="392">
        <v>0</v>
      </c>
      <c r="Q24" s="392"/>
      <c r="R24" s="7">
        <f t="shared" si="1"/>
        <v>153956.29999999999</v>
      </c>
      <c r="S24" s="202">
        <f t="shared" si="0"/>
        <v>8854.2999999999884</v>
      </c>
      <c r="T24" s="48">
        <v>8854.2999999999993</v>
      </c>
      <c r="W24" s="213" t="s">
        <v>75</v>
      </c>
      <c r="X24" s="220"/>
      <c r="Y24" s="218"/>
      <c r="AB24" s="349">
        <v>44373</v>
      </c>
      <c r="AC24" s="350">
        <v>0</v>
      </c>
      <c r="AD24" s="99"/>
      <c r="AE24" s="47"/>
      <c r="AF24" s="323"/>
      <c r="AG24" s="99"/>
    </row>
    <row r="25" spans="1:33" ht="24" customHeight="1" thickBot="1" x14ac:dyDescent="0.3">
      <c r="A25" s="34"/>
      <c r="B25" s="134">
        <v>44374</v>
      </c>
      <c r="C25" s="36">
        <v>12678</v>
      </c>
      <c r="D25" s="139" t="s">
        <v>522</v>
      </c>
      <c r="E25" s="136">
        <v>44374</v>
      </c>
      <c r="F25" s="37">
        <v>159708</v>
      </c>
      <c r="G25" s="137"/>
      <c r="H25" s="138">
        <v>44374</v>
      </c>
      <c r="I25" s="49">
        <v>550</v>
      </c>
      <c r="J25" s="297"/>
      <c r="K25" s="172"/>
      <c r="L25" s="75"/>
      <c r="M25" s="399">
        <v>137820</v>
      </c>
      <c r="N25" s="42">
        <v>7873</v>
      </c>
      <c r="O25" s="7"/>
      <c r="P25" s="397">
        <v>-787</v>
      </c>
      <c r="Q25" s="392"/>
      <c r="R25" s="7">
        <f t="shared" si="1"/>
        <v>158921</v>
      </c>
      <c r="S25" s="6">
        <f t="shared" si="0"/>
        <v>-787</v>
      </c>
      <c r="T25" s="48">
        <v>0</v>
      </c>
      <c r="W25" s="213" t="s">
        <v>76</v>
      </c>
      <c r="X25" s="220">
        <v>44358</v>
      </c>
      <c r="Y25" s="218">
        <v>2000</v>
      </c>
      <c r="AB25" s="349">
        <v>44374</v>
      </c>
      <c r="AC25" s="350">
        <v>138607</v>
      </c>
      <c r="AD25" s="99"/>
      <c r="AE25" s="606" t="s">
        <v>565</v>
      </c>
      <c r="AF25" s="607"/>
      <c r="AG25" s="610">
        <f>AC29-AG23</f>
        <v>163726</v>
      </c>
    </row>
    <row r="26" spans="1:33" ht="16.5" thickBot="1" x14ac:dyDescent="0.3">
      <c r="A26" s="34"/>
      <c r="B26" s="134">
        <v>44375</v>
      </c>
      <c r="C26" s="36">
        <v>9300</v>
      </c>
      <c r="D26" s="139" t="s">
        <v>560</v>
      </c>
      <c r="E26" s="136">
        <v>44375</v>
      </c>
      <c r="F26" s="37">
        <v>121884</v>
      </c>
      <c r="G26" s="137"/>
      <c r="H26" s="138">
        <v>44375</v>
      </c>
      <c r="I26" s="49">
        <v>440</v>
      </c>
      <c r="J26" s="52"/>
      <c r="K26" s="295"/>
      <c r="L26" s="53"/>
      <c r="M26" s="41">
        <v>209600</v>
      </c>
      <c r="N26" s="42">
        <v>4664</v>
      </c>
      <c r="O26" s="7"/>
      <c r="P26" s="394">
        <v>102120</v>
      </c>
      <c r="Q26" s="392"/>
      <c r="R26" s="7">
        <f t="shared" si="1"/>
        <v>224004</v>
      </c>
      <c r="S26" s="6">
        <f t="shared" si="0"/>
        <v>102120</v>
      </c>
      <c r="T26" s="48">
        <f>SUM(T5:T25)</f>
        <v>37378.179999999993</v>
      </c>
      <c r="W26" s="213" t="s">
        <v>77</v>
      </c>
      <c r="X26" s="220">
        <v>44363</v>
      </c>
      <c r="Y26" s="218">
        <v>2000</v>
      </c>
      <c r="AB26" s="349">
        <v>44375</v>
      </c>
      <c r="AC26" s="350">
        <v>107480</v>
      </c>
      <c r="AD26" s="99"/>
      <c r="AE26" s="608"/>
      <c r="AF26" s="609"/>
      <c r="AG26" s="611"/>
    </row>
    <row r="27" spans="1:33" ht="15" customHeight="1" thickBot="1" x14ac:dyDescent="0.3">
      <c r="A27" s="34"/>
      <c r="B27" s="134">
        <v>44376</v>
      </c>
      <c r="C27" s="36">
        <v>3467</v>
      </c>
      <c r="D27" s="141" t="s">
        <v>561</v>
      </c>
      <c r="E27" s="136">
        <v>44376</v>
      </c>
      <c r="F27" s="37">
        <v>88825</v>
      </c>
      <c r="G27" s="137"/>
      <c r="H27" s="138">
        <v>44376</v>
      </c>
      <c r="I27" s="49">
        <v>576</v>
      </c>
      <c r="J27" s="298"/>
      <c r="K27" s="282"/>
      <c r="L27" s="75"/>
      <c r="M27" s="41">
        <v>75870</v>
      </c>
      <c r="N27" s="333">
        <v>6888</v>
      </c>
      <c r="O27" s="7"/>
      <c r="P27" s="397">
        <v>-2024</v>
      </c>
      <c r="Q27" s="392"/>
      <c r="R27" s="7">
        <f t="shared" si="1"/>
        <v>86801</v>
      </c>
      <c r="S27" s="6">
        <f t="shared" si="0"/>
        <v>-2024</v>
      </c>
      <c r="T27" s="48"/>
      <c r="W27" s="213" t="s">
        <v>78</v>
      </c>
      <c r="X27" s="220">
        <v>44370</v>
      </c>
      <c r="Y27" s="218">
        <v>2000</v>
      </c>
      <c r="AB27" s="349">
        <v>44376</v>
      </c>
      <c r="AC27" s="350">
        <v>77894</v>
      </c>
      <c r="AD27" s="99"/>
      <c r="AE27" s="99"/>
      <c r="AF27" s="99"/>
      <c r="AG27" s="99"/>
    </row>
    <row r="28" spans="1:33" ht="16.5" thickBot="1" x14ac:dyDescent="0.3">
      <c r="A28" s="34"/>
      <c r="B28" s="134">
        <v>44377</v>
      </c>
      <c r="C28" s="36">
        <v>2020</v>
      </c>
      <c r="D28" s="141" t="s">
        <v>449</v>
      </c>
      <c r="E28" s="136">
        <v>44377</v>
      </c>
      <c r="F28" s="37">
        <v>151476</v>
      </c>
      <c r="G28" s="137"/>
      <c r="H28" s="138">
        <v>44377</v>
      </c>
      <c r="I28" s="49">
        <v>1131</v>
      </c>
      <c r="J28" s="299">
        <v>44377</v>
      </c>
      <c r="K28" s="151" t="s">
        <v>12</v>
      </c>
      <c r="L28" s="75">
        <v>20000</v>
      </c>
      <c r="M28" s="41">
        <v>125407</v>
      </c>
      <c r="N28" s="333">
        <v>2918</v>
      </c>
      <c r="O28" s="7"/>
      <c r="P28" s="392">
        <v>0</v>
      </c>
      <c r="Q28" s="392"/>
      <c r="R28" s="7">
        <f t="shared" si="1"/>
        <v>151476</v>
      </c>
      <c r="S28" s="6">
        <f t="shared" si="0"/>
        <v>0</v>
      </c>
      <c r="T28" s="48"/>
      <c r="W28" s="213" t="s">
        <v>79</v>
      </c>
      <c r="X28" s="220"/>
      <c r="Y28" s="218"/>
      <c r="AB28" s="351">
        <v>44377</v>
      </c>
      <c r="AC28" s="352">
        <v>0</v>
      </c>
      <c r="AD28" s="99"/>
      <c r="AE28" s="99"/>
      <c r="AF28" s="99"/>
      <c r="AG28" s="99"/>
    </row>
    <row r="29" spans="1:33" ht="15.75" customHeight="1" thickBot="1" x14ac:dyDescent="0.35">
      <c r="A29" s="34"/>
      <c r="B29" s="134"/>
      <c r="C29" s="36"/>
      <c r="D29" s="143"/>
      <c r="E29" s="136"/>
      <c r="F29" s="37"/>
      <c r="G29" s="137"/>
      <c r="H29" s="138"/>
      <c r="I29" s="49"/>
      <c r="J29" s="300"/>
      <c r="K29" s="169"/>
      <c r="L29" s="75"/>
      <c r="M29" s="41">
        <v>0</v>
      </c>
      <c r="N29" s="333">
        <v>0</v>
      </c>
      <c r="O29" s="7"/>
      <c r="P29" s="392">
        <v>0</v>
      </c>
      <c r="Q29" s="392"/>
      <c r="R29" s="7">
        <v>0</v>
      </c>
      <c r="S29" s="6">
        <f t="shared" si="0"/>
        <v>0</v>
      </c>
      <c r="T29" s="58"/>
      <c r="W29" s="213" t="s">
        <v>80</v>
      </c>
      <c r="X29" s="220"/>
      <c r="Y29" s="218"/>
      <c r="AB29" s="600" t="s">
        <v>562</v>
      </c>
      <c r="AC29" s="602">
        <f>SUM(AC5:AC28)</f>
        <v>2487326</v>
      </c>
      <c r="AD29" s="340"/>
      <c r="AE29" s="340"/>
      <c r="AF29" s="340"/>
      <c r="AG29" s="340"/>
    </row>
    <row r="30" spans="1:33" ht="18" thickBot="1" x14ac:dyDescent="0.35">
      <c r="A30" s="34"/>
      <c r="B30" s="134"/>
      <c r="C30" s="36"/>
      <c r="D30" s="143"/>
      <c r="E30" s="136"/>
      <c r="F30" s="37"/>
      <c r="G30" s="137"/>
      <c r="H30" s="138"/>
      <c r="I30" s="69"/>
      <c r="J30" s="233" t="s">
        <v>568</v>
      </c>
      <c r="K30" s="356" t="s">
        <v>573</v>
      </c>
      <c r="L30" s="357">
        <f>189+999</f>
        <v>1188</v>
      </c>
      <c r="M30" s="41">
        <v>0</v>
      </c>
      <c r="N30" s="333">
        <v>0</v>
      </c>
      <c r="O30" s="7"/>
      <c r="P30" s="587">
        <f>SUM(P5:P29)</f>
        <v>-163726</v>
      </c>
      <c r="Q30" s="587"/>
      <c r="R30" s="7">
        <v>0</v>
      </c>
      <c r="S30" s="6">
        <f t="shared" si="0"/>
        <v>0</v>
      </c>
      <c r="T30" s="48"/>
      <c r="W30" s="213" t="s">
        <v>81</v>
      </c>
      <c r="X30" s="221"/>
      <c r="Y30" s="207"/>
      <c r="AB30" s="601"/>
      <c r="AC30" s="603"/>
      <c r="AD30" s="99"/>
      <c r="AE30" s="99"/>
      <c r="AF30" s="99"/>
      <c r="AG30" s="99"/>
    </row>
    <row r="31" spans="1:33" ht="16.5" thickBot="1" x14ac:dyDescent="0.3">
      <c r="A31" s="34"/>
      <c r="B31" s="353">
        <v>44354</v>
      </c>
      <c r="C31" s="354">
        <v>12672.3</v>
      </c>
      <c r="D31" s="355" t="s">
        <v>341</v>
      </c>
      <c r="E31" s="136"/>
      <c r="F31" s="37"/>
      <c r="G31" s="137"/>
      <c r="H31" s="138"/>
      <c r="I31" s="69"/>
      <c r="J31" s="233" t="s">
        <v>568</v>
      </c>
      <c r="K31" s="144" t="s">
        <v>211</v>
      </c>
      <c r="L31" s="66">
        <f>10260+10260+8805+9180</f>
        <v>38505</v>
      </c>
      <c r="M31" s="41">
        <v>0</v>
      </c>
      <c r="N31" s="333">
        <v>0</v>
      </c>
      <c r="O31" s="7"/>
      <c r="P31" s="7"/>
      <c r="Q31" s="7"/>
      <c r="R31" s="7">
        <v>0</v>
      </c>
      <c r="S31" s="6">
        <f t="shared" si="0"/>
        <v>0</v>
      </c>
      <c r="T31" s="48"/>
      <c r="W31" s="213" t="s">
        <v>82</v>
      </c>
      <c r="X31" s="221"/>
      <c r="Y31" s="207"/>
      <c r="AB31" s="323"/>
      <c r="AC31" s="99"/>
      <c r="AD31" s="99"/>
      <c r="AE31" s="99"/>
      <c r="AF31" s="99"/>
      <c r="AG31" s="99"/>
    </row>
    <row r="32" spans="1:33" ht="16.5" thickBot="1" x14ac:dyDescent="0.3">
      <c r="A32" s="34"/>
      <c r="B32" s="353">
        <v>44357</v>
      </c>
      <c r="C32" s="354">
        <v>13688.05</v>
      </c>
      <c r="D32" s="355" t="s">
        <v>341</v>
      </c>
      <c r="E32" s="136"/>
      <c r="F32" s="70"/>
      <c r="G32" s="137"/>
      <c r="H32" s="138"/>
      <c r="I32" s="69"/>
      <c r="J32" s="233" t="s">
        <v>568</v>
      </c>
      <c r="K32" s="356" t="s">
        <v>574</v>
      </c>
      <c r="L32" s="357">
        <v>22100</v>
      </c>
      <c r="M32" s="41">
        <v>0</v>
      </c>
      <c r="N32" s="42">
        <v>0</v>
      </c>
      <c r="O32" s="7"/>
      <c r="P32" s="7"/>
      <c r="Q32" s="7"/>
      <c r="R32" s="7">
        <v>0</v>
      </c>
      <c r="S32" s="6">
        <f t="shared" si="0"/>
        <v>0</v>
      </c>
      <c r="T32" s="48"/>
      <c r="W32" s="213" t="s">
        <v>83</v>
      </c>
      <c r="X32" s="221"/>
      <c r="Y32" s="207"/>
      <c r="AD32" s="99"/>
      <c r="AE32" s="99"/>
      <c r="AF32" s="99"/>
      <c r="AG32" s="99"/>
    </row>
    <row r="33" spans="1:33" ht="16.5" thickBot="1" x14ac:dyDescent="0.3">
      <c r="A33" s="34"/>
      <c r="B33" s="353">
        <v>44364</v>
      </c>
      <c r="C33" s="354">
        <v>26233.7</v>
      </c>
      <c r="D33" s="355" t="s">
        <v>341</v>
      </c>
      <c r="E33" s="136"/>
      <c r="F33" s="71"/>
      <c r="G33" s="137"/>
      <c r="H33" s="138"/>
      <c r="I33" s="69"/>
      <c r="J33" s="233" t="s">
        <v>568</v>
      </c>
      <c r="K33" s="144" t="s">
        <v>576</v>
      </c>
      <c r="L33" s="358">
        <v>41873</v>
      </c>
      <c r="M33" s="41">
        <v>0</v>
      </c>
      <c r="N33" s="42">
        <v>0</v>
      </c>
      <c r="O33" s="7"/>
      <c r="P33" s="7"/>
      <c r="Q33" s="7"/>
      <c r="R33" s="7">
        <v>0</v>
      </c>
      <c r="S33" s="6">
        <f t="shared" si="0"/>
        <v>0</v>
      </c>
      <c r="T33" s="48"/>
      <c r="W33" s="213" t="s">
        <v>84</v>
      </c>
      <c r="X33" s="221"/>
      <c r="Y33" s="207"/>
      <c r="AC33" s="386" t="s">
        <v>601</v>
      </c>
      <c r="AD33" s="387"/>
      <c r="AE33" s="387"/>
      <c r="AG33" s="387">
        <v>10815.4</v>
      </c>
    </row>
    <row r="34" spans="1:33" ht="16.5" thickBot="1" x14ac:dyDescent="0.3">
      <c r="A34" s="34"/>
      <c r="B34" s="353">
        <v>44365</v>
      </c>
      <c r="C34" s="354">
        <v>12044.28</v>
      </c>
      <c r="D34" s="355" t="s">
        <v>341</v>
      </c>
      <c r="E34" s="136"/>
      <c r="F34" s="71"/>
      <c r="G34" s="137"/>
      <c r="H34" s="138"/>
      <c r="I34" s="69"/>
      <c r="J34" s="233" t="s">
        <v>568</v>
      </c>
      <c r="K34" s="359" t="s">
        <v>598</v>
      </c>
      <c r="L34" s="360">
        <v>9014.9699999999993</v>
      </c>
      <c r="M34" s="41">
        <v>0</v>
      </c>
      <c r="N34" s="42">
        <v>0</v>
      </c>
      <c r="O34" s="7"/>
      <c r="P34" s="7"/>
      <c r="Q34" s="7"/>
      <c r="R34" s="7">
        <v>0</v>
      </c>
      <c r="S34" s="6">
        <f t="shared" si="0"/>
        <v>0</v>
      </c>
      <c r="T34" s="48"/>
      <c r="W34" s="213" t="s">
        <v>85</v>
      </c>
      <c r="X34" s="221"/>
      <c r="Y34" s="207"/>
      <c r="AC34" s="388" t="s">
        <v>602</v>
      </c>
      <c r="AD34" s="99"/>
      <c r="AE34" s="99"/>
      <c r="AG34" s="99">
        <v>26563.26</v>
      </c>
    </row>
    <row r="35" spans="1:33" ht="16.5" thickBot="1" x14ac:dyDescent="0.3">
      <c r="A35" s="34"/>
      <c r="B35" s="353">
        <v>44369</v>
      </c>
      <c r="C35" s="354">
        <v>13774.08</v>
      </c>
      <c r="D35" s="355" t="s">
        <v>341</v>
      </c>
      <c r="E35" s="136"/>
      <c r="F35" s="71"/>
      <c r="G35" s="137"/>
      <c r="H35" s="138"/>
      <c r="I35" s="69"/>
      <c r="J35" s="233" t="s">
        <v>568</v>
      </c>
      <c r="K35" s="144" t="s">
        <v>599</v>
      </c>
      <c r="L35" s="358">
        <v>1332</v>
      </c>
      <c r="M35" s="41">
        <v>0</v>
      </c>
      <c r="N35" s="42">
        <v>0</v>
      </c>
      <c r="O35" s="7"/>
      <c r="P35" s="7"/>
      <c r="Q35" s="7"/>
      <c r="R35" s="7">
        <v>0</v>
      </c>
      <c r="S35" s="6">
        <f t="shared" si="0"/>
        <v>0</v>
      </c>
      <c r="T35" s="48"/>
      <c r="W35" s="213" t="s">
        <v>86</v>
      </c>
      <c r="X35" s="221"/>
      <c r="Y35" s="207"/>
      <c r="AC35" s="385"/>
      <c r="AD35" s="99"/>
      <c r="AE35" s="99"/>
      <c r="AG35" s="99"/>
    </row>
    <row r="36" spans="1:33" ht="15" customHeight="1" thickBot="1" x14ac:dyDescent="0.3">
      <c r="A36" s="34"/>
      <c r="B36" s="353">
        <v>44371</v>
      </c>
      <c r="C36" s="354">
        <v>23467.78</v>
      </c>
      <c r="D36" s="355" t="s">
        <v>341</v>
      </c>
      <c r="E36" s="332"/>
      <c r="F36" s="71"/>
      <c r="G36" s="137"/>
      <c r="H36" s="138"/>
      <c r="I36" s="69"/>
      <c r="J36" s="233" t="s">
        <v>568</v>
      </c>
      <c r="K36" s="359" t="s">
        <v>136</v>
      </c>
      <c r="L36" s="360">
        <v>986</v>
      </c>
      <c r="M36" s="77"/>
      <c r="N36" s="42">
        <v>0</v>
      </c>
      <c r="O36" s="7"/>
      <c r="P36" s="7"/>
      <c r="Q36" s="7"/>
      <c r="R36" s="7">
        <v>0</v>
      </c>
      <c r="S36" s="6">
        <v>0</v>
      </c>
      <c r="T36" s="48"/>
      <c r="W36" s="213" t="s">
        <v>87</v>
      </c>
      <c r="X36" s="221"/>
      <c r="Y36" s="207"/>
      <c r="AC36" s="388"/>
      <c r="AD36" s="99"/>
      <c r="AE36" s="99"/>
      <c r="AG36" s="99"/>
    </row>
    <row r="37" spans="1:33" ht="19.5" customHeight="1" thickBot="1" x14ac:dyDescent="0.35">
      <c r="A37" s="34"/>
      <c r="B37" s="353">
        <v>44373</v>
      </c>
      <c r="C37" s="354">
        <v>13683.4</v>
      </c>
      <c r="D37" s="355" t="s">
        <v>341</v>
      </c>
      <c r="E37" s="136"/>
      <c r="F37" s="265" t="s">
        <v>11</v>
      </c>
      <c r="G37" s="137"/>
      <c r="H37" s="138"/>
      <c r="I37" s="69"/>
      <c r="J37" s="233" t="s">
        <v>568</v>
      </c>
      <c r="K37" s="362" t="s">
        <v>707</v>
      </c>
      <c r="L37" s="363">
        <v>55555.55</v>
      </c>
      <c r="M37" s="77"/>
      <c r="N37" s="42">
        <v>0</v>
      </c>
      <c r="O37" s="7"/>
      <c r="P37" s="7"/>
      <c r="Q37" s="7"/>
      <c r="R37" s="7">
        <v>0</v>
      </c>
      <c r="S37" s="6">
        <v>0</v>
      </c>
      <c r="T37" s="48"/>
      <c r="W37" s="213" t="s">
        <v>88</v>
      </c>
      <c r="X37" s="221"/>
      <c r="Y37" s="207"/>
      <c r="AC37" s="321" t="s">
        <v>603</v>
      </c>
      <c r="AD37" s="338"/>
      <c r="AE37" s="338"/>
      <c r="AG37" s="389">
        <v>61174.96</v>
      </c>
    </row>
    <row r="38" spans="1:33" ht="15" customHeight="1" thickBot="1" x14ac:dyDescent="0.35">
      <c r="A38" s="34"/>
      <c r="B38" s="353">
        <v>44376</v>
      </c>
      <c r="C38" s="354">
        <v>22166.63</v>
      </c>
      <c r="D38" s="355" t="s">
        <v>341</v>
      </c>
      <c r="E38" s="136"/>
      <c r="F38" s="265"/>
      <c r="G38" s="137"/>
      <c r="H38" s="138"/>
      <c r="I38" s="69"/>
      <c r="J38" s="233" t="s">
        <v>568</v>
      </c>
      <c r="K38" s="362" t="s">
        <v>708</v>
      </c>
      <c r="L38" s="363">
        <v>14335.75</v>
      </c>
      <c r="M38" s="77"/>
      <c r="N38" s="42">
        <v>0</v>
      </c>
      <c r="O38" s="7"/>
      <c r="P38" s="7"/>
      <c r="Q38" s="7"/>
      <c r="R38" s="7">
        <v>0</v>
      </c>
      <c r="S38" s="6">
        <v>0</v>
      </c>
      <c r="T38" s="48"/>
      <c r="W38" s="213" t="s">
        <v>89</v>
      </c>
      <c r="X38" s="221"/>
      <c r="Y38" s="207"/>
      <c r="AC38" s="321" t="s">
        <v>604</v>
      </c>
      <c r="AD38" s="338"/>
      <c r="AE38" s="338"/>
      <c r="AG38" s="389">
        <v>53960</v>
      </c>
    </row>
    <row r="39" spans="1:33" ht="20.25" customHeight="1" thickBot="1" x14ac:dyDescent="0.35">
      <c r="A39" s="34"/>
      <c r="B39" s="146">
        <v>44361</v>
      </c>
      <c r="C39" s="71">
        <v>11400</v>
      </c>
      <c r="D39" s="242" t="s">
        <v>575</v>
      </c>
      <c r="E39" s="136"/>
      <c r="F39" s="239"/>
      <c r="G39" s="137"/>
      <c r="H39" s="138"/>
      <c r="I39" s="69"/>
      <c r="J39" s="233" t="s">
        <v>568</v>
      </c>
      <c r="K39" s="361" t="s">
        <v>579</v>
      </c>
      <c r="L39" s="358">
        <v>1976.64</v>
      </c>
      <c r="M39" s="77"/>
      <c r="N39" s="42">
        <v>0</v>
      </c>
      <c r="O39" s="7"/>
      <c r="P39" s="7"/>
      <c r="Q39" s="7"/>
      <c r="R39" s="7">
        <v>0</v>
      </c>
      <c r="S39" s="6">
        <v>0</v>
      </c>
      <c r="T39" s="48"/>
      <c r="W39" s="213" t="s">
        <v>90</v>
      </c>
      <c r="X39" s="221"/>
      <c r="Y39" s="207"/>
      <c r="AC39" s="321" t="s">
        <v>605</v>
      </c>
      <c r="AD39" s="338"/>
      <c r="AE39" s="338"/>
      <c r="AG39" s="391">
        <v>174363</v>
      </c>
    </row>
    <row r="40" spans="1:33" ht="15" customHeight="1" thickBot="1" x14ac:dyDescent="0.35">
      <c r="A40" s="34"/>
      <c r="B40" s="146"/>
      <c r="C40" s="71"/>
      <c r="D40" s="242"/>
      <c r="E40" s="136"/>
      <c r="F40" s="239"/>
      <c r="G40" s="137"/>
      <c r="H40" s="138"/>
      <c r="I40" s="69"/>
      <c r="J40" s="233" t="s">
        <v>568</v>
      </c>
      <c r="K40" s="144" t="s">
        <v>580</v>
      </c>
      <c r="L40" s="358">
        <f>399+399</f>
        <v>798</v>
      </c>
      <c r="M40" s="77"/>
      <c r="N40" s="42">
        <v>0</v>
      </c>
      <c r="O40" s="7"/>
      <c r="P40" s="7"/>
      <c r="Q40" s="7"/>
      <c r="R40" s="7">
        <v>0</v>
      </c>
      <c r="S40" s="6">
        <v>0</v>
      </c>
      <c r="T40" s="48"/>
      <c r="W40" s="213" t="s">
        <v>91</v>
      </c>
      <c r="X40" s="221"/>
      <c r="Y40" s="207"/>
      <c r="AC40" s="321" t="s">
        <v>606</v>
      </c>
      <c r="AD40" s="338"/>
      <c r="AE40" s="338"/>
      <c r="AG40" s="389">
        <v>829950</v>
      </c>
    </row>
    <row r="41" spans="1:33" ht="15" customHeight="1" thickBot="1" x14ac:dyDescent="0.35">
      <c r="A41" s="34"/>
      <c r="B41" s="146"/>
      <c r="C41" s="314"/>
      <c r="D41" s="171"/>
      <c r="E41" s="136"/>
      <c r="F41" s="240"/>
      <c r="G41" s="137"/>
      <c r="H41" s="138"/>
      <c r="I41" s="69"/>
      <c r="J41" s="233" t="s">
        <v>568</v>
      </c>
      <c r="K41" s="144" t="s">
        <v>581</v>
      </c>
      <c r="L41" s="358">
        <v>1032.4000000000001</v>
      </c>
      <c r="M41" s="77"/>
      <c r="N41" s="42">
        <v>0</v>
      </c>
      <c r="O41" s="7"/>
      <c r="P41" s="7"/>
      <c r="Q41" s="7"/>
      <c r="R41" s="7">
        <v>0</v>
      </c>
      <c r="S41" s="6">
        <v>0</v>
      </c>
      <c r="T41" s="48"/>
      <c r="W41" s="213" t="s">
        <v>92</v>
      </c>
      <c r="X41" s="221"/>
      <c r="Y41" s="207"/>
      <c r="AC41" s="321" t="s">
        <v>607</v>
      </c>
      <c r="AD41" s="338"/>
      <c r="AE41" s="338"/>
      <c r="AF41" s="389"/>
      <c r="AG41" s="338">
        <v>2323600</v>
      </c>
    </row>
    <row r="42" spans="1:33" ht="15" customHeight="1" thickBot="1" x14ac:dyDescent="0.35">
      <c r="A42" s="34"/>
      <c r="B42" s="146"/>
      <c r="C42" s="71"/>
      <c r="D42" s="171"/>
      <c r="E42" s="136"/>
      <c r="F42" s="241"/>
      <c r="G42" s="137"/>
      <c r="H42" s="138"/>
      <c r="I42" s="69"/>
      <c r="J42" s="233" t="s">
        <v>568</v>
      </c>
      <c r="K42" s="144" t="s">
        <v>582</v>
      </c>
      <c r="L42" s="358">
        <f>398.99+422.1+498.99+398.99</f>
        <v>1719.07</v>
      </c>
      <c r="M42" s="77"/>
      <c r="N42" s="42">
        <v>0</v>
      </c>
      <c r="O42" s="7"/>
      <c r="P42" s="7"/>
      <c r="Q42" s="7"/>
      <c r="R42" s="7">
        <v>0</v>
      </c>
      <c r="S42" s="6">
        <v>0</v>
      </c>
      <c r="T42" s="48"/>
      <c r="W42" s="213" t="s">
        <v>93</v>
      </c>
      <c r="X42" s="221"/>
      <c r="Y42" s="207"/>
      <c r="AD42" s="338"/>
      <c r="AE42" s="338"/>
      <c r="AF42" s="389"/>
      <c r="AG42" s="338">
        <v>0</v>
      </c>
    </row>
    <row r="43" spans="1:33" ht="15.75" customHeight="1" thickBot="1" x14ac:dyDescent="0.35">
      <c r="A43" s="34"/>
      <c r="B43" s="146"/>
      <c r="C43" s="71"/>
      <c r="D43" s="171"/>
      <c r="E43" s="136"/>
      <c r="F43" s="241"/>
      <c r="G43" s="137"/>
      <c r="H43" s="138"/>
      <c r="I43" s="69"/>
      <c r="J43" s="233" t="s">
        <v>568</v>
      </c>
      <c r="K43" s="144" t="s">
        <v>132</v>
      </c>
      <c r="L43" s="358">
        <f>1394.81+986.84</f>
        <v>2381.65</v>
      </c>
      <c r="M43" s="77"/>
      <c r="N43" s="42">
        <v>0</v>
      </c>
      <c r="O43" s="7"/>
      <c r="P43" s="7"/>
      <c r="Q43" s="7"/>
      <c r="R43" s="7">
        <v>0</v>
      </c>
      <c r="S43" s="6">
        <v>0</v>
      </c>
      <c r="T43" s="48"/>
      <c r="W43" s="213" t="s">
        <v>94</v>
      </c>
      <c r="X43" s="221"/>
      <c r="Y43" s="207"/>
      <c r="AD43" s="338"/>
      <c r="AE43" s="338"/>
      <c r="AF43" s="389"/>
      <c r="AG43" s="338">
        <v>0</v>
      </c>
    </row>
    <row r="44" spans="1:33" ht="16.149999999999999" customHeight="1" thickBot="1" x14ac:dyDescent="0.35">
      <c r="A44" s="34"/>
      <c r="B44" s="146"/>
      <c r="C44" s="71"/>
      <c r="D44" s="171"/>
      <c r="E44" s="136"/>
      <c r="F44" s="151"/>
      <c r="G44" s="137"/>
      <c r="H44" s="138"/>
      <c r="I44" s="69"/>
      <c r="J44" s="233" t="s">
        <v>568</v>
      </c>
      <c r="K44" s="461" t="s">
        <v>711</v>
      </c>
      <c r="L44" s="358">
        <v>1237.3399999999999</v>
      </c>
      <c r="M44" s="400">
        <v>0</v>
      </c>
      <c r="N44" s="42">
        <v>0</v>
      </c>
      <c r="O44" s="7"/>
      <c r="P44" s="7"/>
      <c r="Q44" s="7"/>
      <c r="R44" s="7">
        <v>0</v>
      </c>
      <c r="S44" s="6">
        <v>0</v>
      </c>
      <c r="T44" s="48"/>
      <c r="W44" s="213" t="s">
        <v>95</v>
      </c>
      <c r="X44" s="221"/>
      <c r="Y44" s="207"/>
      <c r="AD44" s="338"/>
      <c r="AE44" s="338"/>
      <c r="AF44" s="389"/>
      <c r="AG44" s="338">
        <f>SUM(AG37:AG43)</f>
        <v>3443047.96</v>
      </c>
    </row>
    <row r="45" spans="1:33" ht="16.149999999999999" customHeight="1" thickBot="1" x14ac:dyDescent="0.35">
      <c r="A45" s="34"/>
      <c r="B45" s="146"/>
      <c r="C45" s="71"/>
      <c r="D45" s="171"/>
      <c r="E45" s="136"/>
      <c r="F45" s="151"/>
      <c r="G45" s="137"/>
      <c r="H45" s="138"/>
      <c r="I45" s="69"/>
      <c r="J45" s="233" t="s">
        <v>568</v>
      </c>
      <c r="K45" s="228" t="s">
        <v>583</v>
      </c>
      <c r="L45" s="358">
        <v>4096.47</v>
      </c>
      <c r="M45" s="77"/>
      <c r="N45" s="42">
        <v>0</v>
      </c>
      <c r="O45" s="7"/>
      <c r="P45" s="7"/>
      <c r="Q45" s="7"/>
      <c r="R45" s="7">
        <v>0</v>
      </c>
      <c r="S45" s="6">
        <v>0</v>
      </c>
      <c r="T45" s="48"/>
      <c r="W45" s="213" t="s">
        <v>96</v>
      </c>
      <c r="X45" s="221"/>
      <c r="Y45" s="207"/>
      <c r="AD45" s="338"/>
      <c r="AE45" s="338"/>
      <c r="AF45" s="389"/>
      <c r="AG45" s="338"/>
    </row>
    <row r="46" spans="1:33" ht="16.149999999999999" customHeight="1" thickBot="1" x14ac:dyDescent="0.35">
      <c r="A46" s="34"/>
      <c r="B46" s="315"/>
      <c r="C46" s="316"/>
      <c r="D46" s="317"/>
      <c r="E46" s="136"/>
      <c r="F46" s="151"/>
      <c r="G46" s="137"/>
      <c r="H46" s="138"/>
      <c r="I46" s="69"/>
      <c r="J46" s="233"/>
      <c r="K46" s="168"/>
      <c r="L46" s="66"/>
      <c r="M46" s="77">
        <v>0</v>
      </c>
      <c r="N46" s="333">
        <v>0</v>
      </c>
      <c r="O46" s="7"/>
      <c r="P46" s="7"/>
      <c r="Q46" s="7"/>
      <c r="R46" s="7">
        <v>0</v>
      </c>
      <c r="S46" s="6">
        <v>0</v>
      </c>
      <c r="T46" s="48"/>
      <c r="W46" s="213" t="s">
        <v>97</v>
      </c>
      <c r="X46" s="221"/>
      <c r="Y46" s="207"/>
      <c r="AD46" s="338"/>
      <c r="AE46" s="338"/>
      <c r="AF46" s="389"/>
      <c r="AG46" s="338"/>
    </row>
    <row r="47" spans="1:33" ht="16.149999999999999" hidden="1" customHeight="1" thickBot="1" x14ac:dyDescent="0.35">
      <c r="A47" s="34"/>
      <c r="B47" s="146"/>
      <c r="C47" s="71"/>
      <c r="D47" s="171"/>
      <c r="E47" s="136"/>
      <c r="F47" s="151"/>
      <c r="G47" s="137"/>
      <c r="H47" s="138"/>
      <c r="I47" s="69"/>
      <c r="J47" s="233"/>
      <c r="K47" s="144"/>
      <c r="L47" s="66"/>
      <c r="M47" s="77"/>
      <c r="N47" s="42">
        <v>0</v>
      </c>
      <c r="O47" s="7"/>
      <c r="P47" s="7"/>
      <c r="Q47" s="7"/>
      <c r="R47" s="7"/>
      <c r="T47" s="48"/>
      <c r="W47" s="213" t="s">
        <v>98</v>
      </c>
      <c r="X47" s="221"/>
      <c r="Y47" s="207"/>
      <c r="AD47" s="338"/>
      <c r="AE47" s="338"/>
      <c r="AF47" s="389"/>
      <c r="AG47" s="338"/>
    </row>
    <row r="48" spans="1:33" ht="21.75" hidden="1" customHeight="1" thickBot="1" x14ac:dyDescent="0.3">
      <c r="A48" s="34"/>
      <c r="B48" s="146"/>
      <c r="C48" s="71"/>
      <c r="D48" s="171"/>
      <c r="E48" s="150"/>
      <c r="F48" s="74"/>
      <c r="G48" s="137"/>
      <c r="H48" s="138"/>
      <c r="I48" s="69"/>
      <c r="J48" s="298"/>
      <c r="K48" s="144"/>
      <c r="L48" s="66"/>
      <c r="M48" s="77"/>
      <c r="N48" s="333"/>
      <c r="O48" s="7"/>
      <c r="P48" s="7"/>
      <c r="Q48" s="7"/>
      <c r="R48" s="7"/>
      <c r="T48" s="48"/>
      <c r="W48" s="213" t="s">
        <v>99</v>
      </c>
      <c r="X48" s="221"/>
      <c r="Y48" s="207"/>
      <c r="AD48" s="341"/>
      <c r="AE48" s="341"/>
      <c r="AF48" s="390"/>
      <c r="AG48" s="341"/>
    </row>
    <row r="49" spans="1:33" ht="15.75" hidden="1" customHeight="1" thickBot="1" x14ac:dyDescent="0.3">
      <c r="A49" s="34"/>
      <c r="B49" s="146"/>
      <c r="C49" s="71"/>
      <c r="D49" s="242"/>
      <c r="E49" s="150"/>
      <c r="F49" s="74"/>
      <c r="G49" s="137"/>
      <c r="H49" s="138"/>
      <c r="I49" s="69"/>
      <c r="J49" s="298"/>
      <c r="K49" s="144"/>
      <c r="L49" s="66"/>
      <c r="M49" s="77"/>
      <c r="N49" s="333"/>
      <c r="O49" s="7"/>
      <c r="P49" s="7"/>
      <c r="Q49" s="7"/>
      <c r="R49" s="7"/>
      <c r="S49" s="7"/>
      <c r="T49" s="48"/>
      <c r="W49" s="213" t="s">
        <v>100</v>
      </c>
      <c r="X49" s="221"/>
      <c r="Y49" s="207"/>
      <c r="AD49" s="341"/>
      <c r="AE49" s="341"/>
      <c r="AF49" s="390"/>
      <c r="AG49" s="341"/>
    </row>
    <row r="50" spans="1:33" ht="16.5" hidden="1" customHeight="1" thickBot="1" x14ac:dyDescent="0.3">
      <c r="A50" s="34"/>
      <c r="B50" s="146"/>
      <c r="C50" s="71"/>
      <c r="D50" s="242"/>
      <c r="E50" s="149"/>
      <c r="F50" s="74"/>
      <c r="G50" s="137"/>
      <c r="H50" s="138"/>
      <c r="I50" s="69"/>
      <c r="J50" s="298"/>
      <c r="K50" s="144"/>
      <c r="L50" s="66"/>
      <c r="M50" s="77"/>
      <c r="N50" s="42"/>
      <c r="O50" s="7"/>
      <c r="P50" s="7"/>
      <c r="Q50" s="7"/>
      <c r="R50" s="7"/>
      <c r="S50" s="7"/>
      <c r="T50" s="48"/>
      <c r="W50" s="213" t="s">
        <v>101</v>
      </c>
      <c r="X50" s="221"/>
      <c r="Y50" s="207"/>
      <c r="AD50" s="99"/>
      <c r="AE50" s="99"/>
      <c r="AF50" s="99"/>
      <c r="AG50" s="99"/>
    </row>
    <row r="51" spans="1:33" ht="16.5" hidden="1" customHeight="1" thickBot="1" x14ac:dyDescent="0.3">
      <c r="A51" s="34"/>
      <c r="B51" s="146"/>
      <c r="C51" s="71"/>
      <c r="D51" s="242"/>
      <c r="E51" s="149"/>
      <c r="F51" s="74"/>
      <c r="G51" s="137"/>
      <c r="H51" s="138"/>
      <c r="I51" s="69"/>
      <c r="J51" s="298"/>
      <c r="K51" s="144"/>
      <c r="L51" s="66"/>
      <c r="M51" s="77"/>
      <c r="N51" s="42"/>
      <c r="O51" s="7"/>
      <c r="P51" s="7"/>
      <c r="Q51" s="7"/>
      <c r="R51" s="7"/>
      <c r="S51" s="7"/>
      <c r="T51" s="48"/>
      <c r="W51" s="213" t="s">
        <v>102</v>
      </c>
      <c r="X51" s="221"/>
      <c r="Y51" s="207"/>
      <c r="AB51" s="323"/>
      <c r="AC51" s="99"/>
      <c r="AD51" s="99"/>
      <c r="AE51" s="99"/>
      <c r="AF51" s="99"/>
      <c r="AG51" s="99"/>
    </row>
    <row r="52" spans="1:33" ht="16.5" hidden="1" customHeight="1" thickBot="1" x14ac:dyDescent="0.3">
      <c r="A52" s="34"/>
      <c r="B52" s="146"/>
      <c r="C52" s="71"/>
      <c r="D52" s="242"/>
      <c r="E52" s="136"/>
      <c r="F52" s="71"/>
      <c r="G52" s="137"/>
      <c r="H52" s="138"/>
      <c r="I52" s="69"/>
      <c r="J52" s="298"/>
      <c r="K52" s="144"/>
      <c r="L52" s="66"/>
      <c r="M52" s="77"/>
      <c r="N52" s="42"/>
      <c r="O52" s="7"/>
      <c r="P52" s="7"/>
      <c r="Q52" s="7"/>
      <c r="R52" s="7"/>
      <c r="S52" s="7"/>
      <c r="T52" s="48"/>
      <c r="W52" s="213" t="s">
        <v>103</v>
      </c>
      <c r="X52" s="221"/>
      <c r="Y52" s="207"/>
      <c r="AB52" s="29"/>
      <c r="AC52" s="99"/>
      <c r="AD52" s="99"/>
      <c r="AE52" s="99"/>
      <c r="AF52" s="99"/>
      <c r="AG52" s="99"/>
    </row>
    <row r="53" spans="1:33" ht="15.75" hidden="1" customHeight="1" thickBot="1" x14ac:dyDescent="0.35">
      <c r="A53" s="34"/>
      <c r="B53" s="146"/>
      <c r="C53" s="71"/>
      <c r="D53" s="153"/>
      <c r="E53" s="136"/>
      <c r="F53" s="71"/>
      <c r="G53" s="137"/>
      <c r="H53" s="138"/>
      <c r="I53" s="69"/>
      <c r="J53" s="298"/>
      <c r="K53" s="172"/>
      <c r="L53" s="75"/>
      <c r="M53" s="77"/>
      <c r="N53" s="42"/>
      <c r="O53" s="7"/>
      <c r="P53" s="7"/>
      <c r="Q53" s="7"/>
      <c r="R53" s="7"/>
      <c r="S53" s="7"/>
      <c r="T53" s="48"/>
      <c r="W53" s="213" t="s">
        <v>104</v>
      </c>
      <c r="X53" s="221"/>
      <c r="Y53" s="207"/>
      <c r="AB53" s="29"/>
      <c r="AC53" s="99"/>
      <c r="AD53" s="99"/>
      <c r="AE53" s="99"/>
      <c r="AF53" s="99"/>
      <c r="AG53" s="99"/>
    </row>
    <row r="54" spans="1:33" ht="15.75" hidden="1" customHeight="1" thickBot="1" x14ac:dyDescent="0.35">
      <c r="A54" s="34"/>
      <c r="B54" s="146"/>
      <c r="C54" s="71"/>
      <c r="D54" s="153"/>
      <c r="E54" s="136"/>
      <c r="F54" s="71"/>
      <c r="G54" s="137"/>
      <c r="H54" s="138"/>
      <c r="I54" s="69"/>
      <c r="J54" s="298"/>
      <c r="K54" s="157"/>
      <c r="L54" s="75"/>
      <c r="M54" s="41"/>
      <c r="N54" s="42"/>
      <c r="O54" s="7"/>
      <c r="P54" s="7"/>
      <c r="Q54" s="7"/>
      <c r="R54" s="7"/>
      <c r="S54" s="7"/>
      <c r="T54" s="48"/>
      <c r="W54" s="213" t="s">
        <v>105</v>
      </c>
      <c r="X54" s="221"/>
      <c r="Y54" s="207"/>
      <c r="AB54" s="29"/>
      <c r="AC54" s="99"/>
      <c r="AD54" s="99"/>
      <c r="AE54" s="99"/>
      <c r="AF54" s="99"/>
      <c r="AG54" s="99"/>
    </row>
    <row r="55" spans="1:33" ht="15.75" hidden="1" customHeight="1" thickBot="1" x14ac:dyDescent="0.35">
      <c r="A55" s="34"/>
      <c r="B55" s="146"/>
      <c r="C55" s="71"/>
      <c r="D55" s="153"/>
      <c r="E55" s="136"/>
      <c r="F55" s="71"/>
      <c r="G55" s="137"/>
      <c r="H55" s="138"/>
      <c r="I55" s="69"/>
      <c r="J55" s="298"/>
      <c r="K55" s="172"/>
      <c r="L55" s="75"/>
      <c r="M55" s="41">
        <v>0</v>
      </c>
      <c r="N55" s="42">
        <v>0</v>
      </c>
      <c r="O55" s="7"/>
      <c r="P55" s="7"/>
      <c r="Q55" s="7"/>
      <c r="R55" s="7"/>
      <c r="S55" s="7"/>
      <c r="T55" s="48"/>
      <c r="W55" s="212"/>
      <c r="X55" s="222"/>
      <c r="Y55" s="207"/>
      <c r="AB55" s="29"/>
      <c r="AC55" s="99"/>
      <c r="AD55" s="99"/>
      <c r="AE55" s="99"/>
      <c r="AF55" s="99"/>
      <c r="AG55" s="99"/>
    </row>
    <row r="56" spans="1:33" ht="15.75" hidden="1" customHeight="1" thickBot="1" x14ac:dyDescent="0.35">
      <c r="A56" s="34"/>
      <c r="B56" s="146"/>
      <c r="C56" s="71"/>
      <c r="D56" s="153"/>
      <c r="E56" s="154"/>
      <c r="F56" s="79"/>
      <c r="G56" s="137"/>
      <c r="H56" s="145"/>
      <c r="I56" s="80"/>
      <c r="J56" s="298"/>
      <c r="K56" s="243"/>
      <c r="L56" s="50"/>
      <c r="M56" s="41"/>
      <c r="N56" s="42"/>
      <c r="O56" s="7"/>
      <c r="P56" s="7"/>
      <c r="Q56" s="7"/>
      <c r="R56" s="7"/>
      <c r="S56" s="7"/>
      <c r="T56" s="48"/>
      <c r="W56" s="212"/>
      <c r="X56" s="222"/>
      <c r="Y56" s="207"/>
      <c r="AB56" s="29"/>
      <c r="AC56" s="99"/>
      <c r="AD56" s="99"/>
      <c r="AE56" s="99"/>
      <c r="AF56" s="99"/>
      <c r="AG56" s="99"/>
    </row>
    <row r="57" spans="1:33" ht="15.75" hidden="1" customHeight="1" thickBot="1" x14ac:dyDescent="0.3">
      <c r="A57" s="34"/>
      <c r="B57" s="146"/>
      <c r="C57" s="71"/>
      <c r="D57" s="155"/>
      <c r="E57" s="154"/>
      <c r="F57" s="79"/>
      <c r="G57" s="137"/>
      <c r="H57" s="145"/>
      <c r="I57" s="80"/>
      <c r="J57" s="67"/>
      <c r="K57" s="157"/>
      <c r="L57" s="50"/>
      <c r="M57" s="41"/>
      <c r="N57" s="42"/>
      <c r="O57" s="7"/>
      <c r="P57" s="7"/>
      <c r="Q57" s="7"/>
      <c r="R57" s="7"/>
      <c r="S57" s="7"/>
      <c r="T57" s="48"/>
      <c r="W57" s="212"/>
      <c r="X57" s="222"/>
      <c r="Y57" s="207"/>
      <c r="AB57" s="29"/>
      <c r="AC57" s="99"/>
      <c r="AD57" s="99"/>
      <c r="AE57" s="99"/>
      <c r="AF57" s="99"/>
      <c r="AG57" s="99"/>
    </row>
    <row r="58" spans="1:33" ht="15.75" hidden="1" customHeight="1" thickBot="1" x14ac:dyDescent="0.3">
      <c r="A58" s="34"/>
      <c r="B58" s="146"/>
      <c r="C58" s="71"/>
      <c r="D58" s="155"/>
      <c r="E58" s="154"/>
      <c r="F58" s="79"/>
      <c r="G58" s="137"/>
      <c r="H58" s="145"/>
      <c r="I58" s="80"/>
      <c r="J58" s="67"/>
      <c r="K58" s="157"/>
      <c r="L58" s="50"/>
      <c r="M58" s="41"/>
      <c r="N58" s="42"/>
      <c r="O58" s="7"/>
      <c r="P58" s="7"/>
      <c r="Q58" s="7"/>
      <c r="R58" s="7"/>
      <c r="S58" s="7"/>
      <c r="T58" s="48"/>
      <c r="W58" s="212"/>
      <c r="X58" s="222"/>
      <c r="Y58" s="207"/>
      <c r="AB58" s="29"/>
      <c r="AC58" s="99"/>
      <c r="AD58" s="99"/>
      <c r="AE58" s="99"/>
      <c r="AF58" s="99"/>
      <c r="AG58" s="99"/>
    </row>
    <row r="59" spans="1:33" ht="15.75" hidden="1" customHeight="1" thickBot="1" x14ac:dyDescent="0.3">
      <c r="A59" s="34"/>
      <c r="B59" s="146"/>
      <c r="C59" s="71"/>
      <c r="D59" s="155"/>
      <c r="E59" s="154"/>
      <c r="F59" s="79"/>
      <c r="G59" s="137"/>
      <c r="H59" s="145"/>
      <c r="I59" s="80"/>
      <c r="J59" s="67"/>
      <c r="K59" s="81"/>
      <c r="L59" s="50"/>
      <c r="M59" s="41"/>
      <c r="N59" s="42"/>
      <c r="O59" s="7"/>
      <c r="P59" s="7"/>
      <c r="Q59" s="7"/>
      <c r="R59" s="7"/>
      <c r="S59" s="7"/>
      <c r="T59" s="48"/>
      <c r="W59" s="212"/>
      <c r="X59" s="222"/>
      <c r="Y59" s="207"/>
      <c r="AB59" s="29"/>
      <c r="AC59" s="99"/>
      <c r="AD59" s="99"/>
      <c r="AE59" s="99"/>
      <c r="AF59" s="99"/>
      <c r="AG59" s="99"/>
    </row>
    <row r="60" spans="1:33" ht="15.75" hidden="1" customHeight="1" thickBot="1" x14ac:dyDescent="0.3">
      <c r="A60" s="34"/>
      <c r="B60" s="35"/>
      <c r="C60" s="71"/>
      <c r="D60" s="82"/>
      <c r="E60" s="78"/>
      <c r="F60" s="79"/>
      <c r="H60" s="73"/>
      <c r="I60" s="80"/>
      <c r="J60" s="67"/>
      <c r="K60" s="81"/>
      <c r="L60" s="50"/>
      <c r="M60" s="41"/>
      <c r="N60" s="42"/>
      <c r="O60" s="7"/>
      <c r="P60" s="7"/>
      <c r="Q60" s="7"/>
      <c r="R60" s="7"/>
      <c r="S60" s="7"/>
      <c r="T60" s="48"/>
      <c r="W60" s="212"/>
      <c r="X60" s="222"/>
      <c r="Y60" s="207"/>
      <c r="AB60" s="29"/>
      <c r="AC60" s="99"/>
      <c r="AD60" s="99"/>
      <c r="AE60" s="99"/>
      <c r="AF60" s="99"/>
      <c r="AG60" s="99"/>
    </row>
    <row r="61" spans="1:33" ht="16.5" thickBot="1" x14ac:dyDescent="0.3">
      <c r="A61" s="34"/>
      <c r="B61" s="35"/>
      <c r="C61" s="36">
        <v>0</v>
      </c>
      <c r="D61" s="82"/>
      <c r="E61" s="78"/>
      <c r="F61" s="79"/>
      <c r="H61" s="73"/>
      <c r="I61" s="80"/>
      <c r="J61" s="67"/>
      <c r="K61" s="83"/>
      <c r="L61" s="6"/>
      <c r="M61" s="41">
        <v>0</v>
      </c>
      <c r="N61" s="42">
        <v>0</v>
      </c>
      <c r="O61" s="7"/>
      <c r="P61" s="7"/>
      <c r="Q61" s="7"/>
      <c r="R61" s="84">
        <v>0</v>
      </c>
      <c r="S61" s="84">
        <v>0</v>
      </c>
      <c r="T61" s="48"/>
      <c r="W61" s="210"/>
      <c r="X61" s="222"/>
      <c r="Y61" s="207"/>
      <c r="AB61" s="29"/>
      <c r="AC61" s="99"/>
      <c r="AD61" s="99"/>
      <c r="AE61" s="99"/>
      <c r="AF61" s="99"/>
      <c r="AG61" s="99"/>
    </row>
    <row r="62" spans="1:33" ht="16.5" thickBot="1" x14ac:dyDescent="0.3">
      <c r="B62" s="85" t="s">
        <v>13</v>
      </c>
      <c r="C62" s="86">
        <f>SUM(C5:C61)</f>
        <v>323493.21999999997</v>
      </c>
      <c r="D62" s="87"/>
      <c r="E62" s="88" t="s">
        <v>13</v>
      </c>
      <c r="F62" s="89">
        <f>SUM(F5:F61)</f>
        <v>3365425</v>
      </c>
      <c r="G62" s="87"/>
      <c r="H62" s="90" t="s">
        <v>14</v>
      </c>
      <c r="I62" s="91">
        <f>SUM(I5:I61)</f>
        <v>53960</v>
      </c>
      <c r="J62" s="92"/>
      <c r="K62" s="93" t="s">
        <v>15</v>
      </c>
      <c r="L62" s="94">
        <f>SUM(L5:L61)</f>
        <v>285870.06000000006</v>
      </c>
      <c r="M62" s="95">
        <f>SUM(M5:M61)</f>
        <v>2760136</v>
      </c>
      <c r="N62" s="95">
        <f>SUM(N5:N61)</f>
        <v>175994</v>
      </c>
      <c r="O62" s="366"/>
      <c r="P62" s="366"/>
      <c r="Q62" s="366"/>
      <c r="R62" s="7">
        <f>SUM(R5:R61)</f>
        <v>3252191.2199999997</v>
      </c>
      <c r="S62" s="7">
        <f>SUM(S5:S61)</f>
        <v>-113233.77999999997</v>
      </c>
      <c r="T62" s="97"/>
      <c r="W62" s="210"/>
      <c r="X62" s="222"/>
      <c r="Y62" s="207"/>
    </row>
    <row r="63" spans="1:33" ht="20.25" thickTop="1" thickBot="1" x14ac:dyDescent="0.3">
      <c r="C63" s="8" t="s">
        <v>11</v>
      </c>
      <c r="R63" s="7"/>
      <c r="S63" s="7"/>
      <c r="T63" s="98"/>
      <c r="U63" s="99"/>
      <c r="W63" s="211"/>
      <c r="X63" s="223"/>
      <c r="Y63" s="208"/>
    </row>
    <row r="64" spans="1:33" ht="17.25" customHeight="1" thickBot="1" x14ac:dyDescent="0.3">
      <c r="A64" s="60"/>
      <c r="B64" s="100"/>
      <c r="C64" s="4"/>
      <c r="H64" s="548" t="s">
        <v>16</v>
      </c>
      <c r="I64" s="549"/>
      <c r="J64" s="101"/>
      <c r="K64" s="550">
        <f>I62+L62</f>
        <v>339830.06000000006</v>
      </c>
      <c r="L64" s="551"/>
      <c r="M64" s="552">
        <f>M62+N62</f>
        <v>2936130</v>
      </c>
      <c r="N64" s="553"/>
      <c r="O64" s="367"/>
      <c r="P64" s="367"/>
      <c r="Q64" s="367"/>
      <c r="R64" s="99"/>
      <c r="S64" s="99"/>
      <c r="U64" s="174"/>
      <c r="AB64" s="320"/>
      <c r="AC64" s="327"/>
      <c r="AD64" s="327"/>
      <c r="AE64" s="327"/>
      <c r="AF64" s="327"/>
      <c r="AG64" s="327"/>
    </row>
    <row r="65" spans="2:33" ht="19.5" customHeight="1" thickBot="1" x14ac:dyDescent="0.3">
      <c r="D65" s="560" t="s">
        <v>17</v>
      </c>
      <c r="E65" s="560"/>
      <c r="F65" s="103">
        <f>F62-K64-C62</f>
        <v>2702101.7199999997</v>
      </c>
      <c r="I65" s="104"/>
      <c r="J65" s="105"/>
      <c r="R65" s="561">
        <f>R62+S62</f>
        <v>3138957.44</v>
      </c>
      <c r="S65" s="562"/>
      <c r="U65" s="50"/>
    </row>
    <row r="66" spans="2:33" ht="15.75" customHeight="1" x14ac:dyDescent="0.3">
      <c r="D66" s="563" t="s">
        <v>502</v>
      </c>
      <c r="E66" s="563"/>
      <c r="F66" s="95">
        <v>-2720820.95</v>
      </c>
      <c r="I66" s="564" t="s">
        <v>19</v>
      </c>
      <c r="J66" s="565"/>
      <c r="K66" s="566">
        <f>F68+F69+F70</f>
        <v>381077.48999999953</v>
      </c>
      <c r="L66" s="567"/>
      <c r="R66" s="50"/>
      <c r="U66" s="107"/>
    </row>
    <row r="67" spans="2:33" ht="19.5" thickBot="1" x14ac:dyDescent="0.35">
      <c r="D67" s="108"/>
      <c r="E67" s="60"/>
      <c r="F67" s="109">
        <v>0</v>
      </c>
      <c r="I67" s="110"/>
      <c r="J67" s="111"/>
      <c r="K67" s="112"/>
      <c r="L67" s="113"/>
      <c r="R67" s="107"/>
      <c r="S67" s="7"/>
      <c r="U67" s="50"/>
    </row>
    <row r="68" spans="2:33" ht="18.75" customHeight="1" thickTop="1" x14ac:dyDescent="0.3">
      <c r="C68" s="9" t="s">
        <v>11</v>
      </c>
      <c r="E68" s="60" t="s">
        <v>20</v>
      </c>
      <c r="F68" s="95">
        <f>SUM(F65:F67)</f>
        <v>-18719.230000000447</v>
      </c>
      <c r="H68" s="34"/>
      <c r="I68" s="114" t="s">
        <v>21</v>
      </c>
      <c r="J68" s="115"/>
      <c r="K68" s="568">
        <f>-C4</f>
        <v>-255764.39</v>
      </c>
      <c r="L68" s="569"/>
      <c r="M68" s="116"/>
      <c r="R68" s="50"/>
      <c r="S68" s="7"/>
      <c r="U68" s="50"/>
    </row>
    <row r="69" spans="2:33" ht="16.5" thickBot="1" x14ac:dyDescent="0.3">
      <c r="D69" s="117" t="s">
        <v>22</v>
      </c>
      <c r="E69" s="60" t="s">
        <v>23</v>
      </c>
      <c r="F69" s="118">
        <v>91154</v>
      </c>
      <c r="R69" s="50"/>
      <c r="S69" s="7"/>
      <c r="U69" s="50"/>
    </row>
    <row r="70" spans="2:33" ht="20.25" thickTop="1" thickBot="1" x14ac:dyDescent="0.35">
      <c r="C70" s="119">
        <v>44377</v>
      </c>
      <c r="D70" s="554" t="s">
        <v>24</v>
      </c>
      <c r="E70" s="555"/>
      <c r="F70" s="120">
        <v>308642.71999999997</v>
      </c>
      <c r="I70" s="556" t="s">
        <v>25</v>
      </c>
      <c r="J70" s="557"/>
      <c r="K70" s="558">
        <f>K66+K68</f>
        <v>125313.09999999951</v>
      </c>
      <c r="L70" s="559"/>
      <c r="R70" s="50"/>
      <c r="S70" s="7"/>
      <c r="U70" s="121"/>
    </row>
    <row r="71" spans="2:33" ht="19.5" thickBot="1" x14ac:dyDescent="0.35">
      <c r="C71" s="122"/>
      <c r="D71" s="123"/>
      <c r="E71" s="57"/>
      <c r="F71" s="124"/>
      <c r="J71" s="125"/>
      <c r="M71" s="126"/>
      <c r="R71" s="121"/>
      <c r="S71" s="7"/>
    </row>
    <row r="72" spans="2:33" ht="15.75" customHeight="1" x14ac:dyDescent="0.25">
      <c r="I72" s="588" t="s">
        <v>610</v>
      </c>
      <c r="J72" s="589"/>
      <c r="K72" s="592">
        <v>163726</v>
      </c>
      <c r="L72" s="593"/>
      <c r="R72" s="7"/>
      <c r="S72" s="7"/>
    </row>
    <row r="73" spans="2:33" ht="16.5" customHeight="1" thickBot="1" x14ac:dyDescent="0.3">
      <c r="B73" s="127"/>
      <c r="C73" s="128"/>
      <c r="D73" s="129"/>
      <c r="E73" s="7"/>
      <c r="I73" s="590"/>
      <c r="J73" s="591"/>
      <c r="K73" s="594"/>
      <c r="L73" s="595"/>
      <c r="M73" s="2"/>
      <c r="N73" s="60"/>
      <c r="O73" s="165"/>
      <c r="P73" s="165"/>
      <c r="Q73" s="165"/>
      <c r="R73" s="7"/>
      <c r="S73" s="7"/>
      <c r="T73" s="165"/>
      <c r="U73" s="173"/>
    </row>
    <row r="74" spans="2:33" x14ac:dyDescent="0.25">
      <c r="B74" s="127"/>
      <c r="C74" s="130"/>
      <c r="E74" s="7"/>
      <c r="M74" s="2"/>
      <c r="N74" s="60"/>
      <c r="O74" s="165"/>
      <c r="P74" s="165"/>
      <c r="Q74" s="165"/>
      <c r="R74" s="173"/>
      <c r="S74" s="165"/>
      <c r="T74" s="165"/>
      <c r="U74" s="165"/>
      <c r="AB74" s="248"/>
      <c r="AC74" s="322"/>
      <c r="AD74" s="322"/>
      <c r="AE74" s="322"/>
      <c r="AF74" s="322"/>
      <c r="AG74" s="322"/>
    </row>
    <row r="75" spans="2:33" x14ac:dyDescent="0.25">
      <c r="B75" s="127"/>
      <c r="C75" s="130"/>
      <c r="E75" s="7"/>
      <c r="F75" s="132"/>
      <c r="L75" s="133"/>
      <c r="M75" s="4"/>
      <c r="R75" s="165"/>
      <c r="S75" s="165"/>
      <c r="AB75" s="248"/>
      <c r="AC75" s="322"/>
      <c r="AD75" s="322"/>
      <c r="AE75" s="322"/>
      <c r="AF75" s="322"/>
      <c r="AG75" s="322"/>
    </row>
    <row r="76" spans="2:33" ht="21" x14ac:dyDescent="0.25">
      <c r="B76" s="127"/>
      <c r="C76" s="130"/>
      <c r="E76" s="7"/>
      <c r="M76" s="4"/>
      <c r="AC76" s="585"/>
      <c r="AD76" s="342"/>
      <c r="AE76" s="342"/>
      <c r="AF76" s="342"/>
      <c r="AG76" s="342"/>
    </row>
    <row r="77" spans="2:33" ht="21" x14ac:dyDescent="0.25">
      <c r="B77" s="127"/>
      <c r="C77" s="130"/>
      <c r="D77" s="272"/>
      <c r="E77" s="7"/>
      <c r="F77" s="273"/>
      <c r="M77" s="4"/>
      <c r="AC77" s="585"/>
      <c r="AD77" s="342"/>
      <c r="AE77" s="342"/>
      <c r="AF77" s="342"/>
      <c r="AG77" s="342"/>
    </row>
    <row r="78" spans="2:33" x14ac:dyDescent="0.25">
      <c r="D78" s="272"/>
      <c r="E78" s="274"/>
      <c r="F78" s="7"/>
      <c r="M78" s="4"/>
    </row>
    <row r="79" spans="2:33" x14ac:dyDescent="0.25">
      <c r="D79" s="272"/>
      <c r="E79" s="274"/>
      <c r="F79" s="7"/>
      <c r="M79" s="4"/>
    </row>
    <row r="80" spans="2:33" x14ac:dyDescent="0.25">
      <c r="D80" s="272"/>
      <c r="E80" s="274"/>
      <c r="F80" s="7"/>
      <c r="M80" s="4"/>
    </row>
    <row r="81" spans="4:13" x14ac:dyDescent="0.25">
      <c r="D81" s="272"/>
      <c r="E81" s="274"/>
      <c r="F81" s="7"/>
      <c r="M81" s="4"/>
    </row>
    <row r="82" spans="4:13" x14ac:dyDescent="0.25">
      <c r="D82" s="272"/>
      <c r="E82" s="274"/>
      <c r="F82" s="7"/>
      <c r="M82" s="4"/>
    </row>
    <row r="83" spans="4:13" x14ac:dyDescent="0.25">
      <c r="D83" s="272"/>
      <c r="E83" s="274"/>
      <c r="F83" s="7"/>
      <c r="M83" s="4"/>
    </row>
    <row r="84" spans="4:13" x14ac:dyDescent="0.25">
      <c r="D84" s="272"/>
      <c r="E84" s="274"/>
      <c r="F84" s="7"/>
      <c r="M84" s="4"/>
    </row>
    <row r="85" spans="4:13" x14ac:dyDescent="0.25">
      <c r="D85" s="272"/>
      <c r="E85" s="274"/>
      <c r="F85" s="7"/>
      <c r="M85" s="4"/>
    </row>
    <row r="86" spans="4:13" x14ac:dyDescent="0.25">
      <c r="D86" s="272"/>
      <c r="E86" s="274"/>
      <c r="F86" s="7"/>
      <c r="M86" s="4"/>
    </row>
    <row r="87" spans="4:13" x14ac:dyDescent="0.25">
      <c r="D87" s="272"/>
      <c r="E87" s="274"/>
      <c r="F87" s="7"/>
      <c r="M87" s="4"/>
    </row>
    <row r="88" spans="4:13" x14ac:dyDescent="0.25">
      <c r="D88" s="272"/>
      <c r="E88" s="274"/>
      <c r="F88" s="7"/>
      <c r="M88" s="4"/>
    </row>
    <row r="89" spans="4:13" x14ac:dyDescent="0.25">
      <c r="D89" s="272"/>
      <c r="E89" s="274"/>
      <c r="F89" s="7"/>
    </row>
    <row r="90" spans="4:13" x14ac:dyDescent="0.25">
      <c r="D90" s="272"/>
      <c r="E90" s="272"/>
      <c r="F90" s="273"/>
    </row>
    <row r="91" spans="4:13" x14ac:dyDescent="0.25">
      <c r="D91" s="272"/>
      <c r="E91" s="272"/>
      <c r="F91" s="273"/>
    </row>
    <row r="92" spans="4:13" x14ac:dyDescent="0.25">
      <c r="D92" s="272"/>
      <c r="E92" s="272"/>
      <c r="F92" s="273"/>
    </row>
  </sheetData>
  <mergeCells count="31">
    <mergeCell ref="P3:P4"/>
    <mergeCell ref="P30:Q30"/>
    <mergeCell ref="I72:J73"/>
    <mergeCell ref="K72:L73"/>
    <mergeCell ref="AB2:AG3"/>
    <mergeCell ref="M64:N64"/>
    <mergeCell ref="H64:I64"/>
    <mergeCell ref="K64:L64"/>
    <mergeCell ref="AB4:AC4"/>
    <mergeCell ref="AE4:AG4"/>
    <mergeCell ref="AB29:AB30"/>
    <mergeCell ref="AC29:AC30"/>
    <mergeCell ref="AE23:AF23"/>
    <mergeCell ref="AE25:AF26"/>
    <mergeCell ref="AG25:AG26"/>
    <mergeCell ref="AC76:AC77"/>
    <mergeCell ref="R65:S65"/>
    <mergeCell ref="D66:E66"/>
    <mergeCell ref="I66:J66"/>
    <mergeCell ref="K66:L66"/>
    <mergeCell ref="K68:L68"/>
    <mergeCell ref="D70:E70"/>
    <mergeCell ref="I70:J70"/>
    <mergeCell ref="K70:L70"/>
    <mergeCell ref="D65:E65"/>
    <mergeCell ref="B1:B2"/>
    <mergeCell ref="C1:K1"/>
    <mergeCell ref="B3:C3"/>
    <mergeCell ref="H3:I3"/>
    <mergeCell ref="E4:F4"/>
    <mergeCell ref="H4:I4"/>
  </mergeCells>
  <pageMargins left="0.49" right="0.23622047244094491" top="0.47244094488188981" bottom="0.27559055118110237" header="0.70866141732283472" footer="0.31496062992125984"/>
  <pageSetup scale="90" orientation="portrait" horizontalDpi="0" verticalDpi="0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G114"/>
  <sheetViews>
    <sheetView workbookViewId="0">
      <selection activeCell="C3" sqref="C3"/>
    </sheetView>
  </sheetViews>
  <sheetFormatPr baseColWidth="10" defaultRowHeight="15" x14ac:dyDescent="0.25"/>
  <cols>
    <col min="1" max="1" width="13.42578125" style="60" bestFit="1" customWidth="1"/>
    <col min="2" max="2" width="12.85546875" bestFit="1" customWidth="1"/>
    <col min="3" max="3" width="15.85546875" style="9" bestFit="1" customWidth="1"/>
    <col min="4" max="4" width="12.42578125" bestFit="1" customWidth="1"/>
    <col min="5" max="5" width="15.140625" style="9" bestFit="1" customWidth="1"/>
    <col min="6" max="6" width="19.5703125" style="8" bestFit="1" customWidth="1"/>
  </cols>
  <sheetData>
    <row r="1" spans="1:7" ht="36.75" customHeight="1" thickBot="1" x14ac:dyDescent="0.4">
      <c r="A1" s="324" t="s">
        <v>529</v>
      </c>
      <c r="B1" s="175" t="s">
        <v>31</v>
      </c>
      <c r="C1" s="176"/>
      <c r="D1" s="177"/>
      <c r="E1" s="176"/>
      <c r="F1" s="178"/>
    </row>
    <row r="2" spans="1:7" ht="16.5" thickBot="1" x14ac:dyDescent="0.3">
      <c r="A2" s="179" t="s">
        <v>5</v>
      </c>
      <c r="B2" s="179" t="s">
        <v>27</v>
      </c>
      <c r="C2" s="180" t="s">
        <v>28</v>
      </c>
      <c r="D2" s="179" t="s">
        <v>29</v>
      </c>
      <c r="E2" s="180" t="s">
        <v>30</v>
      </c>
      <c r="F2" s="180" t="s">
        <v>28</v>
      </c>
    </row>
    <row r="3" spans="1:7" ht="18.75" x14ac:dyDescent="0.3">
      <c r="A3" s="192">
        <v>44354</v>
      </c>
      <c r="B3" s="193" t="s">
        <v>530</v>
      </c>
      <c r="C3" s="71">
        <v>14914</v>
      </c>
      <c r="D3" s="194"/>
      <c r="E3" s="6"/>
      <c r="F3" s="182">
        <f>C3-E3</f>
        <v>14914</v>
      </c>
    </row>
    <row r="4" spans="1:7" ht="18.75" x14ac:dyDescent="0.3">
      <c r="A4" s="192">
        <v>44354</v>
      </c>
      <c r="B4" s="193" t="s">
        <v>531</v>
      </c>
      <c r="C4" s="71">
        <v>145723.43</v>
      </c>
      <c r="D4" s="195"/>
      <c r="E4" s="71"/>
      <c r="F4" s="183">
        <f>F3+C4-E4</f>
        <v>160637.43</v>
      </c>
      <c r="G4" s="184"/>
    </row>
    <row r="5" spans="1:7" ht="15.75" x14ac:dyDescent="0.25">
      <c r="A5" s="195">
        <v>44355</v>
      </c>
      <c r="B5" s="193" t="s">
        <v>532</v>
      </c>
      <c r="C5" s="71">
        <v>146885.79999999999</v>
      </c>
      <c r="D5" s="195"/>
      <c r="E5" s="71"/>
      <c r="F5" s="183">
        <f t="shared" ref="F5:F68" si="0">F4+C5-E5</f>
        <v>307523.23</v>
      </c>
    </row>
    <row r="6" spans="1:7" ht="15.75" x14ac:dyDescent="0.25">
      <c r="A6" s="195">
        <v>44356</v>
      </c>
      <c r="B6" s="193" t="s">
        <v>533</v>
      </c>
      <c r="C6" s="71">
        <v>136676.26999999999</v>
      </c>
      <c r="D6" s="195"/>
      <c r="E6" s="71"/>
      <c r="F6" s="183">
        <f t="shared" si="0"/>
        <v>444199.5</v>
      </c>
    </row>
    <row r="7" spans="1:7" ht="15.75" x14ac:dyDescent="0.25">
      <c r="A7" s="195">
        <v>44357</v>
      </c>
      <c r="B7" s="193" t="s">
        <v>535</v>
      </c>
      <c r="C7" s="71">
        <v>23247.1</v>
      </c>
      <c r="D7" s="195"/>
      <c r="E7" s="71"/>
      <c r="F7" s="183">
        <f t="shared" si="0"/>
        <v>467446.6</v>
      </c>
    </row>
    <row r="8" spans="1:7" ht="15.75" x14ac:dyDescent="0.25">
      <c r="A8" s="195">
        <v>44357</v>
      </c>
      <c r="B8" s="193" t="s">
        <v>534</v>
      </c>
      <c r="C8" s="71">
        <v>46652.41</v>
      </c>
      <c r="D8" s="195"/>
      <c r="E8" s="71"/>
      <c r="F8" s="183">
        <f t="shared" si="0"/>
        <v>514099.01</v>
      </c>
    </row>
    <row r="9" spans="1:7" ht="15.75" x14ac:dyDescent="0.25">
      <c r="A9" s="195">
        <v>44358</v>
      </c>
      <c r="B9" s="193" t="s">
        <v>536</v>
      </c>
      <c r="C9" s="71">
        <v>88338.67</v>
      </c>
      <c r="D9" s="195"/>
      <c r="E9" s="71"/>
      <c r="F9" s="183">
        <f t="shared" si="0"/>
        <v>602437.68000000005</v>
      </c>
    </row>
    <row r="10" spans="1:7" ht="18.75" x14ac:dyDescent="0.3">
      <c r="A10" s="195">
        <v>44358</v>
      </c>
      <c r="B10" s="193" t="s">
        <v>537</v>
      </c>
      <c r="C10" s="71">
        <v>15925</v>
      </c>
      <c r="D10" s="195">
        <v>44358</v>
      </c>
      <c r="E10" s="71">
        <v>618362.68000000005</v>
      </c>
      <c r="F10" s="183">
        <f t="shared" si="0"/>
        <v>0</v>
      </c>
      <c r="G10" s="184"/>
    </row>
    <row r="11" spans="1:7" ht="15.75" x14ac:dyDescent="0.25">
      <c r="A11" s="192">
        <v>44359</v>
      </c>
      <c r="B11" s="193" t="s">
        <v>538</v>
      </c>
      <c r="C11" s="71">
        <v>49175.7</v>
      </c>
      <c r="D11" s="195"/>
      <c r="E11" s="71"/>
      <c r="F11" s="183">
        <f t="shared" si="0"/>
        <v>49175.7</v>
      </c>
    </row>
    <row r="12" spans="1:7" ht="15.75" x14ac:dyDescent="0.25">
      <c r="A12" s="195">
        <v>44359</v>
      </c>
      <c r="B12" s="193" t="s">
        <v>539</v>
      </c>
      <c r="C12" s="71">
        <v>269193.39</v>
      </c>
      <c r="D12" s="195"/>
      <c r="E12" s="71"/>
      <c r="F12" s="183">
        <f t="shared" si="0"/>
        <v>318369.09000000003</v>
      </c>
    </row>
    <row r="13" spans="1:7" ht="15.75" x14ac:dyDescent="0.25">
      <c r="A13" s="195">
        <v>44361</v>
      </c>
      <c r="B13" s="193" t="s">
        <v>540</v>
      </c>
      <c r="C13" s="71">
        <v>133276.4</v>
      </c>
      <c r="D13" s="195">
        <v>44363</v>
      </c>
      <c r="E13" s="71">
        <v>451645.49</v>
      </c>
      <c r="F13" s="183">
        <f t="shared" si="0"/>
        <v>0</v>
      </c>
    </row>
    <row r="14" spans="1:7" ht="15.75" x14ac:dyDescent="0.25">
      <c r="A14" s="195">
        <v>44363</v>
      </c>
      <c r="B14" s="193" t="s">
        <v>541</v>
      </c>
      <c r="C14" s="71">
        <v>160696.85</v>
      </c>
      <c r="D14" s="195"/>
      <c r="E14" s="71"/>
      <c r="F14" s="183">
        <f t="shared" si="0"/>
        <v>160696.85</v>
      </c>
    </row>
    <row r="15" spans="1:7" ht="15.75" x14ac:dyDescent="0.25">
      <c r="A15" s="195">
        <v>44363</v>
      </c>
      <c r="B15" s="193" t="s">
        <v>542</v>
      </c>
      <c r="C15" s="71">
        <v>18956</v>
      </c>
      <c r="D15" s="195"/>
      <c r="E15" s="71"/>
      <c r="F15" s="183">
        <f t="shared" si="0"/>
        <v>179652.85</v>
      </c>
    </row>
    <row r="16" spans="1:7" ht="15.75" x14ac:dyDescent="0.25">
      <c r="A16" s="195">
        <v>44364</v>
      </c>
      <c r="B16" s="193" t="s">
        <v>543</v>
      </c>
      <c r="C16" s="71">
        <v>6575.8</v>
      </c>
      <c r="D16" s="195"/>
      <c r="E16" s="71"/>
      <c r="F16" s="183">
        <f t="shared" si="0"/>
        <v>186228.65</v>
      </c>
    </row>
    <row r="17" spans="1:7" ht="15.75" x14ac:dyDescent="0.25">
      <c r="A17" s="195">
        <v>44365</v>
      </c>
      <c r="B17" s="193" t="s">
        <v>544</v>
      </c>
      <c r="C17" s="71">
        <v>174890.81</v>
      </c>
      <c r="D17" s="195"/>
      <c r="E17" s="71"/>
      <c r="F17" s="183">
        <f t="shared" si="0"/>
        <v>361119.45999999996</v>
      </c>
    </row>
    <row r="18" spans="1:7" ht="15.75" x14ac:dyDescent="0.25">
      <c r="A18" s="195">
        <v>44365</v>
      </c>
      <c r="B18" s="193" t="s">
        <v>545</v>
      </c>
      <c r="C18" s="71">
        <v>63472.4</v>
      </c>
      <c r="D18" s="195"/>
      <c r="E18" s="71"/>
      <c r="F18" s="183">
        <f t="shared" si="0"/>
        <v>424591.86</v>
      </c>
    </row>
    <row r="19" spans="1:7" ht="15.75" x14ac:dyDescent="0.25">
      <c r="A19" s="195">
        <v>44365</v>
      </c>
      <c r="B19" s="193" t="s">
        <v>546</v>
      </c>
      <c r="C19" s="71">
        <v>24495</v>
      </c>
      <c r="D19" s="195">
        <v>44366</v>
      </c>
      <c r="E19" s="71">
        <v>449086.86</v>
      </c>
      <c r="F19" s="183">
        <f t="shared" si="0"/>
        <v>0</v>
      </c>
    </row>
    <row r="20" spans="1:7" ht="15.75" x14ac:dyDescent="0.25">
      <c r="A20" s="195">
        <v>44366</v>
      </c>
      <c r="B20" s="193" t="s">
        <v>584</v>
      </c>
      <c r="C20" s="71">
        <v>219692.87</v>
      </c>
      <c r="D20" s="195"/>
      <c r="E20" s="71"/>
      <c r="F20" s="183">
        <f t="shared" si="0"/>
        <v>219692.87</v>
      </c>
    </row>
    <row r="21" spans="1:7" ht="15.75" x14ac:dyDescent="0.25">
      <c r="A21" s="195">
        <v>44367</v>
      </c>
      <c r="B21" s="193" t="s">
        <v>585</v>
      </c>
      <c r="C21" s="71">
        <v>9938.2999999999993</v>
      </c>
      <c r="D21" s="195"/>
      <c r="E21" s="71"/>
      <c r="F21" s="183">
        <f t="shared" si="0"/>
        <v>229631.16999999998</v>
      </c>
    </row>
    <row r="22" spans="1:7" ht="18.75" x14ac:dyDescent="0.3">
      <c r="A22" s="195">
        <v>44368</v>
      </c>
      <c r="B22" s="193" t="s">
        <v>586</v>
      </c>
      <c r="C22" s="71">
        <v>120083.9</v>
      </c>
      <c r="D22" s="195"/>
      <c r="E22" s="71"/>
      <c r="F22" s="183">
        <f t="shared" si="0"/>
        <v>349715.06999999995</v>
      </c>
      <c r="G22" s="184"/>
    </row>
    <row r="23" spans="1:7" ht="15.75" x14ac:dyDescent="0.25">
      <c r="A23" s="195">
        <v>44370</v>
      </c>
      <c r="B23" s="193" t="s">
        <v>587</v>
      </c>
      <c r="C23" s="71">
        <v>124811.6</v>
      </c>
      <c r="D23" s="195"/>
      <c r="E23" s="71"/>
      <c r="F23" s="183">
        <f t="shared" si="0"/>
        <v>474526.66999999993</v>
      </c>
    </row>
    <row r="24" spans="1:7" ht="15.75" x14ac:dyDescent="0.25">
      <c r="A24" s="195">
        <v>44371</v>
      </c>
      <c r="B24" s="193" t="s">
        <v>588</v>
      </c>
      <c r="C24" s="71">
        <v>130998.49</v>
      </c>
      <c r="D24" s="195"/>
      <c r="E24" s="71"/>
      <c r="F24" s="183">
        <f t="shared" si="0"/>
        <v>605525.15999999992</v>
      </c>
    </row>
    <row r="25" spans="1:7" ht="15.75" x14ac:dyDescent="0.25">
      <c r="A25" s="195">
        <v>44372</v>
      </c>
      <c r="B25" s="193" t="s">
        <v>589</v>
      </c>
      <c r="C25" s="71">
        <v>1548</v>
      </c>
      <c r="D25" s="195"/>
      <c r="E25" s="71"/>
      <c r="F25" s="183">
        <f t="shared" si="0"/>
        <v>607073.15999999992</v>
      </c>
    </row>
    <row r="26" spans="1:7" ht="15.75" x14ac:dyDescent="0.25">
      <c r="A26" s="195">
        <v>44372</v>
      </c>
      <c r="B26" s="193" t="s">
        <v>590</v>
      </c>
      <c r="C26" s="71">
        <v>32828.800000000003</v>
      </c>
      <c r="D26" s="195">
        <v>44373</v>
      </c>
      <c r="E26" s="71">
        <v>639901.96</v>
      </c>
      <c r="F26" s="183">
        <f t="shared" si="0"/>
        <v>0</v>
      </c>
    </row>
    <row r="27" spans="1:7" ht="15.75" x14ac:dyDescent="0.25">
      <c r="A27" s="195">
        <v>44373</v>
      </c>
      <c r="B27" s="193" t="s">
        <v>591</v>
      </c>
      <c r="C27" s="71">
        <v>182799.1</v>
      </c>
      <c r="D27" s="195"/>
      <c r="E27" s="71"/>
      <c r="F27" s="183">
        <f t="shared" si="0"/>
        <v>182799.1</v>
      </c>
    </row>
    <row r="28" spans="1:7" ht="15.75" x14ac:dyDescent="0.25">
      <c r="A28" s="195">
        <v>44373</v>
      </c>
      <c r="B28" s="193" t="s">
        <v>592</v>
      </c>
      <c r="C28" s="71">
        <v>100700.1</v>
      </c>
      <c r="D28" s="195"/>
      <c r="E28" s="71"/>
      <c r="F28" s="183">
        <f t="shared" si="0"/>
        <v>283499.2</v>
      </c>
    </row>
    <row r="29" spans="1:7" ht="15.75" x14ac:dyDescent="0.25">
      <c r="A29" s="195">
        <v>44376</v>
      </c>
      <c r="B29" s="193" t="s">
        <v>593</v>
      </c>
      <c r="C29" s="71">
        <v>163352.95999999999</v>
      </c>
      <c r="D29" s="195"/>
      <c r="E29" s="71"/>
      <c r="F29" s="183">
        <f t="shared" si="0"/>
        <v>446852.16000000003</v>
      </c>
    </row>
    <row r="30" spans="1:7" ht="18.75" x14ac:dyDescent="0.3">
      <c r="A30" s="195">
        <v>44377</v>
      </c>
      <c r="B30" s="193" t="s">
        <v>594</v>
      </c>
      <c r="C30" s="71">
        <v>112159.6</v>
      </c>
      <c r="D30" s="195"/>
      <c r="E30" s="71"/>
      <c r="F30" s="183">
        <f t="shared" si="0"/>
        <v>559011.76</v>
      </c>
      <c r="G30" s="184"/>
    </row>
    <row r="31" spans="1:7" ht="15.75" x14ac:dyDescent="0.25">
      <c r="A31" s="195">
        <v>44377</v>
      </c>
      <c r="B31" s="193" t="s">
        <v>595</v>
      </c>
      <c r="C31" s="71">
        <v>2812.2</v>
      </c>
      <c r="D31" s="195">
        <v>44380</v>
      </c>
      <c r="E31" s="71">
        <v>561823.96</v>
      </c>
      <c r="F31" s="183">
        <f t="shared" si="0"/>
        <v>0</v>
      </c>
    </row>
    <row r="32" spans="1:7" ht="15.75" x14ac:dyDescent="0.25">
      <c r="A32" s="192"/>
      <c r="B32" s="193"/>
      <c r="C32" s="71"/>
      <c r="D32" s="195"/>
      <c r="E32" s="71"/>
      <c r="F32" s="183">
        <f t="shared" si="0"/>
        <v>0</v>
      </c>
    </row>
    <row r="33" spans="1:6" ht="15.75" x14ac:dyDescent="0.25">
      <c r="A33" s="192"/>
      <c r="B33" s="193"/>
      <c r="C33" s="71"/>
      <c r="D33" s="195"/>
      <c r="E33" s="71"/>
      <c r="F33" s="183">
        <f t="shared" si="0"/>
        <v>0</v>
      </c>
    </row>
    <row r="34" spans="1:6" ht="15.75" hidden="1" x14ac:dyDescent="0.25">
      <c r="A34" s="192"/>
      <c r="B34" s="193"/>
      <c r="C34" s="71"/>
      <c r="D34" s="195"/>
      <c r="E34" s="71"/>
      <c r="F34" s="183">
        <f t="shared" si="0"/>
        <v>0</v>
      </c>
    </row>
    <row r="35" spans="1:6" ht="15.75" hidden="1" x14ac:dyDescent="0.25">
      <c r="A35" s="192"/>
      <c r="B35" s="193"/>
      <c r="C35" s="71"/>
      <c r="D35" s="195"/>
      <c r="E35" s="71"/>
      <c r="F35" s="183">
        <f t="shared" si="0"/>
        <v>0</v>
      </c>
    </row>
    <row r="36" spans="1:6" ht="15.75" hidden="1" x14ac:dyDescent="0.25">
      <c r="A36" s="192"/>
      <c r="B36" s="193"/>
      <c r="C36" s="71"/>
      <c r="D36" s="195"/>
      <c r="E36" s="71"/>
      <c r="F36" s="183">
        <f t="shared" si="0"/>
        <v>0</v>
      </c>
    </row>
    <row r="37" spans="1:6" ht="15.75" hidden="1" x14ac:dyDescent="0.25">
      <c r="A37" s="195"/>
      <c r="B37" s="193"/>
      <c r="C37" s="71"/>
      <c r="D37" s="195"/>
      <c r="E37" s="71"/>
      <c r="F37" s="183">
        <f t="shared" si="0"/>
        <v>0</v>
      </c>
    </row>
    <row r="38" spans="1:6" ht="15.75" hidden="1" x14ac:dyDescent="0.25">
      <c r="A38" s="195"/>
      <c r="B38" s="193"/>
      <c r="C38" s="71"/>
      <c r="D38" s="195"/>
      <c r="E38" s="71"/>
      <c r="F38" s="183">
        <f t="shared" si="0"/>
        <v>0</v>
      </c>
    </row>
    <row r="39" spans="1:6" ht="15.75" hidden="1" x14ac:dyDescent="0.25">
      <c r="A39" s="195"/>
      <c r="B39" s="193"/>
      <c r="C39" s="71"/>
      <c r="D39" s="195"/>
      <c r="E39" s="71"/>
      <c r="F39" s="183">
        <f t="shared" si="0"/>
        <v>0</v>
      </c>
    </row>
    <row r="40" spans="1:6" ht="15.75" hidden="1" x14ac:dyDescent="0.25">
      <c r="A40" s="192"/>
      <c r="B40" s="193"/>
      <c r="C40" s="71"/>
      <c r="D40" s="195"/>
      <c r="E40" s="71"/>
      <c r="F40" s="183">
        <f t="shared" si="0"/>
        <v>0</v>
      </c>
    </row>
    <row r="41" spans="1:6" ht="15.75" hidden="1" x14ac:dyDescent="0.25">
      <c r="A41" s="192"/>
      <c r="B41" s="193"/>
      <c r="C41" s="71"/>
      <c r="D41" s="195"/>
      <c r="E41" s="71"/>
      <c r="F41" s="183">
        <f t="shared" si="0"/>
        <v>0</v>
      </c>
    </row>
    <row r="42" spans="1:6" ht="15.75" hidden="1" x14ac:dyDescent="0.25">
      <c r="A42" s="192"/>
      <c r="B42" s="193"/>
      <c r="C42" s="71"/>
      <c r="D42" s="195"/>
      <c r="E42" s="71"/>
      <c r="F42" s="183">
        <f t="shared" si="0"/>
        <v>0</v>
      </c>
    </row>
    <row r="43" spans="1:6" ht="15.75" hidden="1" x14ac:dyDescent="0.25">
      <c r="A43" s="192"/>
      <c r="B43" s="193"/>
      <c r="C43" s="71"/>
      <c r="D43" s="195"/>
      <c r="E43" s="71"/>
      <c r="F43" s="183">
        <f t="shared" si="0"/>
        <v>0</v>
      </c>
    </row>
    <row r="44" spans="1:6" ht="15.75" hidden="1" x14ac:dyDescent="0.25">
      <c r="A44" s="192"/>
      <c r="B44" s="193"/>
      <c r="C44" s="71"/>
      <c r="D44" s="195"/>
      <c r="E44" s="71"/>
      <c r="F44" s="183">
        <f t="shared" si="0"/>
        <v>0</v>
      </c>
    </row>
    <row r="45" spans="1:6" ht="15.75" hidden="1" x14ac:dyDescent="0.25">
      <c r="A45" s="192"/>
      <c r="B45" s="193"/>
      <c r="C45" s="71"/>
      <c r="D45" s="195"/>
      <c r="E45" s="71"/>
      <c r="F45" s="183">
        <f t="shared" si="0"/>
        <v>0</v>
      </c>
    </row>
    <row r="46" spans="1:6" ht="15.75" hidden="1" x14ac:dyDescent="0.25">
      <c r="A46" s="192"/>
      <c r="B46" s="193"/>
      <c r="C46" s="71"/>
      <c r="D46" s="195"/>
      <c r="E46" s="71"/>
      <c r="F46" s="183">
        <f t="shared" si="0"/>
        <v>0</v>
      </c>
    </row>
    <row r="47" spans="1:6" ht="15.75" hidden="1" x14ac:dyDescent="0.25">
      <c r="A47" s="192"/>
      <c r="B47" s="193"/>
      <c r="C47" s="71"/>
      <c r="D47" s="195"/>
      <c r="E47" s="71"/>
      <c r="F47" s="183">
        <f t="shared" si="0"/>
        <v>0</v>
      </c>
    </row>
    <row r="48" spans="1:6" ht="15.75" hidden="1" x14ac:dyDescent="0.25">
      <c r="A48" s="192"/>
      <c r="B48" s="193"/>
      <c r="C48" s="71"/>
      <c r="D48" s="195"/>
      <c r="E48" s="71"/>
      <c r="F48" s="183">
        <f t="shared" si="0"/>
        <v>0</v>
      </c>
    </row>
    <row r="49" spans="1:6" ht="15.75" hidden="1" x14ac:dyDescent="0.25">
      <c r="A49" s="192"/>
      <c r="B49" s="193"/>
      <c r="C49" s="71"/>
      <c r="D49" s="195"/>
      <c r="E49" s="71"/>
      <c r="F49" s="183">
        <f t="shared" si="0"/>
        <v>0</v>
      </c>
    </row>
    <row r="50" spans="1:6" ht="15.75" hidden="1" x14ac:dyDescent="0.25">
      <c r="A50" s="192"/>
      <c r="B50" s="193"/>
      <c r="C50" s="71"/>
      <c r="D50" s="195"/>
      <c r="E50" s="71"/>
      <c r="F50" s="183">
        <f t="shared" si="0"/>
        <v>0</v>
      </c>
    </row>
    <row r="51" spans="1:6" ht="15.75" hidden="1" x14ac:dyDescent="0.25">
      <c r="A51" s="192"/>
      <c r="B51" s="193"/>
      <c r="C51" s="71"/>
      <c r="D51" s="195"/>
      <c r="E51" s="71"/>
      <c r="F51" s="183">
        <f t="shared" si="0"/>
        <v>0</v>
      </c>
    </row>
    <row r="52" spans="1:6" ht="15.75" hidden="1" x14ac:dyDescent="0.25">
      <c r="A52" s="192"/>
      <c r="B52" s="193"/>
      <c r="C52" s="71"/>
      <c r="D52" s="195"/>
      <c r="E52" s="71"/>
      <c r="F52" s="183">
        <f t="shared" si="0"/>
        <v>0</v>
      </c>
    </row>
    <row r="53" spans="1:6" ht="15.75" hidden="1" x14ac:dyDescent="0.25">
      <c r="A53" s="192"/>
      <c r="B53" s="193"/>
      <c r="C53" s="71"/>
      <c r="D53" s="195"/>
      <c r="E53" s="71"/>
      <c r="F53" s="183">
        <f t="shared" si="0"/>
        <v>0</v>
      </c>
    </row>
    <row r="54" spans="1:6" ht="15.75" hidden="1" x14ac:dyDescent="0.25">
      <c r="A54" s="192"/>
      <c r="B54" s="193"/>
      <c r="C54" s="71"/>
      <c r="D54" s="195"/>
      <c r="E54" s="71"/>
      <c r="F54" s="183">
        <f t="shared" si="0"/>
        <v>0</v>
      </c>
    </row>
    <row r="55" spans="1:6" ht="15.75" hidden="1" x14ac:dyDescent="0.25">
      <c r="A55" s="192"/>
      <c r="B55" s="193"/>
      <c r="C55" s="71"/>
      <c r="D55" s="195"/>
      <c r="E55" s="71"/>
      <c r="F55" s="183">
        <f t="shared" si="0"/>
        <v>0</v>
      </c>
    </row>
    <row r="56" spans="1:6" ht="15.75" hidden="1" x14ac:dyDescent="0.25">
      <c r="A56" s="192"/>
      <c r="B56" s="193"/>
      <c r="C56" s="71"/>
      <c r="D56" s="195"/>
      <c r="E56" s="71"/>
      <c r="F56" s="183">
        <f t="shared" si="0"/>
        <v>0</v>
      </c>
    </row>
    <row r="57" spans="1:6" ht="15.75" hidden="1" x14ac:dyDescent="0.25">
      <c r="A57" s="192"/>
      <c r="B57" s="193"/>
      <c r="C57" s="71"/>
      <c r="D57" s="195"/>
      <c r="E57" s="71"/>
      <c r="F57" s="183">
        <f t="shared" si="0"/>
        <v>0</v>
      </c>
    </row>
    <row r="58" spans="1:6" ht="15.75" hidden="1" x14ac:dyDescent="0.25">
      <c r="A58" s="192"/>
      <c r="B58" s="193"/>
      <c r="C58" s="71"/>
      <c r="D58" s="195"/>
      <c r="E58" s="71"/>
      <c r="F58" s="183">
        <f t="shared" si="0"/>
        <v>0</v>
      </c>
    </row>
    <row r="59" spans="1:6" ht="15.75" hidden="1" x14ac:dyDescent="0.25">
      <c r="A59" s="192"/>
      <c r="B59" s="193"/>
      <c r="C59" s="71"/>
      <c r="D59" s="195"/>
      <c r="E59" s="71"/>
      <c r="F59" s="183">
        <f t="shared" si="0"/>
        <v>0</v>
      </c>
    </row>
    <row r="60" spans="1:6" ht="15.75" hidden="1" x14ac:dyDescent="0.25">
      <c r="A60" s="192"/>
      <c r="B60" s="193"/>
      <c r="C60" s="71"/>
      <c r="D60" s="195"/>
      <c r="E60" s="71"/>
      <c r="F60" s="183">
        <f t="shared" si="0"/>
        <v>0</v>
      </c>
    </row>
    <row r="61" spans="1:6" ht="15.75" hidden="1" x14ac:dyDescent="0.25">
      <c r="A61" s="186"/>
      <c r="B61" s="187"/>
      <c r="C61" s="7"/>
      <c r="D61" s="181"/>
      <c r="E61" s="7"/>
      <c r="F61" s="183">
        <f t="shared" si="0"/>
        <v>0</v>
      </c>
    </row>
    <row r="62" spans="1:6" ht="15.75" hidden="1" x14ac:dyDescent="0.25">
      <c r="A62" s="186"/>
      <c r="B62" s="187"/>
      <c r="C62" s="7"/>
      <c r="D62" s="181"/>
      <c r="E62" s="7"/>
      <c r="F62" s="183">
        <f t="shared" si="0"/>
        <v>0</v>
      </c>
    </row>
    <row r="63" spans="1:6" ht="15.75" hidden="1" x14ac:dyDescent="0.25">
      <c r="A63" s="186"/>
      <c r="B63" s="187"/>
      <c r="C63" s="7"/>
      <c r="D63" s="181"/>
      <c r="E63" s="7"/>
      <c r="F63" s="183">
        <f t="shared" si="0"/>
        <v>0</v>
      </c>
    </row>
    <row r="64" spans="1:6" ht="15.75" hidden="1" x14ac:dyDescent="0.25">
      <c r="A64" s="186"/>
      <c r="B64" s="187"/>
      <c r="C64" s="7"/>
      <c r="D64" s="181"/>
      <c r="E64" s="7"/>
      <c r="F64" s="183">
        <f t="shared" si="0"/>
        <v>0</v>
      </c>
    </row>
    <row r="65" spans="1:6" ht="15.75" hidden="1" x14ac:dyDescent="0.25">
      <c r="A65" s="186"/>
      <c r="B65" s="187"/>
      <c r="C65" s="7"/>
      <c r="D65" s="181"/>
      <c r="E65" s="7"/>
      <c r="F65" s="183">
        <f t="shared" si="0"/>
        <v>0</v>
      </c>
    </row>
    <row r="66" spans="1:6" ht="15.75" hidden="1" x14ac:dyDescent="0.25">
      <c r="A66" s="186"/>
      <c r="B66" s="187"/>
      <c r="C66" s="7"/>
      <c r="D66" s="181"/>
      <c r="E66" s="7"/>
      <c r="F66" s="183">
        <f t="shared" si="0"/>
        <v>0</v>
      </c>
    </row>
    <row r="67" spans="1:6" ht="15.75" hidden="1" x14ac:dyDescent="0.25">
      <c r="A67" s="270"/>
      <c r="B67" s="268"/>
      <c r="C67" s="71"/>
      <c r="D67" s="269"/>
      <c r="E67" s="71"/>
      <c r="F67" s="183">
        <f t="shared" si="0"/>
        <v>0</v>
      </c>
    </row>
    <row r="68" spans="1:6" ht="15.75" hidden="1" x14ac:dyDescent="0.25">
      <c r="A68" s="270"/>
      <c r="B68" s="268"/>
      <c r="C68" s="71"/>
      <c r="D68" s="269"/>
      <c r="E68" s="71"/>
      <c r="F68" s="183">
        <f t="shared" si="0"/>
        <v>0</v>
      </c>
    </row>
    <row r="69" spans="1:6" ht="15.75" hidden="1" x14ac:dyDescent="0.25">
      <c r="A69" s="270"/>
      <c r="B69" s="268"/>
      <c r="C69" s="71"/>
      <c r="D69" s="269"/>
      <c r="E69" s="71"/>
      <c r="F69" s="183">
        <f t="shared" ref="F69:F77" si="1">F68+C69-E69</f>
        <v>0</v>
      </c>
    </row>
    <row r="70" spans="1:6" ht="15.75" hidden="1" x14ac:dyDescent="0.25">
      <c r="A70" s="270"/>
      <c r="B70" s="268"/>
      <c r="C70" s="71"/>
      <c r="D70" s="269"/>
      <c r="E70" s="71"/>
      <c r="F70" s="183">
        <f t="shared" si="1"/>
        <v>0</v>
      </c>
    </row>
    <row r="71" spans="1:6" ht="15.75" hidden="1" x14ac:dyDescent="0.25">
      <c r="A71" s="270"/>
      <c r="B71" s="268"/>
      <c r="C71" s="71"/>
      <c r="D71" s="269"/>
      <c r="E71" s="71"/>
      <c r="F71" s="183">
        <f t="shared" si="1"/>
        <v>0</v>
      </c>
    </row>
    <row r="72" spans="1:6" ht="15.75" hidden="1" x14ac:dyDescent="0.25">
      <c r="A72" s="270"/>
      <c r="B72" s="268"/>
      <c r="C72" s="71"/>
      <c r="D72" s="269"/>
      <c r="E72" s="71"/>
      <c r="F72" s="183">
        <f t="shared" si="1"/>
        <v>0</v>
      </c>
    </row>
    <row r="73" spans="1:6" ht="15.75" hidden="1" x14ac:dyDescent="0.25">
      <c r="A73" s="270"/>
      <c r="B73" s="268"/>
      <c r="C73" s="71"/>
      <c r="D73" s="269"/>
      <c r="E73" s="71"/>
      <c r="F73" s="183">
        <f t="shared" si="1"/>
        <v>0</v>
      </c>
    </row>
    <row r="74" spans="1:6" ht="15.75" hidden="1" x14ac:dyDescent="0.25">
      <c r="A74" s="270"/>
      <c r="B74" s="268"/>
      <c r="C74" s="71"/>
      <c r="D74" s="269"/>
      <c r="E74" s="71"/>
      <c r="F74" s="183">
        <f t="shared" si="1"/>
        <v>0</v>
      </c>
    </row>
    <row r="75" spans="1:6" ht="15.75" hidden="1" x14ac:dyDescent="0.25">
      <c r="A75" s="270"/>
      <c r="B75" s="268"/>
      <c r="C75" s="71"/>
      <c r="D75" s="269"/>
      <c r="E75" s="71"/>
      <c r="F75" s="183">
        <f t="shared" si="1"/>
        <v>0</v>
      </c>
    </row>
    <row r="76" spans="1:6" ht="15.75" x14ac:dyDescent="0.25">
      <c r="A76" s="270"/>
      <c r="B76" s="268"/>
      <c r="C76" s="71"/>
      <c r="D76" s="269"/>
      <c r="E76" s="71"/>
      <c r="F76" s="183">
        <f t="shared" si="1"/>
        <v>0</v>
      </c>
    </row>
    <row r="77" spans="1:6" ht="16.5" thickBot="1" x14ac:dyDescent="0.3">
      <c r="A77" s="188"/>
      <c r="B77" s="189"/>
      <c r="C77" s="84">
        <v>0</v>
      </c>
      <c r="D77" s="190"/>
      <c r="E77" s="84"/>
      <c r="F77" s="183">
        <f t="shared" si="1"/>
        <v>0</v>
      </c>
    </row>
    <row r="78" spans="1:6" ht="19.5" thickTop="1" x14ac:dyDescent="0.3">
      <c r="B78" s="60"/>
      <c r="C78" s="4">
        <f>SUM(C3:C77)</f>
        <v>2720820.95</v>
      </c>
      <c r="D78" s="1"/>
      <c r="E78" s="4">
        <f>SUM(E3:E77)</f>
        <v>2720820.9499999997</v>
      </c>
      <c r="F78" s="191">
        <f>F77</f>
        <v>0</v>
      </c>
    </row>
    <row r="79" spans="1:6" x14ac:dyDescent="0.25">
      <c r="B79" s="60"/>
      <c r="C79" s="4"/>
      <c r="D79" s="1"/>
      <c r="E79" s="8"/>
      <c r="F79" s="4"/>
    </row>
    <row r="80" spans="1:6" x14ac:dyDescent="0.25">
      <c r="B80" s="60"/>
      <c r="C80" s="4"/>
      <c r="D80" s="1"/>
      <c r="E80" s="8"/>
      <c r="F80" s="4"/>
    </row>
    <row r="81" spans="1:6" x14ac:dyDescent="0.25">
      <c r="A81"/>
      <c r="B81" s="34"/>
      <c r="D81" s="34"/>
    </row>
    <row r="82" spans="1:6" x14ac:dyDescent="0.25">
      <c r="A82"/>
      <c r="B82" s="34"/>
      <c r="D82" s="34"/>
    </row>
    <row r="83" spans="1:6" x14ac:dyDescent="0.25">
      <c r="A83"/>
      <c r="B83" s="34"/>
      <c r="D83" s="34"/>
    </row>
    <row r="84" spans="1:6" x14ac:dyDescent="0.25">
      <c r="A84"/>
      <c r="B84" s="34"/>
      <c r="D84" s="34"/>
      <c r="F84"/>
    </row>
    <row r="85" spans="1:6" x14ac:dyDescent="0.25">
      <c r="A85"/>
      <c r="B85" s="34"/>
      <c r="D85" s="34"/>
      <c r="F85"/>
    </row>
    <row r="86" spans="1:6" x14ac:dyDescent="0.25">
      <c r="A86"/>
      <c r="B86" s="34"/>
      <c r="D86" s="34"/>
      <c r="F86"/>
    </row>
    <row r="87" spans="1:6" x14ac:dyDescent="0.25">
      <c r="A87"/>
      <c r="B87" s="34"/>
      <c r="D87" s="34"/>
      <c r="F87"/>
    </row>
    <row r="88" spans="1:6" x14ac:dyDescent="0.25">
      <c r="A88"/>
      <c r="B88" s="34"/>
      <c r="D88" s="34"/>
      <c r="F88"/>
    </row>
    <row r="89" spans="1:6" x14ac:dyDescent="0.25">
      <c r="A89"/>
      <c r="B89" s="34"/>
      <c r="D89" s="34"/>
      <c r="F89"/>
    </row>
    <row r="90" spans="1:6" x14ac:dyDescent="0.25">
      <c r="A90"/>
      <c r="B90" s="34"/>
      <c r="D90" s="34"/>
      <c r="F90"/>
    </row>
    <row r="91" spans="1:6" x14ac:dyDescent="0.25">
      <c r="A91"/>
      <c r="B91" s="34"/>
      <c r="D91" s="34"/>
      <c r="F91"/>
    </row>
    <row r="92" spans="1:6" x14ac:dyDescent="0.25">
      <c r="A92"/>
      <c r="B92" s="34"/>
      <c r="D92" s="34"/>
      <c r="F92"/>
    </row>
    <row r="93" spans="1:6" x14ac:dyDescent="0.25">
      <c r="A93"/>
      <c r="B93" s="34"/>
      <c r="D93" s="34"/>
      <c r="E93"/>
      <c r="F93"/>
    </row>
    <row r="94" spans="1:6" x14ac:dyDescent="0.25">
      <c r="A94"/>
      <c r="B94" s="34"/>
      <c r="D94" s="34"/>
      <c r="E94"/>
      <c r="F94"/>
    </row>
    <row r="95" spans="1:6" x14ac:dyDescent="0.25">
      <c r="A95"/>
      <c r="B95" s="34"/>
      <c r="D95" s="34"/>
      <c r="E95"/>
      <c r="F95"/>
    </row>
    <row r="96" spans="1:6" x14ac:dyDescent="0.25">
      <c r="A96"/>
      <c r="B96" s="34"/>
      <c r="D96" s="34"/>
      <c r="E96"/>
      <c r="F96"/>
    </row>
    <row r="97" spans="1:6" x14ac:dyDescent="0.25">
      <c r="A97"/>
      <c r="B97" s="34"/>
      <c r="D97" s="34"/>
      <c r="E97"/>
      <c r="F97"/>
    </row>
    <row r="98" spans="1:6" x14ac:dyDescent="0.25">
      <c r="A98"/>
      <c r="B98" s="34"/>
      <c r="D98" s="34"/>
      <c r="E98"/>
      <c r="F98"/>
    </row>
    <row r="99" spans="1:6" x14ac:dyDescent="0.25">
      <c r="B99" s="34"/>
      <c r="D99" s="34"/>
      <c r="E99"/>
    </row>
    <row r="100" spans="1:6" x14ac:dyDescent="0.25">
      <c r="B100" s="34"/>
      <c r="D100" s="34"/>
      <c r="E100"/>
    </row>
    <row r="101" spans="1:6" x14ac:dyDescent="0.25">
      <c r="B101" s="34"/>
      <c r="D101" s="34"/>
      <c r="E101"/>
    </row>
    <row r="102" spans="1:6" x14ac:dyDescent="0.25">
      <c r="B102" s="34"/>
      <c r="D102" s="34"/>
      <c r="E102"/>
    </row>
    <row r="103" spans="1:6" x14ac:dyDescent="0.25">
      <c r="B103" s="34"/>
      <c r="D103" s="34"/>
      <c r="E103"/>
    </row>
    <row r="104" spans="1:6" x14ac:dyDescent="0.25">
      <c r="B104" s="34"/>
      <c r="D104" s="34"/>
      <c r="E104"/>
    </row>
    <row r="105" spans="1:6" x14ac:dyDescent="0.25">
      <c r="B105" s="34"/>
      <c r="D105" s="34"/>
      <c r="E105"/>
    </row>
    <row r="106" spans="1:6" x14ac:dyDescent="0.25">
      <c r="B106" s="34"/>
      <c r="D106" s="34"/>
      <c r="E106"/>
    </row>
    <row r="107" spans="1:6" x14ac:dyDescent="0.25">
      <c r="B107" s="34"/>
      <c r="D107" s="34"/>
      <c r="E107"/>
    </row>
    <row r="108" spans="1:6" x14ac:dyDescent="0.25">
      <c r="B108" s="34"/>
    </row>
    <row r="109" spans="1:6" x14ac:dyDescent="0.25">
      <c r="B109" s="34"/>
    </row>
    <row r="110" spans="1:6" x14ac:dyDescent="0.25">
      <c r="B110" s="34"/>
      <c r="D110" s="34"/>
    </row>
    <row r="111" spans="1:6" x14ac:dyDescent="0.25">
      <c r="B111" s="34"/>
    </row>
    <row r="112" spans="1:6" x14ac:dyDescent="0.25">
      <c r="B112" s="34"/>
    </row>
    <row r="113" spans="2:3" x14ac:dyDescent="0.25">
      <c r="B113" s="34"/>
    </row>
    <row r="114" spans="2:3" ht="18.75" x14ac:dyDescent="0.3">
      <c r="C114" s="126"/>
    </row>
  </sheetData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2" tint="-0.499984740745262"/>
  </sheetPr>
  <dimension ref="A1:W78"/>
  <sheetViews>
    <sheetView topLeftCell="N13" workbookViewId="0">
      <selection activeCell="V38" sqref="V38"/>
    </sheetView>
  </sheetViews>
  <sheetFormatPr baseColWidth="10" defaultRowHeight="15.75" x14ac:dyDescent="0.25"/>
  <cols>
    <col min="1" max="1" width="2.5703125" customWidth="1"/>
    <col min="2" max="2" width="12.42578125" style="1" customWidth="1"/>
    <col min="3" max="3" width="16.42578125" style="9" customWidth="1"/>
    <col min="4" max="4" width="15.28515625" customWidth="1"/>
    <col min="6" max="6" width="17.85546875" style="9" customWidth="1"/>
    <col min="7" max="7" width="2.85546875" customWidth="1"/>
    <col min="9" max="9" width="14.140625" style="9" customWidth="1"/>
    <col min="10" max="10" width="11.7109375" style="16" customWidth="1"/>
    <col min="11" max="11" width="14.42578125" customWidth="1"/>
    <col min="12" max="12" width="14.5703125" style="8" customWidth="1"/>
    <col min="13" max="13" width="18.140625" style="9" customWidth="1"/>
    <col min="14" max="14" width="14.140625" style="4" customWidth="1"/>
    <col min="15" max="15" width="4.85546875" style="6" customWidth="1"/>
    <col min="16" max="16" width="16.5703125" style="13" customWidth="1"/>
    <col min="17" max="17" width="15" style="13" customWidth="1"/>
    <col min="18" max="18" width="22.7109375" style="321" customWidth="1"/>
    <col min="19" max="19" width="6.28515625" style="321" customWidth="1"/>
    <col min="20" max="20" width="11.140625" style="321" customWidth="1"/>
    <col min="21" max="21" width="12.85546875" style="321" customWidth="1"/>
    <col min="22" max="22" width="22.7109375" style="321" customWidth="1"/>
    <col min="23" max="23" width="8" style="321" customWidth="1"/>
  </cols>
  <sheetData>
    <row r="1" spans="1:23" ht="23.25" x14ac:dyDescent="0.35">
      <c r="B1" s="583" t="s">
        <v>529</v>
      </c>
      <c r="C1" s="540" t="s">
        <v>503</v>
      </c>
      <c r="D1" s="540"/>
      <c r="E1" s="540"/>
      <c r="F1" s="540"/>
      <c r="G1" s="540"/>
      <c r="H1" s="540"/>
      <c r="I1" s="540"/>
      <c r="J1" s="540"/>
      <c r="K1" s="540"/>
      <c r="L1" s="2"/>
      <c r="M1" s="3"/>
    </row>
    <row r="2" spans="1:23" ht="16.5" thickBot="1" x14ac:dyDescent="0.3">
      <c r="B2" s="584"/>
      <c r="C2" s="8"/>
      <c r="H2" s="10" t="s">
        <v>0</v>
      </c>
      <c r="I2" s="3"/>
      <c r="J2" s="11"/>
      <c r="L2" s="12"/>
      <c r="M2" s="3"/>
      <c r="N2" s="6"/>
      <c r="Q2" s="596" t="s">
        <v>596</v>
      </c>
      <c r="R2" s="596"/>
      <c r="S2" s="596"/>
      <c r="T2" s="596"/>
      <c r="U2" s="596"/>
      <c r="V2" s="596"/>
    </row>
    <row r="3" spans="1:23" ht="21.75" thickBot="1" x14ac:dyDescent="0.35">
      <c r="B3" s="541" t="s">
        <v>1</v>
      </c>
      <c r="C3" s="542"/>
      <c r="D3" s="14"/>
      <c r="E3" s="15"/>
      <c r="F3" s="15"/>
      <c r="H3" s="543" t="s">
        <v>2</v>
      </c>
      <c r="I3" s="543"/>
      <c r="K3" s="17" t="s">
        <v>3</v>
      </c>
      <c r="L3" s="17" t="s">
        <v>4</v>
      </c>
      <c r="M3" s="18"/>
      <c r="Q3" s="596"/>
      <c r="R3" s="596"/>
      <c r="S3" s="596"/>
      <c r="T3" s="596"/>
      <c r="U3" s="596"/>
      <c r="V3" s="596"/>
    </row>
    <row r="4" spans="1:23" ht="20.25" thickTop="1" thickBot="1" x14ac:dyDescent="0.35">
      <c r="A4" s="20" t="s">
        <v>6</v>
      </c>
      <c r="B4" s="21"/>
      <c r="C4" s="22">
        <v>255764.39</v>
      </c>
      <c r="D4" s="23">
        <v>44353</v>
      </c>
      <c r="E4" s="544" t="s">
        <v>7</v>
      </c>
      <c r="F4" s="545"/>
      <c r="H4" s="546" t="s">
        <v>8</v>
      </c>
      <c r="I4" s="547"/>
      <c r="J4" s="24"/>
      <c r="K4" s="25"/>
      <c r="L4" s="26"/>
      <c r="M4" s="27" t="s">
        <v>9</v>
      </c>
      <c r="N4" s="28" t="s">
        <v>10</v>
      </c>
      <c r="O4" s="365"/>
      <c r="P4" s="29"/>
      <c r="Q4" s="597" t="s">
        <v>527</v>
      </c>
      <c r="R4" s="598"/>
      <c r="S4" s="99"/>
      <c r="T4" s="599" t="s">
        <v>567</v>
      </c>
      <c r="U4" s="599"/>
      <c r="V4" s="599"/>
      <c r="W4" s="99"/>
    </row>
    <row r="5" spans="1:23" ht="16.5" thickBot="1" x14ac:dyDescent="0.3">
      <c r="A5" s="34" t="s">
        <v>11</v>
      </c>
      <c r="B5" s="35">
        <v>44354</v>
      </c>
      <c r="C5" s="36">
        <v>1260</v>
      </c>
      <c r="D5" s="403" t="s">
        <v>45</v>
      </c>
      <c r="E5" s="404">
        <v>44354</v>
      </c>
      <c r="F5" s="37">
        <v>77113</v>
      </c>
      <c r="H5" s="405">
        <v>44354</v>
      </c>
      <c r="I5" s="38">
        <v>495</v>
      </c>
      <c r="J5" s="39"/>
      <c r="K5" s="301"/>
      <c r="L5" s="6"/>
      <c r="M5" s="41">
        <v>0</v>
      </c>
      <c r="N5" s="336">
        <v>2926</v>
      </c>
      <c r="O5" s="7"/>
      <c r="P5" s="318" t="s">
        <v>516</v>
      </c>
      <c r="Q5" s="347">
        <v>44354</v>
      </c>
      <c r="R5" s="348">
        <v>79419</v>
      </c>
      <c r="S5" s="99"/>
      <c r="T5" s="99"/>
      <c r="U5" s="99"/>
      <c r="V5" s="99"/>
      <c r="W5" s="99"/>
    </row>
    <row r="6" spans="1:23" ht="16.5" thickBot="1" x14ac:dyDescent="0.3">
      <c r="A6" s="34"/>
      <c r="B6" s="35">
        <v>44355</v>
      </c>
      <c r="C6" s="36">
        <v>9200</v>
      </c>
      <c r="D6" s="406" t="s">
        <v>505</v>
      </c>
      <c r="E6" s="404">
        <v>44355</v>
      </c>
      <c r="F6" s="37">
        <f>141354+10866</f>
        <v>152220</v>
      </c>
      <c r="H6" s="405">
        <v>44355</v>
      </c>
      <c r="I6" s="43">
        <v>495</v>
      </c>
      <c r="J6" s="52"/>
      <c r="K6" s="45"/>
      <c r="L6" s="46"/>
      <c r="M6" s="41">
        <v>0</v>
      </c>
      <c r="N6" s="336">
        <v>20382</v>
      </c>
      <c r="O6" s="7"/>
      <c r="P6" s="47"/>
      <c r="Q6" s="349">
        <v>44355</v>
      </c>
      <c r="R6" s="350">
        <v>122143</v>
      </c>
      <c r="S6" s="99"/>
      <c r="T6" s="343" t="s">
        <v>566</v>
      </c>
      <c r="U6" s="299">
        <v>44356</v>
      </c>
      <c r="V6" s="344">
        <v>120000</v>
      </c>
      <c r="W6" s="99"/>
    </row>
    <row r="7" spans="1:23" ht="16.5" thickBot="1" x14ac:dyDescent="0.3">
      <c r="A7" s="34"/>
      <c r="B7" s="35">
        <v>44356</v>
      </c>
      <c r="C7" s="36">
        <v>10718</v>
      </c>
      <c r="D7" s="407" t="s">
        <v>506</v>
      </c>
      <c r="E7" s="404">
        <v>44356</v>
      </c>
      <c r="F7" s="37">
        <v>109009</v>
      </c>
      <c r="H7" s="405">
        <v>44356</v>
      </c>
      <c r="I7" s="49">
        <v>440</v>
      </c>
      <c r="J7" s="52">
        <v>44356</v>
      </c>
      <c r="K7" s="33" t="s">
        <v>559</v>
      </c>
      <c r="L7" s="46">
        <v>679</v>
      </c>
      <c r="M7" s="337">
        <f>10230+150</f>
        <v>10380</v>
      </c>
      <c r="N7" s="336">
        <v>2701</v>
      </c>
      <c r="O7" s="7"/>
      <c r="P7" s="276"/>
      <c r="Q7" s="349">
        <v>44356</v>
      </c>
      <c r="R7" s="350">
        <v>84241</v>
      </c>
      <c r="S7" s="99"/>
      <c r="T7" s="343" t="s">
        <v>566</v>
      </c>
      <c r="U7" s="299">
        <v>44357</v>
      </c>
      <c r="V7" s="344">
        <v>75440</v>
      </c>
      <c r="W7" s="99"/>
    </row>
    <row r="8" spans="1:23" ht="16.5" thickBot="1" x14ac:dyDescent="0.3">
      <c r="A8" s="34"/>
      <c r="B8" s="35">
        <v>44357</v>
      </c>
      <c r="C8" s="36">
        <v>4966</v>
      </c>
      <c r="D8" s="408" t="s">
        <v>507</v>
      </c>
      <c r="E8" s="404">
        <v>44357</v>
      </c>
      <c r="F8" s="37">
        <f>85581+46561</f>
        <v>132142</v>
      </c>
      <c r="H8" s="405">
        <v>44357</v>
      </c>
      <c r="I8" s="49">
        <v>495</v>
      </c>
      <c r="J8" s="291"/>
      <c r="K8" s="33"/>
      <c r="L8" s="46"/>
      <c r="M8" s="41">
        <v>0</v>
      </c>
      <c r="N8" s="336">
        <v>5129</v>
      </c>
      <c r="O8" s="7"/>
      <c r="P8" s="275"/>
      <c r="Q8" s="349">
        <v>44357</v>
      </c>
      <c r="R8" s="350">
        <v>121552</v>
      </c>
      <c r="S8" s="99"/>
      <c r="T8" s="343" t="s">
        <v>566</v>
      </c>
      <c r="U8" s="299">
        <v>44368</v>
      </c>
      <c r="V8" s="344">
        <v>120000</v>
      </c>
      <c r="W8" s="99"/>
    </row>
    <row r="9" spans="1:23" ht="16.5" thickBot="1" x14ac:dyDescent="0.3">
      <c r="A9" s="34"/>
      <c r="B9" s="35">
        <v>44358</v>
      </c>
      <c r="C9" s="36">
        <v>0</v>
      </c>
      <c r="D9" s="408"/>
      <c r="E9" s="404">
        <v>44358</v>
      </c>
      <c r="F9" s="37">
        <v>192498</v>
      </c>
      <c r="H9" s="405">
        <v>44358</v>
      </c>
      <c r="I9" s="49">
        <v>10288</v>
      </c>
      <c r="J9" s="52"/>
      <c r="K9" s="409"/>
      <c r="L9" s="46"/>
      <c r="M9" s="41">
        <v>0</v>
      </c>
      <c r="N9" s="336">
        <v>8193</v>
      </c>
      <c r="O9" s="7"/>
      <c r="P9" s="47"/>
      <c r="Q9" s="349">
        <v>44358</v>
      </c>
      <c r="R9" s="350">
        <v>177695</v>
      </c>
      <c r="S9" s="99"/>
      <c r="T9" s="343" t="s">
        <v>566</v>
      </c>
      <c r="U9" s="299">
        <v>44369</v>
      </c>
      <c r="V9" s="344">
        <v>164450</v>
      </c>
      <c r="W9" s="99"/>
    </row>
    <row r="10" spans="1:23" ht="16.5" thickBot="1" x14ac:dyDescent="0.3">
      <c r="A10" s="34"/>
      <c r="B10" s="35">
        <v>44359</v>
      </c>
      <c r="C10" s="36">
        <v>4654</v>
      </c>
      <c r="D10" s="407" t="s">
        <v>511</v>
      </c>
      <c r="E10" s="404">
        <v>44359</v>
      </c>
      <c r="F10" s="37">
        <v>180402</v>
      </c>
      <c r="H10" s="405">
        <v>44359</v>
      </c>
      <c r="I10" s="49">
        <v>5550</v>
      </c>
      <c r="J10" s="52">
        <v>44359</v>
      </c>
      <c r="K10" s="410" t="s">
        <v>521</v>
      </c>
      <c r="L10" s="53">
        <f>16368.46+400+4000</f>
        <v>20768.46</v>
      </c>
      <c r="M10" s="41">
        <v>0</v>
      </c>
      <c r="N10" s="336">
        <v>10601</v>
      </c>
      <c r="O10" s="7"/>
      <c r="P10" s="47"/>
      <c r="Q10" s="349">
        <v>44359</v>
      </c>
      <c r="R10" s="350">
        <v>147683</v>
      </c>
      <c r="S10" s="99"/>
      <c r="T10" s="343" t="s">
        <v>566</v>
      </c>
      <c r="U10" s="299">
        <v>44370</v>
      </c>
      <c r="V10" s="344">
        <v>274260</v>
      </c>
      <c r="W10" s="99"/>
    </row>
    <row r="11" spans="1:23" ht="18" thickBot="1" x14ac:dyDescent="0.35">
      <c r="A11" s="34"/>
      <c r="B11" s="35">
        <v>44360</v>
      </c>
      <c r="C11" s="36">
        <v>17685</v>
      </c>
      <c r="D11" s="406" t="s">
        <v>512</v>
      </c>
      <c r="E11" s="404">
        <v>44360</v>
      </c>
      <c r="F11" s="37">
        <v>115973</v>
      </c>
      <c r="H11" s="405">
        <v>44360</v>
      </c>
      <c r="I11" s="49">
        <v>550</v>
      </c>
      <c r="J11" s="292"/>
      <c r="K11" s="411"/>
      <c r="L11" s="46"/>
      <c r="M11" s="41">
        <v>0</v>
      </c>
      <c r="N11" s="336">
        <v>9369</v>
      </c>
      <c r="O11" s="7"/>
      <c r="P11" s="47"/>
      <c r="Q11" s="349">
        <v>44360</v>
      </c>
      <c r="R11" s="350">
        <v>88369</v>
      </c>
      <c r="S11" s="99"/>
      <c r="T11" s="345" t="s">
        <v>563</v>
      </c>
      <c r="U11" s="299">
        <v>44358</v>
      </c>
      <c r="V11" s="346">
        <v>181550</v>
      </c>
      <c r="W11" s="338"/>
    </row>
    <row r="12" spans="1:23" ht="18" thickBot="1" x14ac:dyDescent="0.35">
      <c r="A12" s="34"/>
      <c r="B12" s="35">
        <v>44361</v>
      </c>
      <c r="C12" s="36">
        <v>9388</v>
      </c>
      <c r="D12" s="406" t="s">
        <v>513</v>
      </c>
      <c r="E12" s="404">
        <v>44361</v>
      </c>
      <c r="F12" s="37">
        <v>154060</v>
      </c>
      <c r="H12" s="405">
        <v>44361</v>
      </c>
      <c r="I12" s="49">
        <v>495</v>
      </c>
      <c r="J12" s="52"/>
      <c r="K12" s="33"/>
      <c r="L12" s="46"/>
      <c r="M12" s="41">
        <v>0</v>
      </c>
      <c r="N12" s="336">
        <v>3080</v>
      </c>
      <c r="O12" s="7"/>
      <c r="P12" s="47"/>
      <c r="Q12" s="349">
        <v>44361</v>
      </c>
      <c r="R12" s="350">
        <v>141097</v>
      </c>
      <c r="S12" s="99"/>
      <c r="T12" s="345" t="s">
        <v>563</v>
      </c>
      <c r="U12" s="299">
        <v>44361</v>
      </c>
      <c r="V12" s="346">
        <v>325340</v>
      </c>
      <c r="W12" s="338"/>
    </row>
    <row r="13" spans="1:23" ht="18" thickBot="1" x14ac:dyDescent="0.35">
      <c r="A13" s="34"/>
      <c r="B13" s="35">
        <v>44362</v>
      </c>
      <c r="C13" s="36">
        <v>3514</v>
      </c>
      <c r="D13" s="408" t="s">
        <v>514</v>
      </c>
      <c r="E13" s="404">
        <v>44362</v>
      </c>
      <c r="F13" s="37">
        <v>108946</v>
      </c>
      <c r="H13" s="405">
        <v>44362</v>
      </c>
      <c r="I13" s="49">
        <v>895</v>
      </c>
      <c r="J13" s="52">
        <v>44362</v>
      </c>
      <c r="K13" s="412" t="s">
        <v>387</v>
      </c>
      <c r="L13" s="46">
        <v>6000</v>
      </c>
      <c r="M13" s="337">
        <f>3060+2203</f>
        <v>5263</v>
      </c>
      <c r="N13" s="336">
        <v>8328</v>
      </c>
      <c r="O13" s="7"/>
      <c r="P13" s="47"/>
      <c r="Q13" s="349">
        <v>44362</v>
      </c>
      <c r="R13" s="350">
        <v>84946</v>
      </c>
      <c r="S13" s="99"/>
      <c r="T13" s="345" t="s">
        <v>563</v>
      </c>
      <c r="U13" s="299">
        <v>44362</v>
      </c>
      <c r="V13" s="346">
        <v>82350</v>
      </c>
      <c r="W13" s="338"/>
    </row>
    <row r="14" spans="1:23" ht="18" thickBot="1" x14ac:dyDescent="0.35">
      <c r="A14" s="34"/>
      <c r="B14" s="35">
        <v>44363</v>
      </c>
      <c r="C14" s="36">
        <v>9111</v>
      </c>
      <c r="D14" s="407" t="s">
        <v>517</v>
      </c>
      <c r="E14" s="404">
        <v>44363</v>
      </c>
      <c r="F14" s="37">
        <v>114847</v>
      </c>
      <c r="H14" s="405">
        <v>44363</v>
      </c>
      <c r="I14" s="49">
        <v>2440</v>
      </c>
      <c r="J14" s="52"/>
      <c r="K14" s="33"/>
      <c r="L14" s="46"/>
      <c r="M14" s="337">
        <v>150</v>
      </c>
      <c r="N14" s="336">
        <v>6703</v>
      </c>
      <c r="O14" s="7"/>
      <c r="P14" s="47"/>
      <c r="Q14" s="349">
        <v>44363</v>
      </c>
      <c r="R14" s="350">
        <v>96593</v>
      </c>
      <c r="S14" s="99"/>
      <c r="T14" s="345" t="s">
        <v>563</v>
      </c>
      <c r="U14" s="299">
        <v>44363</v>
      </c>
      <c r="V14" s="346">
        <v>132090</v>
      </c>
      <c r="W14" s="338"/>
    </row>
    <row r="15" spans="1:23" ht="18" thickBot="1" x14ac:dyDescent="0.35">
      <c r="A15" s="34"/>
      <c r="B15" s="35">
        <v>44364</v>
      </c>
      <c r="C15" s="36">
        <v>8755</v>
      </c>
      <c r="D15" s="406" t="s">
        <v>518</v>
      </c>
      <c r="E15" s="404">
        <v>44364</v>
      </c>
      <c r="F15" s="37">
        <v>155251</v>
      </c>
      <c r="H15" s="405">
        <v>44364</v>
      </c>
      <c r="I15" s="49">
        <v>440</v>
      </c>
      <c r="J15" s="52"/>
      <c r="K15" s="33"/>
      <c r="L15" s="46"/>
      <c r="M15" s="41">
        <v>0</v>
      </c>
      <c r="N15" s="369">
        <v>8236</v>
      </c>
      <c r="O15" s="7"/>
      <c r="P15" s="47"/>
      <c r="Q15" s="349">
        <v>44364</v>
      </c>
      <c r="R15" s="350">
        <v>137820</v>
      </c>
      <c r="S15" s="99"/>
      <c r="T15" s="345" t="s">
        <v>563</v>
      </c>
      <c r="U15" s="299">
        <v>44364</v>
      </c>
      <c r="V15" s="346">
        <v>176440</v>
      </c>
      <c r="W15" s="338"/>
    </row>
    <row r="16" spans="1:23" ht="18" thickBot="1" x14ac:dyDescent="0.35">
      <c r="A16" s="34"/>
      <c r="B16" s="35">
        <v>44365</v>
      </c>
      <c r="C16" s="36">
        <v>10454</v>
      </c>
      <c r="D16" s="406" t="s">
        <v>519</v>
      </c>
      <c r="E16" s="404">
        <v>44365</v>
      </c>
      <c r="F16" s="37">
        <v>153813</v>
      </c>
      <c r="H16" s="405">
        <v>44365</v>
      </c>
      <c r="I16" s="49">
        <v>590</v>
      </c>
      <c r="J16" s="52"/>
      <c r="K16" s="33"/>
      <c r="L16" s="6"/>
      <c r="M16" s="368">
        <v>0</v>
      </c>
      <c r="N16" s="364">
        <v>11121</v>
      </c>
      <c r="O16" s="7"/>
      <c r="P16" s="47"/>
      <c r="Q16" s="349">
        <v>44365</v>
      </c>
      <c r="R16" s="350">
        <v>131648</v>
      </c>
      <c r="S16" s="99"/>
      <c r="T16" s="345" t="s">
        <v>563</v>
      </c>
      <c r="U16" s="299">
        <v>44365</v>
      </c>
      <c r="V16" s="346">
        <v>137820</v>
      </c>
      <c r="W16" s="338"/>
    </row>
    <row r="17" spans="1:23" ht="18" thickBot="1" x14ac:dyDescent="0.35">
      <c r="A17" s="34"/>
      <c r="B17" s="35">
        <v>44366</v>
      </c>
      <c r="C17" s="36">
        <v>2767</v>
      </c>
      <c r="D17" s="408" t="s">
        <v>364</v>
      </c>
      <c r="E17" s="404">
        <v>44366</v>
      </c>
      <c r="F17" s="37">
        <v>256498</v>
      </c>
      <c r="H17" s="405">
        <v>44366</v>
      </c>
      <c r="I17" s="49">
        <v>12050</v>
      </c>
      <c r="J17" s="52">
        <v>44366</v>
      </c>
      <c r="K17" s="33" t="s">
        <v>520</v>
      </c>
      <c r="L17" s="53">
        <f>16468.46+400+4000</f>
        <v>20868.46</v>
      </c>
      <c r="M17" s="337">
        <v>12964</v>
      </c>
      <c r="N17" s="370">
        <v>12247</v>
      </c>
      <c r="O17" s="7"/>
      <c r="P17" s="47"/>
      <c r="Q17" s="349">
        <v>44366</v>
      </c>
      <c r="R17" s="350">
        <v>217420</v>
      </c>
      <c r="S17" s="99"/>
      <c r="T17" s="345" t="s">
        <v>563</v>
      </c>
      <c r="U17" s="299">
        <v>44371</v>
      </c>
      <c r="V17" s="346">
        <v>81200</v>
      </c>
      <c r="W17" s="338"/>
    </row>
    <row r="18" spans="1:23" ht="18" thickBot="1" x14ac:dyDescent="0.35">
      <c r="A18" s="34"/>
      <c r="B18" s="35">
        <v>44367</v>
      </c>
      <c r="C18" s="36">
        <v>26412</v>
      </c>
      <c r="D18" s="406" t="s">
        <v>522</v>
      </c>
      <c r="E18" s="404">
        <v>44367</v>
      </c>
      <c r="F18" s="37">
        <v>230627</v>
      </c>
      <c r="H18" s="405">
        <v>44367</v>
      </c>
      <c r="I18" s="49">
        <v>550</v>
      </c>
      <c r="J18" s="52"/>
      <c r="K18" s="413"/>
      <c r="L18" s="46"/>
      <c r="M18" s="41">
        <v>0</v>
      </c>
      <c r="N18" s="336">
        <v>12780</v>
      </c>
      <c r="O18" s="7"/>
      <c r="P18" s="47"/>
      <c r="Q18" s="349">
        <v>44367</v>
      </c>
      <c r="R18" s="350">
        <v>190885</v>
      </c>
      <c r="S18" s="99"/>
      <c r="T18" s="345" t="s">
        <v>563</v>
      </c>
      <c r="U18" s="299">
        <v>44372</v>
      </c>
      <c r="V18" s="346">
        <v>167190</v>
      </c>
      <c r="W18" s="338"/>
    </row>
    <row r="19" spans="1:23" ht="18" thickBot="1" x14ac:dyDescent="0.35">
      <c r="A19" s="34"/>
      <c r="B19" s="35">
        <v>44368</v>
      </c>
      <c r="C19" s="36">
        <v>3306</v>
      </c>
      <c r="D19" s="406" t="s">
        <v>355</v>
      </c>
      <c r="E19" s="404">
        <v>44368</v>
      </c>
      <c r="F19" s="37">
        <v>91166</v>
      </c>
      <c r="H19" s="405">
        <v>44368</v>
      </c>
      <c r="I19" s="49">
        <v>840</v>
      </c>
      <c r="J19" s="52"/>
      <c r="K19" s="414"/>
      <c r="L19" s="59"/>
      <c r="M19" s="41">
        <v>0</v>
      </c>
      <c r="N19" s="336">
        <v>3622</v>
      </c>
      <c r="O19" s="7"/>
      <c r="P19" s="47"/>
      <c r="Q19" s="349">
        <v>44368</v>
      </c>
      <c r="R19" s="350">
        <v>83398</v>
      </c>
      <c r="S19" s="99"/>
      <c r="T19" s="345" t="s">
        <v>563</v>
      </c>
      <c r="U19" s="299">
        <v>44376</v>
      </c>
      <c r="V19" s="346">
        <v>209600</v>
      </c>
      <c r="W19" s="338"/>
    </row>
    <row r="20" spans="1:23" ht="18" thickBot="1" x14ac:dyDescent="0.35">
      <c r="A20" s="34"/>
      <c r="B20" s="35">
        <v>44369</v>
      </c>
      <c r="C20" s="36">
        <v>2327</v>
      </c>
      <c r="D20" s="406" t="s">
        <v>45</v>
      </c>
      <c r="E20" s="404">
        <v>44369</v>
      </c>
      <c r="F20" s="37">
        <v>99473</v>
      </c>
      <c r="H20" s="405">
        <v>44369</v>
      </c>
      <c r="I20" s="49">
        <v>495</v>
      </c>
      <c r="J20" s="52"/>
      <c r="K20" s="415"/>
      <c r="L20" s="53"/>
      <c r="M20" s="337">
        <f>45+1710</f>
        <v>1755</v>
      </c>
      <c r="N20" s="336">
        <v>3669</v>
      </c>
      <c r="O20" s="7"/>
      <c r="P20" s="47"/>
      <c r="Q20" s="349">
        <v>44369</v>
      </c>
      <c r="R20" s="350">
        <v>91227</v>
      </c>
      <c r="S20" s="99"/>
      <c r="T20" s="345" t="s">
        <v>563</v>
      </c>
      <c r="U20" s="299">
        <v>44378</v>
      </c>
      <c r="V20" s="346">
        <v>75870</v>
      </c>
      <c r="W20" s="338"/>
    </row>
    <row r="21" spans="1:23" ht="18" thickBot="1" x14ac:dyDescent="0.35">
      <c r="A21" s="34"/>
      <c r="B21" s="35">
        <v>44370</v>
      </c>
      <c r="C21" s="36">
        <v>6965</v>
      </c>
      <c r="D21" s="406" t="s">
        <v>523</v>
      </c>
      <c r="E21" s="404">
        <v>44370</v>
      </c>
      <c r="F21" s="37">
        <v>103144</v>
      </c>
      <c r="H21" s="405">
        <v>44370</v>
      </c>
      <c r="I21" s="49">
        <v>2440</v>
      </c>
      <c r="J21" s="52"/>
      <c r="K21" s="416"/>
      <c r="L21" s="53"/>
      <c r="M21" s="337">
        <v>135</v>
      </c>
      <c r="N21" s="336">
        <v>6518</v>
      </c>
      <c r="O21" s="7"/>
      <c r="P21" s="47"/>
      <c r="Q21" s="349">
        <v>44370</v>
      </c>
      <c r="R21" s="350">
        <v>87086</v>
      </c>
      <c r="S21" s="99"/>
      <c r="T21" s="345"/>
      <c r="U21" s="299"/>
      <c r="V21" s="346">
        <v>0</v>
      </c>
      <c r="W21" s="338"/>
    </row>
    <row r="22" spans="1:23" ht="24" thickBot="1" x14ac:dyDescent="0.3">
      <c r="A22" s="34"/>
      <c r="B22" s="35">
        <v>44371</v>
      </c>
      <c r="C22" s="36">
        <v>1742</v>
      </c>
      <c r="D22" s="406" t="s">
        <v>524</v>
      </c>
      <c r="E22" s="404">
        <v>44371</v>
      </c>
      <c r="F22" s="37">
        <v>90937</v>
      </c>
      <c r="H22" s="405">
        <v>44371</v>
      </c>
      <c r="I22" s="49">
        <v>440</v>
      </c>
      <c r="J22" s="52"/>
      <c r="K22" s="60"/>
      <c r="L22" s="61"/>
      <c r="M22" s="41">
        <v>0</v>
      </c>
      <c r="N22" s="336">
        <v>8632</v>
      </c>
      <c r="O22" s="7"/>
      <c r="P22" s="47"/>
      <c r="Q22" s="349">
        <v>44371</v>
      </c>
      <c r="R22" s="350">
        <v>80123</v>
      </c>
      <c r="S22" s="99"/>
      <c r="T22" s="375"/>
      <c r="U22" s="376"/>
      <c r="V22" s="377">
        <v>0</v>
      </c>
      <c r="W22" s="341"/>
    </row>
    <row r="23" spans="1:23" ht="24" thickBot="1" x14ac:dyDescent="0.35">
      <c r="A23" s="34"/>
      <c r="B23" s="35">
        <v>44372</v>
      </c>
      <c r="C23" s="36">
        <v>11366</v>
      </c>
      <c r="D23" s="406" t="s">
        <v>519</v>
      </c>
      <c r="E23" s="404">
        <v>44372</v>
      </c>
      <c r="F23" s="37">
        <v>180311</v>
      </c>
      <c r="H23" s="405">
        <v>44372</v>
      </c>
      <c r="I23" s="49">
        <v>10550</v>
      </c>
      <c r="J23" s="293"/>
      <c r="K23" s="417"/>
      <c r="L23" s="53"/>
      <c r="M23" s="337">
        <v>152531</v>
      </c>
      <c r="N23" s="336">
        <v>5864</v>
      </c>
      <c r="O23" s="7"/>
      <c r="P23" s="47"/>
      <c r="Q23" s="349">
        <v>44372</v>
      </c>
      <c r="R23" s="350">
        <v>0</v>
      </c>
      <c r="S23" s="99"/>
      <c r="T23" s="604" t="s">
        <v>564</v>
      </c>
      <c r="U23" s="605"/>
      <c r="V23" s="339">
        <f>SUM(V6:V22)</f>
        <v>2323600</v>
      </c>
      <c r="W23" s="341"/>
    </row>
    <row r="24" spans="1:23" ht="16.5" thickBot="1" x14ac:dyDescent="0.3">
      <c r="A24" s="34"/>
      <c r="B24" s="35">
        <v>44373</v>
      </c>
      <c r="C24" s="36">
        <v>2308</v>
      </c>
      <c r="D24" s="406" t="s">
        <v>525</v>
      </c>
      <c r="E24" s="404">
        <v>44373</v>
      </c>
      <c r="F24" s="37">
        <v>145102</v>
      </c>
      <c r="H24" s="405">
        <v>44373</v>
      </c>
      <c r="I24" s="49">
        <f>550+175</f>
        <v>725</v>
      </c>
      <c r="J24" s="418">
        <v>44373</v>
      </c>
      <c r="K24" s="419" t="s">
        <v>526</v>
      </c>
      <c r="L24" s="296">
        <f>15022.3+400+4000</f>
        <v>19422.3</v>
      </c>
      <c r="M24" s="337">
        <v>127951</v>
      </c>
      <c r="N24" s="336">
        <v>3550</v>
      </c>
      <c r="O24" s="7"/>
      <c r="P24" s="275"/>
      <c r="Q24" s="349">
        <v>44373</v>
      </c>
      <c r="R24" s="350">
        <v>0</v>
      </c>
      <c r="S24" s="99"/>
      <c r="T24" s="47"/>
      <c r="U24" s="323"/>
      <c r="V24" s="99"/>
      <c r="W24" s="99"/>
    </row>
    <row r="25" spans="1:23" ht="16.5" thickBot="1" x14ac:dyDescent="0.3">
      <c r="A25" s="34"/>
      <c r="B25" s="35">
        <v>44374</v>
      </c>
      <c r="C25" s="36">
        <v>12678</v>
      </c>
      <c r="D25" s="406" t="s">
        <v>522</v>
      </c>
      <c r="E25" s="404">
        <v>44374</v>
      </c>
      <c r="F25" s="37">
        <v>159708</v>
      </c>
      <c r="H25" s="405">
        <v>44374</v>
      </c>
      <c r="I25" s="49">
        <v>550</v>
      </c>
      <c r="J25" s="297"/>
      <c r="K25" s="76"/>
      <c r="L25" s="75">
        <v>0</v>
      </c>
      <c r="M25" s="41">
        <v>0</v>
      </c>
      <c r="N25" s="336">
        <v>7873</v>
      </c>
      <c r="O25" s="7"/>
      <c r="P25" s="47"/>
      <c r="Q25" s="349">
        <v>44374</v>
      </c>
      <c r="R25" s="350">
        <v>138607</v>
      </c>
      <c r="S25" s="99"/>
      <c r="T25" s="606" t="s">
        <v>565</v>
      </c>
      <c r="U25" s="607"/>
      <c r="V25" s="610">
        <f>R29-V23</f>
        <v>163726</v>
      </c>
      <c r="W25" s="99"/>
    </row>
    <row r="26" spans="1:23" ht="16.5" thickBot="1" x14ac:dyDescent="0.3">
      <c r="A26" s="34"/>
      <c r="B26" s="35">
        <v>44375</v>
      </c>
      <c r="C26" s="36">
        <v>9300</v>
      </c>
      <c r="D26" s="406" t="s">
        <v>560</v>
      </c>
      <c r="E26" s="404">
        <v>44375</v>
      </c>
      <c r="F26" s="37">
        <v>121884</v>
      </c>
      <c r="H26" s="405">
        <v>44375</v>
      </c>
      <c r="I26" s="49">
        <v>440</v>
      </c>
      <c r="J26" s="52"/>
      <c r="K26" s="419"/>
      <c r="L26" s="53">
        <v>0</v>
      </c>
      <c r="M26" s="41">
        <v>0</v>
      </c>
      <c r="N26" s="336">
        <v>4664</v>
      </c>
      <c r="O26" s="7"/>
      <c r="P26" s="47"/>
      <c r="Q26" s="349">
        <v>44375</v>
      </c>
      <c r="R26" s="350">
        <v>107480</v>
      </c>
      <c r="S26" s="99"/>
      <c r="T26" s="608"/>
      <c r="U26" s="609"/>
      <c r="V26" s="611"/>
      <c r="W26" s="99"/>
    </row>
    <row r="27" spans="1:23" ht="16.5" thickBot="1" x14ac:dyDescent="0.3">
      <c r="A27" s="34"/>
      <c r="B27" s="35">
        <v>44376</v>
      </c>
      <c r="C27" s="36">
        <v>3467</v>
      </c>
      <c r="D27" s="408" t="s">
        <v>561</v>
      </c>
      <c r="E27" s="404">
        <v>44376</v>
      </c>
      <c r="F27" s="37">
        <v>88825</v>
      </c>
      <c r="H27" s="405">
        <v>44376</v>
      </c>
      <c r="I27" s="49">
        <v>576</v>
      </c>
      <c r="J27" s="298"/>
      <c r="K27" s="420"/>
      <c r="L27" s="75">
        <v>0</v>
      </c>
      <c r="M27" s="41">
        <v>0</v>
      </c>
      <c r="N27" s="371">
        <v>6888</v>
      </c>
      <c r="O27" s="7"/>
      <c r="P27" s="47"/>
      <c r="Q27" s="349">
        <v>44376</v>
      </c>
      <c r="R27" s="350">
        <v>77894</v>
      </c>
      <c r="S27" s="99"/>
      <c r="T27" s="99"/>
      <c r="U27" s="99"/>
      <c r="V27" s="99"/>
      <c r="W27" s="99"/>
    </row>
    <row r="28" spans="1:23" ht="16.5" thickBot="1" x14ac:dyDescent="0.3">
      <c r="A28" s="34"/>
      <c r="B28" s="35">
        <v>44377</v>
      </c>
      <c r="C28" s="36">
        <v>2020</v>
      </c>
      <c r="D28" s="408" t="s">
        <v>449</v>
      </c>
      <c r="E28" s="404">
        <v>44377</v>
      </c>
      <c r="F28" s="37">
        <v>151476</v>
      </c>
      <c r="H28" s="405">
        <v>44377</v>
      </c>
      <c r="I28" s="49">
        <v>1131</v>
      </c>
      <c r="J28" s="299">
        <v>44377</v>
      </c>
      <c r="K28" s="45" t="s">
        <v>12</v>
      </c>
      <c r="L28" s="75">
        <v>20000</v>
      </c>
      <c r="M28" s="319">
        <v>125407</v>
      </c>
      <c r="N28" s="372">
        <v>2918</v>
      </c>
      <c r="O28" s="7"/>
      <c r="P28" s="47"/>
      <c r="Q28" s="351">
        <v>44377</v>
      </c>
      <c r="R28" s="352">
        <v>0</v>
      </c>
      <c r="S28" s="99"/>
      <c r="T28" s="99"/>
      <c r="U28" s="99"/>
      <c r="V28" s="99"/>
      <c r="W28" s="99"/>
    </row>
    <row r="29" spans="1:23" ht="19.5" thickBot="1" x14ac:dyDescent="0.35">
      <c r="A29" s="34"/>
      <c r="B29" s="35"/>
      <c r="C29" s="36"/>
      <c r="D29" s="421"/>
      <c r="E29" s="404"/>
      <c r="F29" s="37"/>
      <c r="H29" s="405"/>
      <c r="I29" s="49"/>
      <c r="J29" s="300"/>
      <c r="K29" s="422"/>
      <c r="L29" s="75"/>
      <c r="M29" s="41">
        <v>0</v>
      </c>
      <c r="N29" s="333">
        <v>0</v>
      </c>
      <c r="O29" s="7"/>
      <c r="P29" s="29"/>
      <c r="Q29" s="600" t="s">
        <v>562</v>
      </c>
      <c r="R29" s="602">
        <f>SUM(R5:R28)</f>
        <v>2487326</v>
      </c>
      <c r="S29" s="340"/>
      <c r="T29" s="340"/>
      <c r="U29" s="340"/>
      <c r="V29" s="340"/>
      <c r="W29" s="340"/>
    </row>
    <row r="30" spans="1:23" ht="16.5" thickBot="1" x14ac:dyDescent="0.3">
      <c r="A30" s="34"/>
      <c r="B30" s="35"/>
      <c r="C30" s="36"/>
      <c r="D30" s="421"/>
      <c r="E30" s="404"/>
      <c r="F30" s="37"/>
      <c r="H30" s="405"/>
      <c r="I30" s="69"/>
      <c r="J30" s="233" t="s">
        <v>568</v>
      </c>
      <c r="K30" s="423" t="s">
        <v>573</v>
      </c>
      <c r="L30" s="357">
        <f>189+999</f>
        <v>1188</v>
      </c>
      <c r="M30" s="41">
        <v>0</v>
      </c>
      <c r="N30" s="333">
        <v>0</v>
      </c>
      <c r="O30" s="7"/>
      <c r="P30" s="373"/>
      <c r="Q30" s="601"/>
      <c r="R30" s="603"/>
      <c r="S30" s="99"/>
      <c r="T30" s="99"/>
      <c r="U30" s="99"/>
      <c r="V30" s="99"/>
      <c r="W30" s="99"/>
    </row>
    <row r="31" spans="1:23" ht="16.5" thickBot="1" x14ac:dyDescent="0.3">
      <c r="A31" s="34"/>
      <c r="B31" s="353">
        <v>44354</v>
      </c>
      <c r="C31" s="354">
        <v>12672.3</v>
      </c>
      <c r="D31" s="355" t="s">
        <v>341</v>
      </c>
      <c r="E31" s="404"/>
      <c r="F31" s="37"/>
      <c r="H31" s="405"/>
      <c r="I31" s="69"/>
      <c r="J31" s="233" t="s">
        <v>568</v>
      </c>
      <c r="K31" s="424" t="s">
        <v>211</v>
      </c>
      <c r="L31" s="66">
        <f>10260+10260+8805+9180</f>
        <v>38505</v>
      </c>
      <c r="M31" s="41">
        <v>0</v>
      </c>
      <c r="N31" s="333">
        <v>0</v>
      </c>
      <c r="O31" s="7"/>
      <c r="P31" s="47"/>
      <c r="Q31" s="323"/>
      <c r="R31" s="99"/>
      <c r="S31" s="99"/>
      <c r="T31" s="99"/>
      <c r="U31" s="99"/>
      <c r="V31" s="99"/>
      <c r="W31" s="99"/>
    </row>
    <row r="32" spans="1:23" ht="16.5" thickBot="1" x14ac:dyDescent="0.3">
      <c r="A32" s="34"/>
      <c r="B32" s="353">
        <v>44357</v>
      </c>
      <c r="C32" s="354">
        <v>13688.05</v>
      </c>
      <c r="D32" s="355" t="s">
        <v>341</v>
      </c>
      <c r="E32" s="404"/>
      <c r="F32" s="70"/>
      <c r="H32" s="405"/>
      <c r="I32" s="69"/>
      <c r="J32" s="233" t="s">
        <v>568</v>
      </c>
      <c r="K32" s="423" t="s">
        <v>574</v>
      </c>
      <c r="L32" s="357">
        <v>22100</v>
      </c>
      <c r="M32" s="41">
        <v>0</v>
      </c>
      <c r="N32" s="42">
        <v>0</v>
      </c>
      <c r="O32" s="7"/>
      <c r="S32" s="99"/>
      <c r="T32" s="99"/>
      <c r="U32" s="99"/>
      <c r="V32" s="99"/>
      <c r="W32" s="99"/>
    </row>
    <row r="33" spans="1:23" ht="16.5" thickBot="1" x14ac:dyDescent="0.3">
      <c r="A33" s="34"/>
      <c r="B33" s="353">
        <v>44364</v>
      </c>
      <c r="C33" s="354">
        <v>26233.7</v>
      </c>
      <c r="D33" s="355" t="s">
        <v>341</v>
      </c>
      <c r="E33" s="404"/>
      <c r="F33" s="71"/>
      <c r="H33" s="405"/>
      <c r="I33" s="69"/>
      <c r="J33" s="233" t="s">
        <v>568</v>
      </c>
      <c r="K33" s="424" t="s">
        <v>576</v>
      </c>
      <c r="L33" s="358">
        <v>41873</v>
      </c>
      <c r="M33" s="41">
        <v>0</v>
      </c>
      <c r="N33" s="42">
        <v>0</v>
      </c>
      <c r="O33" s="7"/>
      <c r="S33" s="99"/>
      <c r="T33" s="99"/>
      <c r="U33" s="99"/>
      <c r="V33" s="99"/>
      <c r="W33" s="99"/>
    </row>
    <row r="34" spans="1:23" ht="16.5" thickBot="1" x14ac:dyDescent="0.3">
      <c r="A34" s="34"/>
      <c r="B34" s="353">
        <v>44365</v>
      </c>
      <c r="C34" s="354">
        <v>12044.28</v>
      </c>
      <c r="D34" s="355" t="s">
        <v>341</v>
      </c>
      <c r="E34" s="404"/>
      <c r="F34" s="71"/>
      <c r="H34" s="405"/>
      <c r="I34" s="69"/>
      <c r="J34" s="233" t="s">
        <v>568</v>
      </c>
      <c r="K34" s="425" t="s">
        <v>598</v>
      </c>
      <c r="L34" s="360">
        <v>9014.9699999999993</v>
      </c>
      <c r="M34" s="41">
        <v>0</v>
      </c>
      <c r="N34" s="42">
        <v>0</v>
      </c>
      <c r="O34" s="7"/>
      <c r="S34" s="99"/>
      <c r="T34" s="99"/>
      <c r="U34" s="99"/>
      <c r="V34" s="99"/>
      <c r="W34" s="99"/>
    </row>
    <row r="35" spans="1:23" ht="16.5" thickBot="1" x14ac:dyDescent="0.3">
      <c r="A35" s="34"/>
      <c r="B35" s="353">
        <v>44369</v>
      </c>
      <c r="C35" s="354">
        <v>13774.08</v>
      </c>
      <c r="D35" s="355" t="s">
        <v>341</v>
      </c>
      <c r="E35" s="404"/>
      <c r="F35" s="71"/>
      <c r="H35" s="405"/>
      <c r="I35" s="69"/>
      <c r="J35" s="233" t="s">
        <v>568</v>
      </c>
      <c r="K35" s="424" t="s">
        <v>599</v>
      </c>
      <c r="L35" s="358">
        <v>1332</v>
      </c>
      <c r="M35" s="41">
        <v>0</v>
      </c>
      <c r="N35" s="42">
        <v>0</v>
      </c>
      <c r="O35" s="7"/>
      <c r="S35" s="99"/>
      <c r="T35" s="99"/>
      <c r="U35" s="99"/>
      <c r="V35" s="99"/>
      <c r="W35" s="99"/>
    </row>
    <row r="36" spans="1:23" ht="16.5" thickBot="1" x14ac:dyDescent="0.3">
      <c r="A36" s="34"/>
      <c r="B36" s="353">
        <v>44371</v>
      </c>
      <c r="C36" s="354">
        <v>23467.78</v>
      </c>
      <c r="D36" s="355" t="s">
        <v>341</v>
      </c>
      <c r="E36" s="426"/>
      <c r="F36" s="71"/>
      <c r="H36" s="405"/>
      <c r="I36" s="69"/>
      <c r="J36" s="233" t="s">
        <v>568</v>
      </c>
      <c r="K36" s="425" t="s">
        <v>136</v>
      </c>
      <c r="L36" s="360">
        <v>986</v>
      </c>
      <c r="M36" s="77"/>
      <c r="N36" s="42">
        <v>0</v>
      </c>
      <c r="O36" s="7"/>
      <c r="S36" s="99"/>
      <c r="T36" s="99"/>
      <c r="U36" s="99"/>
      <c r="V36" s="99"/>
      <c r="W36" s="99"/>
    </row>
    <row r="37" spans="1:23" ht="18" thickBot="1" x14ac:dyDescent="0.35">
      <c r="A37" s="34"/>
      <c r="B37" s="353">
        <v>44373</v>
      </c>
      <c r="C37" s="354">
        <v>13683.4</v>
      </c>
      <c r="D37" s="355" t="s">
        <v>341</v>
      </c>
      <c r="E37" s="404"/>
      <c r="F37" s="265" t="s">
        <v>11</v>
      </c>
      <c r="H37" s="405"/>
      <c r="I37" s="69"/>
      <c r="J37" s="233" t="s">
        <v>568</v>
      </c>
      <c r="K37" s="362" t="s">
        <v>577</v>
      </c>
      <c r="L37" s="363">
        <v>55555.55</v>
      </c>
      <c r="M37" s="77"/>
      <c r="N37" s="42">
        <v>0</v>
      </c>
      <c r="O37" s="7"/>
      <c r="S37" s="338"/>
      <c r="T37" s="338"/>
      <c r="U37" s="338"/>
      <c r="V37" s="338"/>
      <c r="W37" s="338"/>
    </row>
    <row r="38" spans="1:23" ht="18" thickBot="1" x14ac:dyDescent="0.35">
      <c r="A38" s="34"/>
      <c r="B38" s="353">
        <v>44376</v>
      </c>
      <c r="C38" s="354">
        <v>22166.63</v>
      </c>
      <c r="D38" s="355" t="s">
        <v>341</v>
      </c>
      <c r="E38" s="404"/>
      <c r="F38" s="265"/>
      <c r="H38" s="405"/>
      <c r="I38" s="69"/>
      <c r="J38" s="233" t="s">
        <v>568</v>
      </c>
      <c r="K38" s="362" t="s">
        <v>578</v>
      </c>
      <c r="L38" s="363">
        <v>14335.75</v>
      </c>
      <c r="M38" s="77"/>
      <c r="N38" s="42">
        <v>0</v>
      </c>
      <c r="O38" s="7"/>
      <c r="S38" s="338"/>
      <c r="T38" s="338"/>
      <c r="U38" s="338"/>
      <c r="V38" s="338"/>
      <c r="W38" s="338"/>
    </row>
    <row r="39" spans="1:23" ht="18" thickBot="1" x14ac:dyDescent="0.35">
      <c r="A39" s="34"/>
      <c r="B39" s="427">
        <v>44361</v>
      </c>
      <c r="C39" s="71">
        <v>11400</v>
      </c>
      <c r="D39" s="428" t="s">
        <v>575</v>
      </c>
      <c r="E39" s="404"/>
      <c r="F39" s="429"/>
      <c r="H39" s="405"/>
      <c r="I39" s="69"/>
      <c r="J39" s="233" t="s">
        <v>568</v>
      </c>
      <c r="K39" s="430" t="s">
        <v>579</v>
      </c>
      <c r="L39" s="358">
        <v>1976.64</v>
      </c>
      <c r="M39" s="77"/>
      <c r="N39" s="42">
        <v>0</v>
      </c>
      <c r="O39" s="7"/>
      <c r="S39" s="338"/>
      <c r="T39" s="338"/>
      <c r="U39" s="338"/>
      <c r="V39" s="338"/>
      <c r="W39" s="338"/>
    </row>
    <row r="40" spans="1:23" ht="18" thickBot="1" x14ac:dyDescent="0.35">
      <c r="A40" s="34"/>
      <c r="B40" s="427"/>
      <c r="C40" s="71"/>
      <c r="D40" s="428"/>
      <c r="E40" s="404"/>
      <c r="F40" s="429"/>
      <c r="H40" s="405"/>
      <c r="I40" s="69"/>
      <c r="J40" s="233" t="s">
        <v>568</v>
      </c>
      <c r="K40" s="424" t="s">
        <v>580</v>
      </c>
      <c r="L40" s="358">
        <f>399+399</f>
        <v>798</v>
      </c>
      <c r="M40" s="77"/>
      <c r="N40" s="42">
        <v>0</v>
      </c>
      <c r="O40" s="7"/>
      <c r="S40" s="338"/>
      <c r="T40" s="338"/>
      <c r="U40" s="338"/>
      <c r="V40" s="338"/>
      <c r="W40" s="338"/>
    </row>
    <row r="41" spans="1:23" ht="18" thickBot="1" x14ac:dyDescent="0.35">
      <c r="A41" s="34"/>
      <c r="B41" s="427"/>
      <c r="C41" s="431"/>
      <c r="D41" s="432"/>
      <c r="E41" s="404"/>
      <c r="F41" s="433"/>
      <c r="H41" s="405"/>
      <c r="I41" s="69"/>
      <c r="J41" s="233" t="s">
        <v>568</v>
      </c>
      <c r="K41" s="424" t="s">
        <v>581</v>
      </c>
      <c r="L41" s="358">
        <v>1032.4000000000001</v>
      </c>
      <c r="M41" s="77"/>
      <c r="N41" s="42">
        <v>0</v>
      </c>
      <c r="O41" s="7"/>
      <c r="S41" s="338"/>
      <c r="T41" s="338"/>
      <c r="U41" s="338"/>
      <c r="V41" s="338"/>
      <c r="W41" s="338"/>
    </row>
    <row r="42" spans="1:23" ht="18" thickBot="1" x14ac:dyDescent="0.35">
      <c r="A42" s="34"/>
      <c r="B42" s="427"/>
      <c r="C42" s="71"/>
      <c r="D42" s="432"/>
      <c r="E42" s="404"/>
      <c r="F42" s="434"/>
      <c r="H42" s="405"/>
      <c r="I42" s="69"/>
      <c r="J42" s="233" t="s">
        <v>568</v>
      </c>
      <c r="K42" s="424" t="s">
        <v>582</v>
      </c>
      <c r="L42" s="358">
        <f>398.99+422.1+498.99+398.99</f>
        <v>1719.07</v>
      </c>
      <c r="M42" s="77"/>
      <c r="N42" s="42">
        <v>0</v>
      </c>
      <c r="O42" s="7"/>
      <c r="S42" s="338"/>
      <c r="T42" s="338"/>
      <c r="U42" s="338"/>
      <c r="V42" s="338"/>
      <c r="W42" s="338"/>
    </row>
    <row r="43" spans="1:23" ht="18" thickBot="1" x14ac:dyDescent="0.35">
      <c r="A43" s="34"/>
      <c r="B43" s="427"/>
      <c r="C43" s="71"/>
      <c r="D43" s="432"/>
      <c r="E43" s="404"/>
      <c r="F43" s="434"/>
      <c r="H43" s="405"/>
      <c r="I43" s="69"/>
      <c r="J43" s="233" t="s">
        <v>568</v>
      </c>
      <c r="K43" s="424" t="s">
        <v>132</v>
      </c>
      <c r="L43" s="358">
        <f>1394.81+986.84</f>
        <v>2381.65</v>
      </c>
      <c r="M43" s="77"/>
      <c r="N43" s="42">
        <v>0</v>
      </c>
      <c r="O43" s="7"/>
      <c r="S43" s="338"/>
      <c r="T43" s="338"/>
      <c r="U43" s="338"/>
      <c r="V43" s="338"/>
      <c r="W43" s="338"/>
    </row>
    <row r="44" spans="1:23" ht="18" thickBot="1" x14ac:dyDescent="0.35">
      <c r="A44" s="34"/>
      <c r="B44" s="427"/>
      <c r="C44" s="71"/>
      <c r="D44" s="432"/>
      <c r="E44" s="404"/>
      <c r="F44" s="45"/>
      <c r="H44" s="405"/>
      <c r="I44" s="69"/>
      <c r="J44" s="233" t="s">
        <v>568</v>
      </c>
      <c r="K44" s="435" t="s">
        <v>600</v>
      </c>
      <c r="L44" s="358">
        <v>1237.3399999999999</v>
      </c>
      <c r="M44" s="77">
        <v>0</v>
      </c>
      <c r="N44" s="42">
        <v>0</v>
      </c>
      <c r="O44" s="7"/>
      <c r="S44" s="338"/>
      <c r="T44" s="338"/>
      <c r="U44" s="338"/>
      <c r="V44" s="338"/>
      <c r="W44" s="338"/>
    </row>
    <row r="45" spans="1:23" ht="18" thickBot="1" x14ac:dyDescent="0.35">
      <c r="A45" s="34"/>
      <c r="B45" s="427"/>
      <c r="C45" s="71"/>
      <c r="D45" s="432"/>
      <c r="E45" s="404"/>
      <c r="F45" s="45"/>
      <c r="H45" s="405"/>
      <c r="I45" s="69"/>
      <c r="J45" s="233" t="s">
        <v>568</v>
      </c>
      <c r="K45" s="435" t="s">
        <v>583</v>
      </c>
      <c r="L45" s="358">
        <v>4096.47</v>
      </c>
      <c r="M45" s="77"/>
      <c r="N45" s="42">
        <v>0</v>
      </c>
      <c r="O45" s="7"/>
      <c r="S45" s="338"/>
      <c r="T45" s="338"/>
      <c r="U45" s="338"/>
      <c r="V45" s="338"/>
      <c r="W45" s="338"/>
    </row>
    <row r="46" spans="1:23" ht="18" thickBot="1" x14ac:dyDescent="0.35">
      <c r="A46" s="34"/>
      <c r="B46" s="436"/>
      <c r="C46" s="316"/>
      <c r="D46" s="437"/>
      <c r="E46" s="404"/>
      <c r="F46" s="45"/>
      <c r="H46" s="405"/>
      <c r="I46" s="69"/>
      <c r="J46" s="233"/>
      <c r="K46" s="438"/>
      <c r="L46" s="66"/>
      <c r="M46" s="77">
        <v>0</v>
      </c>
      <c r="N46" s="333">
        <v>0</v>
      </c>
      <c r="O46" s="7"/>
      <c r="S46" s="338"/>
      <c r="T46" s="338"/>
      <c r="U46" s="338"/>
      <c r="V46" s="338"/>
      <c r="W46" s="338"/>
    </row>
    <row r="47" spans="1:23" ht="16.5" thickBot="1" x14ac:dyDescent="0.3">
      <c r="A47" s="34"/>
      <c r="B47" s="35"/>
      <c r="C47" s="36">
        <v>0</v>
      </c>
      <c r="D47" s="82"/>
      <c r="E47" s="78"/>
      <c r="F47" s="79"/>
      <c r="H47" s="73"/>
      <c r="I47" s="80"/>
      <c r="J47" s="67"/>
      <c r="K47" s="83"/>
      <c r="L47" s="6"/>
      <c r="M47" s="41">
        <v>0</v>
      </c>
      <c r="N47" s="42">
        <v>0</v>
      </c>
      <c r="O47" s="7"/>
      <c r="P47" s="47"/>
      <c r="Q47" s="29"/>
      <c r="R47" s="99"/>
      <c r="S47" s="99"/>
      <c r="T47" s="99"/>
      <c r="U47" s="99"/>
      <c r="V47" s="99"/>
      <c r="W47" s="99"/>
    </row>
    <row r="48" spans="1:23" ht="16.5" thickBot="1" x14ac:dyDescent="0.3">
      <c r="B48" s="85" t="s">
        <v>13</v>
      </c>
      <c r="C48" s="86">
        <f>SUM(C5:C47)</f>
        <v>323493.21999999997</v>
      </c>
      <c r="D48" s="87"/>
      <c r="E48" s="88" t="s">
        <v>13</v>
      </c>
      <c r="F48" s="89">
        <f>SUM(F5:F47)</f>
        <v>3365425</v>
      </c>
      <c r="G48" s="87"/>
      <c r="H48" s="90" t="s">
        <v>14</v>
      </c>
      <c r="I48" s="91">
        <f>SUM(I5:I47)</f>
        <v>53960</v>
      </c>
      <c r="J48" s="92"/>
      <c r="K48" s="93" t="s">
        <v>15</v>
      </c>
      <c r="L48" s="94">
        <f>SUM(L5:L47)</f>
        <v>285870.06000000006</v>
      </c>
      <c r="M48" s="95">
        <f>SUM(M5:M47)</f>
        <v>436536</v>
      </c>
      <c r="N48" s="95">
        <f>SUM(N5:N47)</f>
        <v>175994</v>
      </c>
      <c r="O48" s="366"/>
      <c r="P48" s="96"/>
    </row>
    <row r="49" spans="1:23" ht="17.25" thickTop="1" thickBot="1" x14ac:dyDescent="0.3">
      <c r="C49" s="8" t="s">
        <v>11</v>
      </c>
      <c r="P49" s="96"/>
    </row>
    <row r="50" spans="1:23" ht="19.5" thickBot="1" x14ac:dyDescent="0.3">
      <c r="A50" s="60"/>
      <c r="B50" s="100"/>
      <c r="C50" s="4"/>
      <c r="H50" s="548" t="s">
        <v>16</v>
      </c>
      <c r="I50" s="549"/>
      <c r="J50" s="101"/>
      <c r="K50" s="550">
        <f>I48+L48</f>
        <v>339830.06000000006</v>
      </c>
      <c r="L50" s="551"/>
      <c r="M50" s="552">
        <f>M48+N48</f>
        <v>612530</v>
      </c>
      <c r="N50" s="553"/>
      <c r="O50" s="367"/>
      <c r="P50" s="102"/>
      <c r="Q50" s="320"/>
      <c r="R50" s="327"/>
      <c r="S50" s="327"/>
      <c r="T50" s="327"/>
      <c r="U50" s="327"/>
      <c r="V50" s="327"/>
      <c r="W50" s="327"/>
    </row>
    <row r="51" spans="1:23" x14ac:dyDescent="0.25">
      <c r="D51" s="560" t="s">
        <v>17</v>
      </c>
      <c r="E51" s="560"/>
      <c r="F51" s="103">
        <f>F48-K50-C48</f>
        <v>2702101.7199999997</v>
      </c>
      <c r="I51" s="104"/>
      <c r="J51" s="105"/>
    </row>
    <row r="52" spans="1:23" ht="18.75" x14ac:dyDescent="0.3">
      <c r="D52" s="563" t="s">
        <v>502</v>
      </c>
      <c r="E52" s="563"/>
      <c r="F52" s="95">
        <v>-2720820.95</v>
      </c>
      <c r="I52" s="564" t="s">
        <v>19</v>
      </c>
      <c r="J52" s="565"/>
      <c r="K52" s="566">
        <f>F54+F55+F56</f>
        <v>381077.72999999952</v>
      </c>
      <c r="L52" s="567"/>
    </row>
    <row r="53" spans="1:23" ht="19.5" thickBot="1" x14ac:dyDescent="0.35">
      <c r="D53" s="108"/>
      <c r="E53" s="60"/>
      <c r="F53" s="109">
        <v>0</v>
      </c>
      <c r="I53" s="110"/>
      <c r="J53" s="111"/>
      <c r="K53" s="112"/>
      <c r="L53" s="113"/>
    </row>
    <row r="54" spans="1:23" ht="19.5" thickTop="1" x14ac:dyDescent="0.3">
      <c r="C54" s="9" t="s">
        <v>11</v>
      </c>
      <c r="E54" s="60" t="s">
        <v>20</v>
      </c>
      <c r="F54" s="95">
        <f>SUM(F51:F53)</f>
        <v>-18719.230000000447</v>
      </c>
      <c r="H54" s="34"/>
      <c r="I54" s="114" t="s">
        <v>21</v>
      </c>
      <c r="J54" s="115"/>
      <c r="K54" s="568">
        <f>-C4</f>
        <v>-255764.39</v>
      </c>
      <c r="L54" s="569"/>
      <c r="M54" s="116"/>
    </row>
    <row r="55" spans="1:23" ht="16.5" thickBot="1" x14ac:dyDescent="0.3">
      <c r="D55" s="117" t="s">
        <v>22</v>
      </c>
      <c r="E55" s="60" t="s">
        <v>23</v>
      </c>
      <c r="F55" s="118">
        <v>91154.240000000005</v>
      </c>
    </row>
    <row r="56" spans="1:23" ht="20.25" thickTop="1" thickBot="1" x14ac:dyDescent="0.35">
      <c r="C56" s="119">
        <v>44377</v>
      </c>
      <c r="D56" s="554" t="s">
        <v>24</v>
      </c>
      <c r="E56" s="555"/>
      <c r="F56" s="120">
        <v>308642.71999999997</v>
      </c>
      <c r="I56" s="556" t="s">
        <v>25</v>
      </c>
      <c r="J56" s="557"/>
      <c r="K56" s="558">
        <f>K52+K54</f>
        <v>125313.3399999995</v>
      </c>
      <c r="L56" s="559"/>
    </row>
    <row r="57" spans="1:23" ht="18.75" x14ac:dyDescent="0.3">
      <c r="C57" s="122"/>
      <c r="D57" s="123"/>
      <c r="E57" s="57"/>
      <c r="F57" s="124"/>
      <c r="J57" s="125"/>
      <c r="M57" s="126"/>
    </row>
    <row r="59" spans="1:23" x14ac:dyDescent="0.25">
      <c r="B59" s="127"/>
      <c r="C59" s="128"/>
      <c r="D59" s="129"/>
      <c r="E59" s="7"/>
      <c r="M59" s="2"/>
      <c r="N59" s="60"/>
      <c r="O59" s="60"/>
    </row>
    <row r="60" spans="1:23" x14ac:dyDescent="0.25">
      <c r="B60" s="127"/>
      <c r="C60" s="130"/>
      <c r="E60" s="7"/>
      <c r="M60" s="2"/>
      <c r="N60" s="60"/>
      <c r="O60" s="60"/>
      <c r="P60" s="131"/>
      <c r="Q60" s="131"/>
      <c r="R60" s="209"/>
      <c r="S60" s="209"/>
      <c r="T60" s="209"/>
      <c r="U60" s="209"/>
      <c r="V60" s="209"/>
      <c r="W60" s="209"/>
    </row>
    <row r="61" spans="1:23" x14ac:dyDescent="0.25">
      <c r="B61" s="127"/>
      <c r="C61" s="130"/>
      <c r="E61" s="7"/>
      <c r="F61" s="132"/>
      <c r="L61" s="133"/>
      <c r="M61" s="4"/>
      <c r="P61" s="131"/>
      <c r="Q61" s="131"/>
      <c r="R61" s="209"/>
      <c r="S61" s="209"/>
      <c r="T61" s="209"/>
      <c r="U61" s="209"/>
      <c r="V61" s="209"/>
      <c r="W61" s="209"/>
    </row>
    <row r="62" spans="1:23" ht="21" x14ac:dyDescent="0.25">
      <c r="B62" s="127"/>
      <c r="C62" s="130"/>
      <c r="E62" s="7"/>
      <c r="M62" s="4"/>
      <c r="R62" s="585"/>
      <c r="S62" s="379"/>
      <c r="T62" s="379"/>
      <c r="U62" s="379"/>
      <c r="V62" s="379"/>
      <c r="W62" s="379"/>
    </row>
    <row r="63" spans="1:23" ht="21" x14ac:dyDescent="0.25">
      <c r="B63" s="127"/>
      <c r="C63" s="130"/>
      <c r="E63" s="7"/>
      <c r="F63" s="273"/>
      <c r="M63" s="4"/>
      <c r="R63" s="585"/>
      <c r="S63" s="379"/>
      <c r="T63" s="379"/>
      <c r="U63" s="379"/>
      <c r="V63" s="379"/>
      <c r="W63" s="379"/>
    </row>
    <row r="64" spans="1:23" x14ac:dyDescent="0.25">
      <c r="E64" s="439"/>
      <c r="F64" s="7"/>
      <c r="M64" s="4"/>
    </row>
    <row r="65" spans="5:13" x14ac:dyDescent="0.25">
      <c r="E65" s="439"/>
      <c r="F65" s="7"/>
      <c r="M65" s="4"/>
    </row>
    <row r="66" spans="5:13" x14ac:dyDescent="0.25">
      <c r="E66" s="439"/>
      <c r="F66" s="7"/>
      <c r="M66" s="4"/>
    </row>
    <row r="67" spans="5:13" x14ac:dyDescent="0.25">
      <c r="E67" s="439"/>
      <c r="F67" s="7"/>
      <c r="M67" s="4"/>
    </row>
    <row r="68" spans="5:13" x14ac:dyDescent="0.25">
      <c r="E68" s="439"/>
      <c r="F68" s="7"/>
      <c r="M68" s="4"/>
    </row>
    <row r="69" spans="5:13" x14ac:dyDescent="0.25">
      <c r="E69" s="439"/>
      <c r="F69" s="7"/>
      <c r="M69" s="4"/>
    </row>
    <row r="70" spans="5:13" x14ac:dyDescent="0.25">
      <c r="E70" s="439"/>
      <c r="F70" s="7"/>
      <c r="M70" s="4"/>
    </row>
    <row r="71" spans="5:13" x14ac:dyDescent="0.25">
      <c r="E71" s="439"/>
      <c r="F71" s="7"/>
      <c r="M71" s="4"/>
    </row>
    <row r="72" spans="5:13" x14ac:dyDescent="0.25">
      <c r="E72" s="439"/>
      <c r="F72" s="7"/>
      <c r="M72" s="4"/>
    </row>
    <row r="73" spans="5:13" x14ac:dyDescent="0.25">
      <c r="E73" s="439"/>
      <c r="F73" s="7"/>
      <c r="M73" s="4"/>
    </row>
    <row r="74" spans="5:13" x14ac:dyDescent="0.25">
      <c r="E74" s="439"/>
      <c r="F74" s="7"/>
      <c r="M74" s="4"/>
    </row>
    <row r="75" spans="5:13" x14ac:dyDescent="0.25">
      <c r="E75" s="439"/>
      <c r="F75" s="7"/>
    </row>
    <row r="76" spans="5:13" x14ac:dyDescent="0.25">
      <c r="F76" s="273"/>
    </row>
    <row r="77" spans="5:13" x14ac:dyDescent="0.25">
      <c r="F77" s="273"/>
    </row>
    <row r="78" spans="5:13" x14ac:dyDescent="0.25">
      <c r="F78" s="273"/>
    </row>
  </sheetData>
  <mergeCells count="26">
    <mergeCell ref="R62:R63"/>
    <mergeCell ref="D51:E51"/>
    <mergeCell ref="D52:E52"/>
    <mergeCell ref="I52:J52"/>
    <mergeCell ref="K52:L52"/>
    <mergeCell ref="K54:L54"/>
    <mergeCell ref="D56:E56"/>
    <mergeCell ref="I56:J56"/>
    <mergeCell ref="K56:L56"/>
    <mergeCell ref="T23:U23"/>
    <mergeCell ref="T25:U26"/>
    <mergeCell ref="V25:V26"/>
    <mergeCell ref="Q29:Q30"/>
    <mergeCell ref="R29:R30"/>
    <mergeCell ref="H50:I50"/>
    <mergeCell ref="K50:L50"/>
    <mergeCell ref="M50:N50"/>
    <mergeCell ref="B1:B2"/>
    <mergeCell ref="C1:K1"/>
    <mergeCell ref="Q2:V3"/>
    <mergeCell ref="B3:C3"/>
    <mergeCell ref="H3:I3"/>
    <mergeCell ref="E4:F4"/>
    <mergeCell ref="H4:I4"/>
    <mergeCell ref="Q4:R4"/>
    <mergeCell ref="T4:V4"/>
  </mergeCells>
  <pageMargins left="0.7" right="0.7" top="0.75" bottom="0.75" header="0.3" footer="0.3"/>
  <drawing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AG97"/>
  <sheetViews>
    <sheetView zoomScaleNormal="100" workbookViewId="0">
      <pane xSplit="5" ySplit="4" topLeftCell="F62" activePane="bottomRight" state="frozen"/>
      <selection pane="topRight" activeCell="F1" sqref="F1"/>
      <selection pane="bottomLeft" activeCell="A5" sqref="A5"/>
      <selection pane="bottomRight" activeCell="C75" sqref="C75"/>
    </sheetView>
  </sheetViews>
  <sheetFormatPr baseColWidth="10" defaultRowHeight="15.75" x14ac:dyDescent="0.25"/>
  <cols>
    <col min="1" max="1" width="2.5703125" customWidth="1"/>
    <col min="2" max="2" width="12.42578125" style="1" customWidth="1"/>
    <col min="3" max="3" width="16.42578125" style="9" customWidth="1"/>
    <col min="4" max="4" width="15.28515625" customWidth="1"/>
    <col min="6" max="6" width="17.85546875" style="9" customWidth="1"/>
    <col min="7" max="7" width="2.85546875" customWidth="1"/>
    <col min="9" max="9" width="14.140625" style="9" customWidth="1"/>
    <col min="10" max="10" width="11.7109375" style="443" customWidth="1"/>
    <col min="11" max="11" width="14.42578125" customWidth="1"/>
    <col min="12" max="12" width="14.5703125" style="8" customWidth="1"/>
    <col min="13" max="13" width="18.140625" style="9" customWidth="1"/>
    <col min="14" max="14" width="16.140625" style="4" customWidth="1"/>
    <col min="15" max="15" width="11.42578125" style="6" customWidth="1"/>
    <col min="16" max="16" width="20" style="6" customWidth="1"/>
    <col min="17" max="17" width="15.85546875" style="6" customWidth="1"/>
    <col min="18" max="18" width="15.5703125" style="6" bestFit="1" customWidth="1"/>
    <col min="19" max="19" width="18.7109375" style="6" customWidth="1"/>
    <col min="20" max="20" width="11.5703125" style="6" bestFit="1" customWidth="1"/>
    <col min="21" max="21" width="15.5703125" style="7" bestFit="1" customWidth="1"/>
    <col min="23" max="24" width="11.42578125" style="204"/>
    <col min="25" max="25" width="11.42578125" style="8"/>
    <col min="28" max="28" width="15" style="13" customWidth="1"/>
    <col min="29" max="29" width="22.7109375" style="321" customWidth="1"/>
    <col min="30" max="30" width="6.28515625" style="321" customWidth="1"/>
    <col min="31" max="31" width="11.140625" style="321" customWidth="1"/>
    <col min="32" max="32" width="12.85546875" style="321" customWidth="1"/>
    <col min="33" max="33" width="22.7109375" style="321" customWidth="1"/>
  </cols>
  <sheetData>
    <row r="1" spans="1:33" ht="20.25" customHeight="1" thickBot="1" x14ac:dyDescent="0.4">
      <c r="B1" s="583" t="s">
        <v>529</v>
      </c>
      <c r="C1" s="540" t="s">
        <v>720</v>
      </c>
      <c r="D1" s="540"/>
      <c r="E1" s="540"/>
      <c r="F1" s="540"/>
      <c r="G1" s="540"/>
      <c r="H1" s="540"/>
      <c r="I1" s="540"/>
      <c r="J1" s="540"/>
      <c r="K1" s="540"/>
      <c r="L1" s="2"/>
      <c r="M1" s="3"/>
      <c r="W1" s="209"/>
      <c r="X1" s="205" t="s">
        <v>52</v>
      </c>
      <c r="Y1" s="206"/>
    </row>
    <row r="2" spans="1:33" ht="15" customHeight="1" thickBot="1" x14ac:dyDescent="0.3">
      <c r="B2" s="584"/>
      <c r="C2" s="8"/>
      <c r="H2" s="10" t="s">
        <v>0</v>
      </c>
      <c r="I2" s="3"/>
      <c r="J2" s="442"/>
      <c r="L2" s="12"/>
      <c r="M2" s="3"/>
      <c r="N2" s="6"/>
      <c r="W2" s="214" t="s">
        <v>53</v>
      </c>
      <c r="X2" s="215" t="s">
        <v>5</v>
      </c>
      <c r="Y2" s="216" t="s">
        <v>28</v>
      </c>
      <c r="AB2" s="596" t="s">
        <v>596</v>
      </c>
      <c r="AC2" s="596"/>
      <c r="AD2" s="596"/>
      <c r="AE2" s="596"/>
      <c r="AF2" s="596"/>
      <c r="AG2" s="596"/>
    </row>
    <row r="3" spans="1:33" ht="18" customHeight="1" thickBot="1" x14ac:dyDescent="0.35">
      <c r="B3" s="541" t="s">
        <v>1</v>
      </c>
      <c r="C3" s="542"/>
      <c r="D3" s="14"/>
      <c r="E3" s="15"/>
      <c r="F3" s="15"/>
      <c r="H3" s="543" t="s">
        <v>2</v>
      </c>
      <c r="I3" s="543"/>
      <c r="K3" s="17" t="s">
        <v>3</v>
      </c>
      <c r="L3" s="17" t="s">
        <v>4</v>
      </c>
      <c r="M3" s="18"/>
      <c r="P3" s="634" t="s">
        <v>663</v>
      </c>
      <c r="Q3" s="636" t="s">
        <v>665</v>
      </c>
      <c r="S3" s="637"/>
      <c r="W3" s="213" t="s">
        <v>54</v>
      </c>
      <c r="X3" s="219">
        <v>44201</v>
      </c>
      <c r="Y3" s="198">
        <v>2000</v>
      </c>
      <c r="AB3" s="596"/>
      <c r="AC3" s="596"/>
      <c r="AD3" s="596"/>
      <c r="AE3" s="596"/>
      <c r="AF3" s="596"/>
      <c r="AG3" s="596"/>
    </row>
    <row r="4" spans="1:33" ht="20.25" thickTop="1" thickBot="1" x14ac:dyDescent="0.35">
      <c r="A4" s="20" t="s">
        <v>6</v>
      </c>
      <c r="B4" s="21"/>
      <c r="C4" s="22">
        <v>308642.71999999997</v>
      </c>
      <c r="D4" s="23">
        <v>44377</v>
      </c>
      <c r="E4" s="544" t="s">
        <v>7</v>
      </c>
      <c r="F4" s="545"/>
      <c r="H4" s="635" t="s">
        <v>8</v>
      </c>
      <c r="I4" s="547"/>
      <c r="J4" s="24"/>
      <c r="K4" s="25"/>
      <c r="L4" s="26"/>
      <c r="M4" s="27" t="s">
        <v>716</v>
      </c>
      <c r="N4" s="28" t="s">
        <v>10</v>
      </c>
      <c r="O4" s="365"/>
      <c r="P4" s="634"/>
      <c r="Q4" s="636"/>
      <c r="R4" s="30"/>
      <c r="S4" s="637"/>
      <c r="T4" s="30"/>
      <c r="U4" s="30"/>
      <c r="W4" s="213" t="s">
        <v>55</v>
      </c>
      <c r="X4" s="219">
        <v>44209</v>
      </c>
      <c r="Y4" s="217">
        <v>2000</v>
      </c>
      <c r="AB4" s="597" t="s">
        <v>527</v>
      </c>
      <c r="AC4" s="598"/>
      <c r="AD4" s="99"/>
      <c r="AE4" s="599" t="s">
        <v>567</v>
      </c>
      <c r="AF4" s="599"/>
      <c r="AG4" s="599"/>
    </row>
    <row r="5" spans="1:33" ht="18" thickBot="1" x14ac:dyDescent="0.35">
      <c r="A5" s="34" t="s">
        <v>11</v>
      </c>
      <c r="B5" s="134">
        <v>44378</v>
      </c>
      <c r="C5" s="36">
        <v>4932.5</v>
      </c>
      <c r="D5" s="135" t="s">
        <v>167</v>
      </c>
      <c r="E5" s="136">
        <v>44378</v>
      </c>
      <c r="F5" s="37">
        <v>142964</v>
      </c>
      <c r="G5" s="137"/>
      <c r="H5" s="441">
        <v>44378</v>
      </c>
      <c r="I5" s="38">
        <v>550</v>
      </c>
      <c r="J5" s="442">
        <v>44378</v>
      </c>
      <c r="K5" s="157" t="s">
        <v>496</v>
      </c>
      <c r="L5" s="6">
        <v>549</v>
      </c>
      <c r="M5" s="444">
        <v>126476.5</v>
      </c>
      <c r="N5" s="334">
        <v>10456</v>
      </c>
      <c r="O5" s="318"/>
      <c r="P5" s="398"/>
      <c r="Q5" s="446"/>
      <c r="R5" s="7">
        <f>C5+I5+M5+N5+L5</f>
        <v>142964</v>
      </c>
      <c r="S5" s="6">
        <f t="shared" ref="S5:S35" si="0">R5-F5</f>
        <v>0</v>
      </c>
      <c r="T5" s="7"/>
      <c r="W5" s="213" t="s">
        <v>56</v>
      </c>
      <c r="X5" s="220">
        <v>44216</v>
      </c>
      <c r="Y5" s="218">
        <v>2000</v>
      </c>
      <c r="AB5" s="347">
        <v>44354</v>
      </c>
      <c r="AC5" s="348">
        <v>79419</v>
      </c>
      <c r="AD5" s="99"/>
      <c r="AE5" s="99"/>
      <c r="AF5" s="99"/>
      <c r="AG5" s="99"/>
    </row>
    <row r="6" spans="1:33" ht="18" thickBot="1" x14ac:dyDescent="0.35">
      <c r="A6" s="34"/>
      <c r="B6" s="134">
        <v>44379</v>
      </c>
      <c r="C6" s="36">
        <v>20774</v>
      </c>
      <c r="D6" s="139" t="s">
        <v>661</v>
      </c>
      <c r="E6" s="136">
        <v>44379</v>
      </c>
      <c r="F6" s="37">
        <v>115376</v>
      </c>
      <c r="G6" s="137"/>
      <c r="H6" s="138">
        <v>44379</v>
      </c>
      <c r="I6" s="43">
        <v>2950</v>
      </c>
      <c r="J6" s="52">
        <v>44379</v>
      </c>
      <c r="K6" s="151" t="s">
        <v>662</v>
      </c>
      <c r="L6" s="46">
        <v>10000</v>
      </c>
      <c r="M6" s="444">
        <v>121188</v>
      </c>
      <c r="N6" s="334">
        <v>43064</v>
      </c>
      <c r="O6" s="7"/>
      <c r="P6" s="389">
        <v>82600</v>
      </c>
      <c r="Q6" s="447"/>
      <c r="R6" s="7">
        <f>C6+I6+M6+N6+L6</f>
        <v>197976</v>
      </c>
      <c r="S6" s="201">
        <f t="shared" si="0"/>
        <v>82600</v>
      </c>
      <c r="T6" s="48"/>
      <c r="W6" s="213" t="s">
        <v>57</v>
      </c>
      <c r="X6" s="220">
        <v>44222</v>
      </c>
      <c r="Y6" s="218">
        <v>2000</v>
      </c>
      <c r="AB6" s="349">
        <v>44355</v>
      </c>
      <c r="AC6" s="350">
        <v>122143</v>
      </c>
      <c r="AD6" s="99"/>
      <c r="AE6" s="343" t="s">
        <v>566</v>
      </c>
      <c r="AF6" s="299">
        <v>44356</v>
      </c>
      <c r="AG6" s="344">
        <v>120000</v>
      </c>
    </row>
    <row r="7" spans="1:33" ht="18" thickBot="1" x14ac:dyDescent="0.35">
      <c r="A7" s="34"/>
      <c r="B7" s="134">
        <v>44380</v>
      </c>
      <c r="C7" s="36">
        <v>2495</v>
      </c>
      <c r="D7" s="140" t="s">
        <v>449</v>
      </c>
      <c r="E7" s="136">
        <v>44380</v>
      </c>
      <c r="F7" s="37">
        <v>192558</v>
      </c>
      <c r="G7" s="137"/>
      <c r="H7" s="138">
        <v>44380</v>
      </c>
      <c r="I7" s="49">
        <v>754</v>
      </c>
      <c r="J7" s="52">
        <v>44380</v>
      </c>
      <c r="K7" s="171" t="s">
        <v>664</v>
      </c>
      <c r="L7" s="46">
        <f>16330.7+400+4000</f>
        <v>20730.7</v>
      </c>
      <c r="M7" s="444">
        <v>117804.68</v>
      </c>
      <c r="N7" s="334">
        <v>61735</v>
      </c>
      <c r="O7" s="7"/>
      <c r="P7" s="389">
        <v>2259</v>
      </c>
      <c r="Q7" s="447">
        <v>8702.36</v>
      </c>
      <c r="R7" s="7">
        <f>C7+I7+M7+N7+L7</f>
        <v>203519.38</v>
      </c>
      <c r="S7" s="202">
        <f t="shared" si="0"/>
        <v>10961.380000000005</v>
      </c>
      <c r="T7" s="50"/>
      <c r="W7" s="213" t="s">
        <v>58</v>
      </c>
      <c r="X7" s="220">
        <v>44230</v>
      </c>
      <c r="Y7" s="218">
        <v>2000</v>
      </c>
      <c r="AB7" s="349">
        <v>44356</v>
      </c>
      <c r="AC7" s="350">
        <v>84241</v>
      </c>
      <c r="AD7" s="99"/>
      <c r="AE7" s="343" t="s">
        <v>566</v>
      </c>
      <c r="AF7" s="299">
        <v>44357</v>
      </c>
      <c r="AG7" s="344">
        <v>75440</v>
      </c>
    </row>
    <row r="8" spans="1:33" ht="18" thickBot="1" x14ac:dyDescent="0.35">
      <c r="A8" s="34"/>
      <c r="B8" s="134">
        <v>44381</v>
      </c>
      <c r="C8" s="36">
        <v>7764</v>
      </c>
      <c r="D8" s="141" t="s">
        <v>666</v>
      </c>
      <c r="E8" s="136">
        <v>44381</v>
      </c>
      <c r="F8" s="37">
        <v>140754</v>
      </c>
      <c r="G8" s="137"/>
      <c r="H8" s="138">
        <v>44381</v>
      </c>
      <c r="I8" s="49">
        <v>700</v>
      </c>
      <c r="J8" s="291"/>
      <c r="K8" s="158"/>
      <c r="L8" s="46"/>
      <c r="M8" s="444">
        <v>112352</v>
      </c>
      <c r="N8" s="456">
        <f>19938+722.5</f>
        <v>20660.5</v>
      </c>
      <c r="O8" s="7"/>
      <c r="P8" s="389">
        <f>589+133</f>
        <v>722</v>
      </c>
      <c r="Q8" s="447"/>
      <c r="R8" s="7">
        <f t="shared" ref="R8:R38" si="1">C8+I8+M8+N8+L8</f>
        <v>141476.5</v>
      </c>
      <c r="S8" s="201">
        <f t="shared" si="0"/>
        <v>722.5</v>
      </c>
      <c r="T8" s="58"/>
      <c r="W8" s="213" t="s">
        <v>59</v>
      </c>
      <c r="X8" s="220">
        <v>44239</v>
      </c>
      <c r="Y8" s="218">
        <v>2000</v>
      </c>
      <c r="AB8" s="349">
        <v>44357</v>
      </c>
      <c r="AC8" s="350">
        <v>121552</v>
      </c>
      <c r="AD8" s="99"/>
      <c r="AE8" s="343" t="s">
        <v>566</v>
      </c>
      <c r="AF8" s="299">
        <v>44368</v>
      </c>
      <c r="AG8" s="344">
        <v>120000</v>
      </c>
    </row>
    <row r="9" spans="1:33" ht="18" thickBot="1" x14ac:dyDescent="0.35">
      <c r="A9" s="34"/>
      <c r="B9" s="134">
        <v>44382</v>
      </c>
      <c r="C9" s="36">
        <v>2850</v>
      </c>
      <c r="D9" s="141" t="s">
        <v>667</v>
      </c>
      <c r="E9" s="136">
        <v>44382</v>
      </c>
      <c r="F9" s="37">
        <v>125766</v>
      </c>
      <c r="G9" s="137"/>
      <c r="H9" s="138">
        <v>44382</v>
      </c>
      <c r="I9" s="49">
        <v>584</v>
      </c>
      <c r="J9" s="52"/>
      <c r="K9" s="159"/>
      <c r="L9" s="46"/>
      <c r="M9" s="444">
        <v>100005</v>
      </c>
      <c r="N9" s="334">
        <v>22327</v>
      </c>
      <c r="O9" s="7"/>
      <c r="P9" s="389">
        <v>0</v>
      </c>
      <c r="Q9" s="447"/>
      <c r="R9" s="7">
        <f t="shared" si="1"/>
        <v>125766</v>
      </c>
      <c r="S9" s="6">
        <f t="shared" si="0"/>
        <v>0</v>
      </c>
      <c r="T9" s="48"/>
      <c r="W9" s="213" t="s">
        <v>60</v>
      </c>
      <c r="X9" s="220">
        <v>44253</v>
      </c>
      <c r="Y9" s="218">
        <v>2000</v>
      </c>
      <c r="AB9" s="349">
        <v>44358</v>
      </c>
      <c r="AC9" s="350">
        <v>177695</v>
      </c>
      <c r="AD9" s="99"/>
      <c r="AE9" s="343" t="s">
        <v>566</v>
      </c>
      <c r="AF9" s="299">
        <v>44369</v>
      </c>
      <c r="AG9" s="344">
        <v>164450</v>
      </c>
    </row>
    <row r="10" spans="1:33" ht="18" thickBot="1" x14ac:dyDescent="0.35">
      <c r="A10" s="34"/>
      <c r="B10" s="134">
        <v>44383</v>
      </c>
      <c r="C10" s="36">
        <v>4901</v>
      </c>
      <c r="D10" s="140" t="s">
        <v>274</v>
      </c>
      <c r="E10" s="136">
        <v>44383</v>
      </c>
      <c r="F10" s="37">
        <v>129286</v>
      </c>
      <c r="G10" s="137"/>
      <c r="H10" s="138">
        <v>44383</v>
      </c>
      <c r="I10" s="49">
        <v>650</v>
      </c>
      <c r="J10" s="52"/>
      <c r="K10" s="160"/>
      <c r="L10" s="53"/>
      <c r="M10" s="444">
        <v>89170</v>
      </c>
      <c r="N10" s="334">
        <v>34565</v>
      </c>
      <c r="O10" s="7"/>
      <c r="P10" s="389">
        <v>0</v>
      </c>
      <c r="Q10" s="447"/>
      <c r="R10" s="7">
        <f t="shared" si="1"/>
        <v>129286</v>
      </c>
      <c r="S10" s="6">
        <f t="shared" si="0"/>
        <v>0</v>
      </c>
      <c r="T10" s="54"/>
      <c r="W10" s="213" t="s">
        <v>61</v>
      </c>
      <c r="X10" s="220">
        <v>44253</v>
      </c>
      <c r="Y10" s="218">
        <v>2000</v>
      </c>
      <c r="AB10" s="349">
        <v>44359</v>
      </c>
      <c r="AC10" s="350">
        <v>147683</v>
      </c>
      <c r="AD10" s="99"/>
      <c r="AE10" s="343" t="s">
        <v>566</v>
      </c>
      <c r="AF10" s="299">
        <v>44370</v>
      </c>
      <c r="AG10" s="344">
        <v>274260</v>
      </c>
    </row>
    <row r="11" spans="1:33" ht="18" thickBot="1" x14ac:dyDescent="0.35">
      <c r="A11" s="34"/>
      <c r="B11" s="134">
        <v>44384</v>
      </c>
      <c r="C11" s="36">
        <v>2612</v>
      </c>
      <c r="D11" s="139" t="s">
        <v>348</v>
      </c>
      <c r="E11" s="136">
        <v>44384</v>
      </c>
      <c r="F11" s="37">
        <v>126869</v>
      </c>
      <c r="G11" s="137"/>
      <c r="H11" s="138">
        <v>44384</v>
      </c>
      <c r="I11" s="49">
        <v>2584</v>
      </c>
      <c r="J11" s="292">
        <v>44384</v>
      </c>
      <c r="K11" s="161" t="s">
        <v>668</v>
      </c>
      <c r="L11" s="46">
        <v>7950</v>
      </c>
      <c r="M11" s="444">
        <v>60712</v>
      </c>
      <c r="N11" s="334">
        <v>53011</v>
      </c>
      <c r="O11" s="7"/>
      <c r="P11" s="389">
        <v>0</v>
      </c>
      <c r="Q11" s="447"/>
      <c r="R11" s="7">
        <f t="shared" si="1"/>
        <v>126869</v>
      </c>
      <c r="S11" s="6">
        <f t="shared" si="0"/>
        <v>0</v>
      </c>
      <c r="T11" s="48"/>
      <c r="W11" s="213" t="s">
        <v>62</v>
      </c>
      <c r="X11" s="220">
        <v>44258</v>
      </c>
      <c r="Y11" s="218">
        <v>2000</v>
      </c>
      <c r="AB11" s="349">
        <v>44360</v>
      </c>
      <c r="AC11" s="350">
        <v>88369</v>
      </c>
      <c r="AD11" s="99"/>
      <c r="AE11" s="345" t="s">
        <v>563</v>
      </c>
      <c r="AF11" s="299">
        <v>44358</v>
      </c>
      <c r="AG11" s="346">
        <v>181550</v>
      </c>
    </row>
    <row r="12" spans="1:33" ht="18" thickBot="1" x14ac:dyDescent="0.35">
      <c r="A12" s="34"/>
      <c r="B12" s="134">
        <v>44385</v>
      </c>
      <c r="C12" s="36">
        <v>12686</v>
      </c>
      <c r="D12" s="139" t="s">
        <v>669</v>
      </c>
      <c r="E12" s="136">
        <v>44385</v>
      </c>
      <c r="F12" s="37">
        <v>108652</v>
      </c>
      <c r="G12" s="137"/>
      <c r="H12" s="138">
        <v>44385</v>
      </c>
      <c r="I12" s="4">
        <v>3911</v>
      </c>
      <c r="J12" s="52"/>
      <c r="K12" s="451"/>
      <c r="L12" s="46"/>
      <c r="M12" s="444">
        <v>62018</v>
      </c>
      <c r="N12" s="456">
        <f>29872+165</f>
        <v>30037</v>
      </c>
      <c r="O12" s="7"/>
      <c r="P12" s="389">
        <v>0</v>
      </c>
      <c r="Q12" s="447"/>
      <c r="R12" s="7">
        <f>C12+M12+N12+I12</f>
        <v>108652</v>
      </c>
      <c r="S12" s="6">
        <f t="shared" si="0"/>
        <v>0</v>
      </c>
      <c r="T12" s="56"/>
      <c r="W12" s="213" t="s">
        <v>63</v>
      </c>
      <c r="X12" s="220">
        <v>44265</v>
      </c>
      <c r="Y12" s="218">
        <v>2000</v>
      </c>
      <c r="AB12" s="349">
        <v>44361</v>
      </c>
      <c r="AC12" s="350">
        <v>141097</v>
      </c>
      <c r="AD12" s="99"/>
      <c r="AE12" s="345" t="s">
        <v>563</v>
      </c>
      <c r="AF12" s="299">
        <v>44361</v>
      </c>
      <c r="AG12" s="346">
        <v>325340</v>
      </c>
    </row>
    <row r="13" spans="1:33" ht="18" thickBot="1" x14ac:dyDescent="0.35">
      <c r="A13" s="34"/>
      <c r="B13" s="134">
        <v>44386</v>
      </c>
      <c r="C13" s="36">
        <v>9887</v>
      </c>
      <c r="D13" s="141" t="s">
        <v>670</v>
      </c>
      <c r="E13" s="136">
        <v>44386</v>
      </c>
      <c r="F13" s="37">
        <v>161069</v>
      </c>
      <c r="G13" s="137"/>
      <c r="H13" s="138">
        <v>44386</v>
      </c>
      <c r="I13" s="49">
        <v>3761</v>
      </c>
      <c r="J13" s="52">
        <v>44386</v>
      </c>
      <c r="K13" s="171" t="s">
        <v>662</v>
      </c>
      <c r="L13" s="46">
        <v>10000</v>
      </c>
      <c r="M13" s="444">
        <v>105176</v>
      </c>
      <c r="N13" s="456">
        <f>28270+3975</f>
        <v>32245</v>
      </c>
      <c r="O13" s="396"/>
      <c r="P13" s="389">
        <v>0</v>
      </c>
      <c r="Q13" s="447"/>
      <c r="R13" s="7">
        <f t="shared" si="1"/>
        <v>161069</v>
      </c>
      <c r="S13" s="6">
        <f t="shared" si="0"/>
        <v>0</v>
      </c>
      <c r="T13" s="48"/>
      <c r="W13" s="213" t="s">
        <v>64</v>
      </c>
      <c r="X13" s="220">
        <v>44272</v>
      </c>
      <c r="Y13" s="218">
        <v>2000</v>
      </c>
      <c r="AB13" s="349">
        <v>44362</v>
      </c>
      <c r="AC13" s="350">
        <v>84946</v>
      </c>
      <c r="AD13" s="99"/>
      <c r="AE13" s="345" t="s">
        <v>563</v>
      </c>
      <c r="AF13" s="299">
        <v>44362</v>
      </c>
      <c r="AG13" s="346">
        <v>82350</v>
      </c>
    </row>
    <row r="14" spans="1:33" ht="18" thickBot="1" x14ac:dyDescent="0.35">
      <c r="A14" s="34"/>
      <c r="B14" s="134">
        <v>44387</v>
      </c>
      <c r="C14" s="36">
        <v>2815</v>
      </c>
      <c r="D14" s="140" t="s">
        <v>121</v>
      </c>
      <c r="E14" s="136">
        <v>44387</v>
      </c>
      <c r="F14" s="37">
        <v>220829</v>
      </c>
      <c r="G14" s="137"/>
      <c r="H14" s="138">
        <v>44387</v>
      </c>
      <c r="I14" s="49">
        <v>697</v>
      </c>
      <c r="J14" s="52">
        <v>44387</v>
      </c>
      <c r="K14" s="158" t="s">
        <v>671</v>
      </c>
      <c r="L14" s="46">
        <f>21785.63+400+1612.93</f>
        <v>23798.560000000001</v>
      </c>
      <c r="M14" s="444">
        <v>121085.38</v>
      </c>
      <c r="N14" s="334">
        <v>76989</v>
      </c>
      <c r="O14" s="395"/>
      <c r="P14" s="389">
        <v>0</v>
      </c>
      <c r="Q14" s="447">
        <v>4555.9399999999996</v>
      </c>
      <c r="R14" s="7">
        <f>C14+I14+M14+N14+L14</f>
        <v>225384.94</v>
      </c>
      <c r="S14" s="202">
        <f t="shared" si="0"/>
        <v>4555.9400000000023</v>
      </c>
      <c r="T14" s="54"/>
      <c r="W14" s="213" t="s">
        <v>65</v>
      </c>
      <c r="X14" s="220">
        <v>44281</v>
      </c>
      <c r="Y14" s="218">
        <v>2000</v>
      </c>
      <c r="AB14" s="349">
        <v>44363</v>
      </c>
      <c r="AC14" s="350">
        <v>96593</v>
      </c>
      <c r="AD14" s="99"/>
      <c r="AE14" s="345" t="s">
        <v>563</v>
      </c>
      <c r="AF14" s="299">
        <v>44363</v>
      </c>
      <c r="AG14" s="346">
        <v>132090</v>
      </c>
    </row>
    <row r="15" spans="1:33" ht="18" thickBot="1" x14ac:dyDescent="0.35">
      <c r="A15" s="34"/>
      <c r="B15" s="134">
        <v>44388</v>
      </c>
      <c r="C15" s="36">
        <v>11165</v>
      </c>
      <c r="D15" s="139" t="s">
        <v>672</v>
      </c>
      <c r="E15" s="136">
        <v>44388</v>
      </c>
      <c r="F15" s="37">
        <v>146396</v>
      </c>
      <c r="G15" s="137"/>
      <c r="H15" s="138">
        <v>44388</v>
      </c>
      <c r="I15" s="49">
        <v>725</v>
      </c>
      <c r="J15" s="52"/>
      <c r="K15" s="158"/>
      <c r="L15" s="46"/>
      <c r="M15" s="444">
        <v>107856</v>
      </c>
      <c r="N15" s="334">
        <f>30266</f>
        <v>30266</v>
      </c>
      <c r="O15" s="7"/>
      <c r="P15" s="389">
        <v>3616</v>
      </c>
      <c r="Q15" s="447"/>
      <c r="R15" s="7">
        <f t="shared" si="1"/>
        <v>150012</v>
      </c>
      <c r="S15" s="201">
        <f t="shared" si="0"/>
        <v>3616</v>
      </c>
      <c r="T15" s="58"/>
      <c r="W15" s="213" t="s">
        <v>66</v>
      </c>
      <c r="X15" s="220"/>
      <c r="Y15" s="218"/>
      <c r="AB15" s="349">
        <v>44364</v>
      </c>
      <c r="AC15" s="350">
        <v>137820</v>
      </c>
      <c r="AD15" s="99"/>
      <c r="AE15" s="345" t="s">
        <v>563</v>
      </c>
      <c r="AF15" s="299">
        <v>44364</v>
      </c>
      <c r="AG15" s="346">
        <v>176440</v>
      </c>
    </row>
    <row r="16" spans="1:33" ht="18" thickBot="1" x14ac:dyDescent="0.35">
      <c r="A16" s="34"/>
      <c r="B16" s="134">
        <v>44389</v>
      </c>
      <c r="C16" s="36">
        <v>1605</v>
      </c>
      <c r="D16" s="139" t="s">
        <v>45</v>
      </c>
      <c r="E16" s="136">
        <v>44389</v>
      </c>
      <c r="F16" s="37">
        <v>128484</v>
      </c>
      <c r="G16" s="137"/>
      <c r="H16" s="138">
        <v>44389</v>
      </c>
      <c r="I16" s="49">
        <v>1120</v>
      </c>
      <c r="J16" s="52"/>
      <c r="K16" s="158"/>
      <c r="L16" s="6"/>
      <c r="M16" s="444">
        <v>102720</v>
      </c>
      <c r="N16" s="334">
        <v>23039</v>
      </c>
      <c r="O16" s="7"/>
      <c r="P16" s="389">
        <v>0</v>
      </c>
      <c r="Q16" s="447"/>
      <c r="R16" s="7">
        <f t="shared" si="1"/>
        <v>128484</v>
      </c>
      <c r="S16" s="6">
        <f t="shared" si="0"/>
        <v>0</v>
      </c>
      <c r="T16" s="58"/>
      <c r="W16" s="213" t="s">
        <v>67</v>
      </c>
      <c r="X16" s="220">
        <v>44300</v>
      </c>
      <c r="Y16" s="218">
        <v>2000</v>
      </c>
      <c r="AB16" s="349">
        <v>44365</v>
      </c>
      <c r="AC16" s="350">
        <v>131648</v>
      </c>
      <c r="AD16" s="99"/>
      <c r="AE16" s="345" t="s">
        <v>563</v>
      </c>
      <c r="AF16" s="299">
        <v>44365</v>
      </c>
      <c r="AG16" s="346">
        <v>137820</v>
      </c>
    </row>
    <row r="17" spans="1:33" ht="18" thickBot="1" x14ac:dyDescent="0.35">
      <c r="A17" s="34"/>
      <c r="B17" s="134">
        <v>44390</v>
      </c>
      <c r="C17" s="36">
        <v>9760</v>
      </c>
      <c r="D17" s="141" t="s">
        <v>673</v>
      </c>
      <c r="E17" s="136">
        <v>44390</v>
      </c>
      <c r="F17" s="37">
        <v>94323</v>
      </c>
      <c r="G17" s="137"/>
      <c r="H17" s="138">
        <v>44390</v>
      </c>
      <c r="I17" s="49">
        <v>1348</v>
      </c>
      <c r="J17" s="52"/>
      <c r="K17" s="158"/>
      <c r="L17" s="53"/>
      <c r="M17" s="444">
        <v>72351</v>
      </c>
      <c r="N17" s="334">
        <v>10864</v>
      </c>
      <c r="O17" s="7"/>
      <c r="P17" s="389">
        <v>0</v>
      </c>
      <c r="Q17" s="447"/>
      <c r="R17" s="7">
        <f t="shared" si="1"/>
        <v>94323</v>
      </c>
      <c r="S17" s="6">
        <f t="shared" si="0"/>
        <v>0</v>
      </c>
      <c r="T17" s="48"/>
      <c r="W17" s="213" t="s">
        <v>68</v>
      </c>
      <c r="X17" s="220">
        <v>44300</v>
      </c>
      <c r="Y17" s="218">
        <v>2000</v>
      </c>
      <c r="AB17" s="349">
        <v>44366</v>
      </c>
      <c r="AC17" s="350">
        <v>217420</v>
      </c>
      <c r="AD17" s="99"/>
      <c r="AE17" s="345" t="s">
        <v>563</v>
      </c>
      <c r="AF17" s="299">
        <v>44371</v>
      </c>
      <c r="AG17" s="346">
        <v>81200</v>
      </c>
    </row>
    <row r="18" spans="1:33" ht="18" thickBot="1" x14ac:dyDescent="0.35">
      <c r="A18" s="34"/>
      <c r="B18" s="134">
        <v>44391</v>
      </c>
      <c r="C18" s="36">
        <v>3434</v>
      </c>
      <c r="D18" s="139" t="s">
        <v>674</v>
      </c>
      <c r="E18" s="136">
        <v>44391</v>
      </c>
      <c r="F18" s="37">
        <v>89928</v>
      </c>
      <c r="G18" s="137"/>
      <c r="H18" s="138">
        <v>44391</v>
      </c>
      <c r="I18" s="49">
        <v>3095</v>
      </c>
      <c r="J18" s="52">
        <v>44391</v>
      </c>
      <c r="K18" s="452" t="s">
        <v>675</v>
      </c>
      <c r="L18" s="46">
        <v>5000</v>
      </c>
      <c r="M18" s="444">
        <v>59954</v>
      </c>
      <c r="N18" s="334">
        <v>18445</v>
      </c>
      <c r="O18" s="7"/>
      <c r="P18" s="389">
        <v>0</v>
      </c>
      <c r="Q18" s="447"/>
      <c r="R18" s="7">
        <f t="shared" si="1"/>
        <v>89928</v>
      </c>
      <c r="S18" s="6">
        <f t="shared" si="0"/>
        <v>0</v>
      </c>
      <c r="T18" s="48"/>
      <c r="W18" s="213" t="s">
        <v>69</v>
      </c>
      <c r="X18" s="220">
        <v>44309</v>
      </c>
      <c r="Y18" s="218">
        <v>2000</v>
      </c>
      <c r="AB18" s="349">
        <v>44367</v>
      </c>
      <c r="AC18" s="350">
        <v>190885</v>
      </c>
      <c r="AD18" s="99"/>
      <c r="AE18" s="345" t="s">
        <v>563</v>
      </c>
      <c r="AF18" s="299">
        <v>44372</v>
      </c>
      <c r="AG18" s="346">
        <v>167190</v>
      </c>
    </row>
    <row r="19" spans="1:33" ht="18" thickBot="1" x14ac:dyDescent="0.35">
      <c r="A19" s="34"/>
      <c r="B19" s="134">
        <v>44392</v>
      </c>
      <c r="C19" s="36">
        <v>15895</v>
      </c>
      <c r="D19" s="139" t="s">
        <v>676</v>
      </c>
      <c r="E19" s="136">
        <v>44392</v>
      </c>
      <c r="F19" s="37">
        <v>168792</v>
      </c>
      <c r="G19" s="137"/>
      <c r="H19" s="138">
        <v>44392</v>
      </c>
      <c r="I19" s="49">
        <v>1150</v>
      </c>
      <c r="J19" s="52"/>
      <c r="K19" s="163"/>
      <c r="L19" s="59"/>
      <c r="M19" s="444">
        <v>126617</v>
      </c>
      <c r="N19" s="456">
        <f>6334+120+18676</f>
        <v>25130</v>
      </c>
      <c r="O19" s="7"/>
      <c r="P19" s="389">
        <v>0</v>
      </c>
      <c r="Q19" s="447"/>
      <c r="R19" s="7">
        <f t="shared" si="1"/>
        <v>168792</v>
      </c>
      <c r="S19" s="6">
        <f t="shared" si="0"/>
        <v>0</v>
      </c>
      <c r="T19" s="58"/>
      <c r="W19" s="213" t="s">
        <v>70</v>
      </c>
      <c r="X19" s="220">
        <v>44320</v>
      </c>
      <c r="Y19" s="218">
        <v>2000</v>
      </c>
      <c r="AB19" s="349">
        <v>44368</v>
      </c>
      <c r="AC19" s="350">
        <v>83398</v>
      </c>
      <c r="AD19" s="99"/>
      <c r="AE19" s="345" t="s">
        <v>563</v>
      </c>
      <c r="AF19" s="299">
        <v>44376</v>
      </c>
      <c r="AG19" s="346">
        <v>209600</v>
      </c>
    </row>
    <row r="20" spans="1:33" ht="18" thickBot="1" x14ac:dyDescent="0.35">
      <c r="A20" s="34"/>
      <c r="B20" s="134">
        <v>44393</v>
      </c>
      <c r="C20" s="36">
        <v>1677</v>
      </c>
      <c r="D20" s="139" t="s">
        <v>45</v>
      </c>
      <c r="E20" s="136">
        <v>44393</v>
      </c>
      <c r="F20" s="37">
        <v>166269</v>
      </c>
      <c r="G20" s="137"/>
      <c r="H20" s="138">
        <v>44393</v>
      </c>
      <c r="I20" s="49">
        <v>755</v>
      </c>
      <c r="J20" s="52">
        <v>44393</v>
      </c>
      <c r="K20" s="164" t="s">
        <v>662</v>
      </c>
      <c r="L20" s="53">
        <v>10000</v>
      </c>
      <c r="M20" s="444">
        <v>143221</v>
      </c>
      <c r="N20" s="334">
        <v>10616</v>
      </c>
      <c r="O20" s="7"/>
      <c r="P20" s="389">
        <v>0</v>
      </c>
      <c r="Q20" s="447"/>
      <c r="R20" s="7">
        <f t="shared" si="1"/>
        <v>166269</v>
      </c>
      <c r="S20" s="6">
        <f t="shared" si="0"/>
        <v>0</v>
      </c>
      <c r="T20" s="58"/>
      <c r="W20" s="213" t="s">
        <v>71</v>
      </c>
      <c r="X20" s="220">
        <v>44320</v>
      </c>
      <c r="Y20" s="218">
        <v>2000</v>
      </c>
      <c r="AB20" s="349">
        <v>44369</v>
      </c>
      <c r="AC20" s="350">
        <v>91227</v>
      </c>
      <c r="AD20" s="99"/>
      <c r="AE20" s="345" t="s">
        <v>563</v>
      </c>
      <c r="AF20" s="299">
        <v>44378</v>
      </c>
      <c r="AG20" s="346">
        <v>75870</v>
      </c>
    </row>
    <row r="21" spans="1:33" ht="18" thickBot="1" x14ac:dyDescent="0.35">
      <c r="A21" s="34"/>
      <c r="B21" s="134">
        <v>44394</v>
      </c>
      <c r="C21" s="36">
        <v>5961</v>
      </c>
      <c r="D21" s="139" t="s">
        <v>107</v>
      </c>
      <c r="E21" s="136">
        <v>44394</v>
      </c>
      <c r="F21" s="37">
        <v>240837</v>
      </c>
      <c r="G21" s="137"/>
      <c r="H21" s="138">
        <v>44394</v>
      </c>
      <c r="I21" s="49">
        <v>585</v>
      </c>
      <c r="J21" s="52">
        <v>44394</v>
      </c>
      <c r="K21" s="162" t="s">
        <v>677</v>
      </c>
      <c r="L21" s="53">
        <f>19755.82+400</f>
        <v>20155.82</v>
      </c>
      <c r="M21" s="444">
        <v>196142</v>
      </c>
      <c r="N21" s="334">
        <v>21841</v>
      </c>
      <c r="O21" s="7"/>
      <c r="P21" s="389">
        <v>0</v>
      </c>
      <c r="Q21" s="447">
        <v>3847.82</v>
      </c>
      <c r="R21" s="7">
        <f>C21+I21+M21+N21+L21</f>
        <v>244684.82</v>
      </c>
      <c r="S21" s="202">
        <f t="shared" si="0"/>
        <v>3847.820000000007</v>
      </c>
      <c r="T21" s="58"/>
      <c r="W21" s="213" t="s">
        <v>72</v>
      </c>
      <c r="X21" s="220">
        <v>44330</v>
      </c>
      <c r="Y21" s="218">
        <v>2000</v>
      </c>
      <c r="AB21" s="349">
        <v>44370</v>
      </c>
      <c r="AC21" s="350">
        <v>87086</v>
      </c>
      <c r="AD21" s="99"/>
      <c r="AE21" s="345"/>
      <c r="AF21" s="299"/>
      <c r="AG21" s="346">
        <v>0</v>
      </c>
    </row>
    <row r="22" spans="1:33" ht="24" thickBot="1" x14ac:dyDescent="0.35">
      <c r="A22" s="34"/>
      <c r="B22" s="134">
        <v>44395</v>
      </c>
      <c r="C22" s="36">
        <v>13103</v>
      </c>
      <c r="D22" s="139" t="s">
        <v>678</v>
      </c>
      <c r="E22" s="136">
        <v>44395</v>
      </c>
      <c r="F22" s="37">
        <v>131830</v>
      </c>
      <c r="G22" s="137"/>
      <c r="H22" s="138">
        <v>44395</v>
      </c>
      <c r="I22" s="49">
        <v>780</v>
      </c>
      <c r="J22" s="52"/>
      <c r="K22" s="165"/>
      <c r="L22" s="61"/>
      <c r="M22" s="444">
        <v>107487</v>
      </c>
      <c r="N22" s="334">
        <v>10460</v>
      </c>
      <c r="O22" s="7"/>
      <c r="P22" s="389">
        <v>0</v>
      </c>
      <c r="Q22" s="447"/>
      <c r="R22" s="7">
        <f t="shared" si="1"/>
        <v>131830</v>
      </c>
      <c r="S22" s="6">
        <f t="shared" si="0"/>
        <v>0</v>
      </c>
      <c r="T22" s="58"/>
      <c r="W22" s="213" t="s">
        <v>73</v>
      </c>
      <c r="X22" s="220">
        <v>44337</v>
      </c>
      <c r="Y22" s="218">
        <v>2000</v>
      </c>
      <c r="AB22" s="349">
        <v>44371</v>
      </c>
      <c r="AC22" s="350">
        <v>80123</v>
      </c>
      <c r="AD22" s="99"/>
      <c r="AE22" s="375"/>
      <c r="AF22" s="376"/>
      <c r="AG22" s="377">
        <v>0</v>
      </c>
    </row>
    <row r="23" spans="1:33" ht="18" thickBot="1" x14ac:dyDescent="0.35">
      <c r="A23" s="34"/>
      <c r="B23" s="134">
        <v>44396</v>
      </c>
      <c r="C23" s="36">
        <v>12998</v>
      </c>
      <c r="D23" s="139" t="s">
        <v>679</v>
      </c>
      <c r="E23" s="136">
        <v>44396</v>
      </c>
      <c r="F23" s="37">
        <v>134816</v>
      </c>
      <c r="G23" s="137"/>
      <c r="H23" s="138">
        <v>44396</v>
      </c>
      <c r="I23" s="49">
        <v>520</v>
      </c>
      <c r="J23" s="293">
        <v>44396</v>
      </c>
      <c r="K23" s="279" t="s">
        <v>680</v>
      </c>
      <c r="L23" s="53">
        <v>7219.18</v>
      </c>
      <c r="M23" s="444">
        <v>106168.82</v>
      </c>
      <c r="N23" s="456">
        <f>1512+6398</f>
        <v>7910</v>
      </c>
      <c r="O23" s="7"/>
      <c r="P23" s="389">
        <v>0</v>
      </c>
      <c r="Q23" s="447"/>
      <c r="R23" s="7">
        <f t="shared" si="1"/>
        <v>134816</v>
      </c>
      <c r="S23" s="6">
        <f t="shared" si="0"/>
        <v>0</v>
      </c>
      <c r="T23" s="54"/>
      <c r="W23" s="213" t="s">
        <v>74</v>
      </c>
      <c r="X23" s="220">
        <v>44342</v>
      </c>
      <c r="Y23" s="218">
        <v>2000</v>
      </c>
      <c r="AB23" s="349">
        <v>44372</v>
      </c>
      <c r="AC23" s="350">
        <v>0</v>
      </c>
      <c r="AD23" s="99"/>
      <c r="AE23" s="604" t="s">
        <v>564</v>
      </c>
      <c r="AF23" s="605"/>
      <c r="AG23" s="339">
        <f>SUM(AG6:AG22)</f>
        <v>2323600</v>
      </c>
    </row>
    <row r="24" spans="1:33" ht="18" thickBot="1" x14ac:dyDescent="0.35">
      <c r="A24" s="34"/>
      <c r="B24" s="134">
        <v>44397</v>
      </c>
      <c r="C24" s="36">
        <v>4367</v>
      </c>
      <c r="D24" s="139" t="s">
        <v>681</v>
      </c>
      <c r="E24" s="136">
        <v>44397</v>
      </c>
      <c r="F24" s="37">
        <v>110569</v>
      </c>
      <c r="G24" s="137"/>
      <c r="H24" s="138">
        <v>44397</v>
      </c>
      <c r="I24" s="49">
        <v>750</v>
      </c>
      <c r="J24" s="294"/>
      <c r="K24" s="295"/>
      <c r="L24" s="296"/>
      <c r="M24" s="444">
        <v>98612</v>
      </c>
      <c r="N24" s="334">
        <v>6840</v>
      </c>
      <c r="O24" s="7"/>
      <c r="P24" s="389">
        <v>0</v>
      </c>
      <c r="Q24" s="447"/>
      <c r="R24" s="7">
        <f t="shared" si="1"/>
        <v>110569</v>
      </c>
      <c r="S24" s="6">
        <f t="shared" si="0"/>
        <v>0</v>
      </c>
      <c r="T24" s="48"/>
      <c r="W24" s="213" t="s">
        <v>75</v>
      </c>
      <c r="X24" s="220"/>
      <c r="Y24" s="218"/>
      <c r="AB24" s="349">
        <v>44373</v>
      </c>
      <c r="AC24" s="350">
        <v>0</v>
      </c>
      <c r="AD24" s="99"/>
      <c r="AE24" s="47"/>
      <c r="AF24" s="323"/>
      <c r="AG24" s="99"/>
    </row>
    <row r="25" spans="1:33" ht="24" customHeight="1" thickBot="1" x14ac:dyDescent="0.35">
      <c r="A25" s="34"/>
      <c r="B25" s="134">
        <v>44398</v>
      </c>
      <c r="C25" s="36">
        <v>3514</v>
      </c>
      <c r="D25" s="139" t="s">
        <v>121</v>
      </c>
      <c r="E25" s="136">
        <v>44398</v>
      </c>
      <c r="F25" s="37">
        <v>141045</v>
      </c>
      <c r="G25" s="137"/>
      <c r="H25" s="138">
        <v>44398</v>
      </c>
      <c r="I25" s="49">
        <v>2440</v>
      </c>
      <c r="J25" s="297"/>
      <c r="K25" s="172"/>
      <c r="L25" s="75"/>
      <c r="M25" s="444">
        <v>132205</v>
      </c>
      <c r="N25" s="334">
        <v>4843</v>
      </c>
      <c r="O25" s="7"/>
      <c r="P25" s="389">
        <v>1957</v>
      </c>
      <c r="Q25" s="447"/>
      <c r="R25" s="7">
        <f t="shared" si="1"/>
        <v>143002</v>
      </c>
      <c r="S25" s="201">
        <f t="shared" si="0"/>
        <v>1957</v>
      </c>
      <c r="T25" s="48"/>
      <c r="W25" s="213" t="s">
        <v>76</v>
      </c>
      <c r="X25" s="220">
        <v>44358</v>
      </c>
      <c r="Y25" s="218">
        <v>2000</v>
      </c>
      <c r="AB25" s="349">
        <v>44374</v>
      </c>
      <c r="AC25" s="350">
        <v>138607</v>
      </c>
      <c r="AD25" s="99"/>
      <c r="AE25" s="606" t="s">
        <v>565</v>
      </c>
      <c r="AF25" s="607"/>
      <c r="AG25" s="610">
        <f>AC29-AG23</f>
        <v>163726</v>
      </c>
    </row>
    <row r="26" spans="1:33" ht="18" thickBot="1" x14ac:dyDescent="0.35">
      <c r="A26" s="34"/>
      <c r="B26" s="134">
        <v>44399</v>
      </c>
      <c r="C26" s="36">
        <v>12316</v>
      </c>
      <c r="D26" s="139" t="s">
        <v>682</v>
      </c>
      <c r="E26" s="136">
        <v>44399</v>
      </c>
      <c r="F26" s="37">
        <v>117571</v>
      </c>
      <c r="G26" s="137"/>
      <c r="H26" s="138">
        <v>44399</v>
      </c>
      <c r="I26" s="49">
        <v>5239</v>
      </c>
      <c r="J26" s="52"/>
      <c r="K26" s="295"/>
      <c r="L26" s="53"/>
      <c r="M26" s="444">
        <v>77581</v>
      </c>
      <c r="N26" s="456">
        <f>8000+14435</f>
        <v>22435</v>
      </c>
      <c r="O26" s="7"/>
      <c r="P26" s="389">
        <v>0</v>
      </c>
      <c r="Q26" s="447"/>
      <c r="R26" s="7">
        <f t="shared" si="1"/>
        <v>117571</v>
      </c>
      <c r="S26" s="6">
        <f t="shared" si="0"/>
        <v>0</v>
      </c>
      <c r="T26" s="48"/>
      <c r="W26" s="213" t="s">
        <v>77</v>
      </c>
      <c r="X26" s="220">
        <v>44363</v>
      </c>
      <c r="Y26" s="218">
        <v>2000</v>
      </c>
      <c r="AB26" s="349">
        <v>44375</v>
      </c>
      <c r="AC26" s="350">
        <v>107480</v>
      </c>
      <c r="AD26" s="99"/>
      <c r="AE26" s="608"/>
      <c r="AF26" s="609"/>
      <c r="AG26" s="611"/>
    </row>
    <row r="27" spans="1:33" ht="21.75" customHeight="1" thickBot="1" x14ac:dyDescent="0.35">
      <c r="A27" s="34"/>
      <c r="B27" s="134">
        <v>44400</v>
      </c>
      <c r="C27" s="36">
        <v>4891</v>
      </c>
      <c r="D27" s="141" t="s">
        <v>683</v>
      </c>
      <c r="E27" s="136">
        <v>44400</v>
      </c>
      <c r="F27" s="37">
        <v>180617</v>
      </c>
      <c r="G27" s="137"/>
      <c r="H27" s="138">
        <v>44400</v>
      </c>
      <c r="I27" s="49">
        <v>920</v>
      </c>
      <c r="J27" s="298">
        <v>44400</v>
      </c>
      <c r="K27" s="282" t="s">
        <v>662</v>
      </c>
      <c r="L27" s="75">
        <v>10000</v>
      </c>
      <c r="M27" s="444">
        <v>158574</v>
      </c>
      <c r="N27" s="334">
        <v>6232</v>
      </c>
      <c r="O27" s="7"/>
      <c r="P27" s="389">
        <v>0</v>
      </c>
      <c r="Q27" s="447"/>
      <c r="R27" s="7">
        <f t="shared" si="1"/>
        <v>180617</v>
      </c>
      <c r="S27" s="6">
        <f t="shared" si="0"/>
        <v>0</v>
      </c>
      <c r="T27" s="48"/>
      <c r="W27" s="213" t="s">
        <v>78</v>
      </c>
      <c r="X27" s="220">
        <v>44370</v>
      </c>
      <c r="Y27" s="218">
        <v>2000</v>
      </c>
      <c r="AB27" s="349">
        <v>44376</v>
      </c>
      <c r="AC27" s="350">
        <v>77894</v>
      </c>
      <c r="AD27" s="99"/>
      <c r="AE27" s="99"/>
      <c r="AF27" s="99"/>
      <c r="AG27" s="99"/>
    </row>
    <row r="28" spans="1:33" ht="18" thickBot="1" x14ac:dyDescent="0.35">
      <c r="A28" s="34"/>
      <c r="B28" s="134">
        <v>44401</v>
      </c>
      <c r="C28" s="36">
        <v>5163</v>
      </c>
      <c r="D28" s="141" t="s">
        <v>684</v>
      </c>
      <c r="E28" s="136">
        <v>44401</v>
      </c>
      <c r="F28" s="37">
        <v>262580</v>
      </c>
      <c r="G28" s="137"/>
      <c r="H28" s="138">
        <v>44401</v>
      </c>
      <c r="I28" s="49">
        <v>615</v>
      </c>
      <c r="J28" s="299">
        <v>44401</v>
      </c>
      <c r="K28" s="151" t="s">
        <v>685</v>
      </c>
      <c r="L28" s="75">
        <f>23312.72+400</f>
        <v>23712.720000000001</v>
      </c>
      <c r="M28" s="444">
        <v>232014.24</v>
      </c>
      <c r="N28" s="334">
        <v>7988</v>
      </c>
      <c r="O28" s="7"/>
      <c r="P28" s="389">
        <v>0</v>
      </c>
      <c r="Q28" s="447">
        <v>6912.96</v>
      </c>
      <c r="R28" s="7">
        <f t="shared" si="1"/>
        <v>269492.95999999996</v>
      </c>
      <c r="S28" s="202">
        <f t="shared" si="0"/>
        <v>6912.9599999999627</v>
      </c>
      <c r="T28" s="48"/>
      <c r="W28" s="213" t="s">
        <v>79</v>
      </c>
      <c r="X28" s="220"/>
      <c r="Y28" s="218"/>
      <c r="AB28" s="351">
        <v>44377</v>
      </c>
      <c r="AC28" s="352">
        <v>0</v>
      </c>
      <c r="AD28" s="99"/>
      <c r="AE28" s="99"/>
      <c r="AF28" s="99"/>
      <c r="AG28" s="99"/>
    </row>
    <row r="29" spans="1:33" ht="15.75" customHeight="1" thickBot="1" x14ac:dyDescent="0.35">
      <c r="A29" s="34"/>
      <c r="B29" s="134">
        <v>44402</v>
      </c>
      <c r="C29" s="36">
        <v>5021</v>
      </c>
      <c r="D29" s="143" t="s">
        <v>678</v>
      </c>
      <c r="E29" s="136">
        <v>44402</v>
      </c>
      <c r="F29" s="37">
        <v>178768</v>
      </c>
      <c r="G29" s="137"/>
      <c r="H29" s="138">
        <v>44402</v>
      </c>
      <c r="I29" s="49">
        <v>720</v>
      </c>
      <c r="J29" s="300"/>
      <c r="K29" s="169"/>
      <c r="L29" s="75"/>
      <c r="M29" s="444">
        <v>168806</v>
      </c>
      <c r="N29" s="334">
        <v>4221</v>
      </c>
      <c r="O29" s="7"/>
      <c r="P29" s="389">
        <v>0</v>
      </c>
      <c r="Q29" s="447"/>
      <c r="R29" s="7">
        <f t="shared" si="1"/>
        <v>178768</v>
      </c>
      <c r="S29" s="6">
        <f t="shared" si="0"/>
        <v>0</v>
      </c>
      <c r="T29" s="58"/>
      <c r="W29" s="213" t="s">
        <v>80</v>
      </c>
      <c r="X29" s="220"/>
      <c r="Y29" s="218"/>
      <c r="AB29" s="600" t="s">
        <v>562</v>
      </c>
      <c r="AC29" s="602">
        <f>SUM(AC5:AC28)</f>
        <v>2487326</v>
      </c>
      <c r="AD29" s="340"/>
      <c r="AE29" s="340"/>
      <c r="AF29" s="340"/>
      <c r="AG29" s="340"/>
    </row>
    <row r="30" spans="1:33" ht="18" thickBot="1" x14ac:dyDescent="0.35">
      <c r="A30" s="34"/>
      <c r="B30" s="134">
        <v>44403</v>
      </c>
      <c r="C30" s="36">
        <v>7198</v>
      </c>
      <c r="D30" s="143" t="s">
        <v>686</v>
      </c>
      <c r="E30" s="136">
        <v>44403</v>
      </c>
      <c r="F30" s="37">
        <v>98284</v>
      </c>
      <c r="G30" s="137"/>
      <c r="H30" s="138">
        <v>44403</v>
      </c>
      <c r="I30" s="69">
        <v>440</v>
      </c>
      <c r="J30" s="233"/>
      <c r="K30" s="356"/>
      <c r="L30" s="357"/>
      <c r="M30" s="444">
        <v>79889</v>
      </c>
      <c r="N30" s="456">
        <f>3700+3309+3748</f>
        <v>10757</v>
      </c>
      <c r="O30" s="7"/>
      <c r="P30" s="445">
        <f>SUM(P5:P29)</f>
        <v>91154</v>
      </c>
      <c r="Q30" s="448"/>
      <c r="R30" s="7">
        <f t="shared" si="1"/>
        <v>98284</v>
      </c>
      <c r="S30" s="6">
        <f t="shared" si="0"/>
        <v>0</v>
      </c>
      <c r="T30" s="48"/>
      <c r="W30" s="213" t="s">
        <v>81</v>
      </c>
      <c r="X30" s="221"/>
      <c r="Y30" s="207"/>
      <c r="AB30" s="601"/>
      <c r="AC30" s="603"/>
      <c r="AD30" s="99"/>
      <c r="AE30" s="99"/>
      <c r="AF30" s="99"/>
      <c r="AG30" s="99"/>
    </row>
    <row r="31" spans="1:33" ht="18" thickBot="1" x14ac:dyDescent="0.35">
      <c r="A31" s="34"/>
      <c r="B31" s="134">
        <v>44404</v>
      </c>
      <c r="C31" s="71">
        <v>2905</v>
      </c>
      <c r="D31" s="242" t="s">
        <v>687</v>
      </c>
      <c r="E31" s="136">
        <v>44404</v>
      </c>
      <c r="F31" s="37">
        <v>77590</v>
      </c>
      <c r="G31" s="137"/>
      <c r="H31" s="138">
        <v>44404</v>
      </c>
      <c r="I31" s="69">
        <v>3424</v>
      </c>
      <c r="J31" s="233"/>
      <c r="K31" s="144"/>
      <c r="L31" s="66"/>
      <c r="M31" s="444">
        <v>67572</v>
      </c>
      <c r="N31" s="334">
        <v>3689</v>
      </c>
      <c r="O31" s="7"/>
      <c r="P31" s="7"/>
      <c r="Q31" s="449"/>
      <c r="R31" s="7">
        <f t="shared" si="1"/>
        <v>77590</v>
      </c>
      <c r="S31" s="6">
        <f t="shared" si="0"/>
        <v>0</v>
      </c>
      <c r="T31" s="48"/>
      <c r="W31" s="213" t="s">
        <v>82</v>
      </c>
      <c r="X31" s="221"/>
      <c r="Y31" s="207"/>
      <c r="AB31" s="323"/>
      <c r="AC31" s="99"/>
      <c r="AD31" s="99"/>
      <c r="AE31" s="99"/>
      <c r="AF31" s="99"/>
      <c r="AG31" s="99"/>
    </row>
    <row r="32" spans="1:33" ht="18" thickBot="1" x14ac:dyDescent="0.35">
      <c r="A32" s="34"/>
      <c r="B32" s="134">
        <v>44405</v>
      </c>
      <c r="C32" s="71">
        <v>10947</v>
      </c>
      <c r="D32" s="453" t="s">
        <v>688</v>
      </c>
      <c r="E32" s="136">
        <v>44405</v>
      </c>
      <c r="F32" s="70">
        <v>119460</v>
      </c>
      <c r="G32" s="137"/>
      <c r="H32" s="138">
        <v>44405</v>
      </c>
      <c r="I32" s="69">
        <v>1761.61</v>
      </c>
      <c r="J32" s="233"/>
      <c r="K32" s="356"/>
      <c r="L32" s="357"/>
      <c r="M32" s="444">
        <v>99506.39</v>
      </c>
      <c r="N32" s="334">
        <v>7245</v>
      </c>
      <c r="O32" s="7"/>
      <c r="P32" s="7"/>
      <c r="Q32" s="449"/>
      <c r="R32" s="7">
        <f t="shared" si="1"/>
        <v>119460</v>
      </c>
      <c r="S32" s="6">
        <f t="shared" si="0"/>
        <v>0</v>
      </c>
      <c r="T32" s="48"/>
      <c r="W32" s="213" t="s">
        <v>83</v>
      </c>
      <c r="X32" s="221"/>
      <c r="Y32" s="207"/>
      <c r="AD32" s="99"/>
      <c r="AE32" s="99"/>
      <c r="AF32" s="99"/>
      <c r="AG32" s="99"/>
    </row>
    <row r="33" spans="1:33" ht="18" thickBot="1" x14ac:dyDescent="0.35">
      <c r="A33" s="34"/>
      <c r="B33" s="134">
        <v>44406</v>
      </c>
      <c r="C33" s="71">
        <v>2024</v>
      </c>
      <c r="D33" s="266" t="s">
        <v>45</v>
      </c>
      <c r="E33" s="136">
        <v>44406</v>
      </c>
      <c r="F33" s="71">
        <v>109088</v>
      </c>
      <c r="G33" s="137"/>
      <c r="H33" s="138">
        <v>44406</v>
      </c>
      <c r="I33" s="69">
        <v>3787.29</v>
      </c>
      <c r="J33" s="233"/>
      <c r="K33" s="144"/>
      <c r="L33" s="358"/>
      <c r="M33" s="444">
        <v>98280.71</v>
      </c>
      <c r="N33" s="334">
        <v>4996</v>
      </c>
      <c r="O33" s="7"/>
      <c r="P33" s="7"/>
      <c r="Q33" s="449"/>
      <c r="R33" s="7">
        <f t="shared" si="1"/>
        <v>109088</v>
      </c>
      <c r="S33" s="6">
        <f t="shared" si="0"/>
        <v>0</v>
      </c>
      <c r="T33" s="48"/>
      <c r="W33" s="213" t="s">
        <v>84</v>
      </c>
      <c r="X33" s="221"/>
      <c r="Y33" s="207"/>
      <c r="AC33" s="386" t="s">
        <v>601</v>
      </c>
      <c r="AD33" s="387"/>
      <c r="AE33" s="387"/>
      <c r="AG33" s="387">
        <v>10815.4</v>
      </c>
    </row>
    <row r="34" spans="1:33" ht="31.5" thickBot="1" x14ac:dyDescent="0.35">
      <c r="A34" s="34"/>
      <c r="B34" s="134">
        <v>44407</v>
      </c>
      <c r="C34" s="71">
        <v>17457</v>
      </c>
      <c r="D34" s="453" t="s">
        <v>689</v>
      </c>
      <c r="E34" s="136">
        <v>44407</v>
      </c>
      <c r="F34" s="71">
        <v>258851</v>
      </c>
      <c r="G34" s="137"/>
      <c r="H34" s="138">
        <v>44407</v>
      </c>
      <c r="I34" s="69">
        <v>2755</v>
      </c>
      <c r="J34" s="299">
        <v>44407</v>
      </c>
      <c r="K34" s="510" t="s">
        <v>690</v>
      </c>
      <c r="L34" s="6">
        <v>30000</v>
      </c>
      <c r="M34" s="444">
        <v>197380</v>
      </c>
      <c r="N34" s="334">
        <v>11259</v>
      </c>
      <c r="O34" s="7"/>
      <c r="P34" s="7"/>
      <c r="Q34" s="449"/>
      <c r="R34" s="7">
        <f t="shared" si="1"/>
        <v>258851</v>
      </c>
      <c r="S34" s="6">
        <f t="shared" si="0"/>
        <v>0</v>
      </c>
      <c r="T34" s="48"/>
      <c r="W34" s="213" t="s">
        <v>85</v>
      </c>
      <c r="X34" s="221"/>
      <c r="Y34" s="207"/>
      <c r="AC34" s="388" t="s">
        <v>602</v>
      </c>
      <c r="AD34" s="99"/>
      <c r="AE34" s="99"/>
      <c r="AG34" s="99">
        <v>26563.26</v>
      </c>
    </row>
    <row r="35" spans="1:33" ht="18" thickBot="1" x14ac:dyDescent="0.35">
      <c r="A35" s="34"/>
      <c r="B35" s="134">
        <v>44408</v>
      </c>
      <c r="C35" s="71">
        <v>7664.5</v>
      </c>
      <c r="D35" s="267" t="s">
        <v>691</v>
      </c>
      <c r="E35" s="136">
        <v>44408</v>
      </c>
      <c r="F35" s="71">
        <v>206486</v>
      </c>
      <c r="G35" s="137"/>
      <c r="H35" s="138">
        <v>44408</v>
      </c>
      <c r="I35" s="69">
        <v>1874</v>
      </c>
      <c r="J35" s="299">
        <v>44408</v>
      </c>
      <c r="K35" s="172" t="s">
        <v>692</v>
      </c>
      <c r="L35" s="71">
        <f>23312.72+400</f>
        <v>23712.720000000001</v>
      </c>
      <c r="M35" s="444">
        <v>173618.5</v>
      </c>
      <c r="N35" s="334">
        <v>6530</v>
      </c>
      <c r="O35" s="7"/>
      <c r="P35" s="7"/>
      <c r="Q35" s="455">
        <v>6913.72</v>
      </c>
      <c r="R35" s="7">
        <f t="shared" si="1"/>
        <v>213399.72</v>
      </c>
      <c r="S35" s="202">
        <f t="shared" si="0"/>
        <v>6913.7200000000012</v>
      </c>
      <c r="T35" s="48"/>
      <c r="W35" s="213" t="s">
        <v>86</v>
      </c>
      <c r="X35" s="221"/>
      <c r="Y35" s="207"/>
      <c r="AC35" s="385"/>
      <c r="AD35" s="99"/>
      <c r="AE35" s="99"/>
      <c r="AG35" s="99"/>
    </row>
    <row r="36" spans="1:33" ht="15" customHeight="1" thickBot="1" x14ac:dyDescent="0.3">
      <c r="A36" s="34"/>
      <c r="B36" s="134">
        <v>44409</v>
      </c>
      <c r="C36" s="71">
        <v>1054</v>
      </c>
      <c r="D36" s="242" t="s">
        <v>693</v>
      </c>
      <c r="E36" s="136">
        <v>44409</v>
      </c>
      <c r="F36" s="71">
        <v>148357</v>
      </c>
      <c r="G36" s="137"/>
      <c r="H36" s="138">
        <v>44409</v>
      </c>
      <c r="I36" s="69">
        <v>700</v>
      </c>
      <c r="J36" s="233"/>
      <c r="K36" s="359"/>
      <c r="L36" s="360"/>
      <c r="M36" s="469">
        <v>129489</v>
      </c>
      <c r="N36" s="334">
        <v>17114</v>
      </c>
      <c r="O36" s="7"/>
      <c r="P36" s="7"/>
      <c r="Q36" s="449"/>
      <c r="R36" s="7">
        <f t="shared" si="1"/>
        <v>148357</v>
      </c>
      <c r="S36" s="6">
        <v>0</v>
      </c>
      <c r="T36" s="48"/>
      <c r="W36" s="213" t="s">
        <v>87</v>
      </c>
      <c r="X36" s="221"/>
      <c r="Y36" s="207"/>
      <c r="AC36" s="388"/>
      <c r="AD36" s="99"/>
      <c r="AE36" s="99"/>
      <c r="AG36" s="99"/>
    </row>
    <row r="37" spans="1:33" ht="19.5" customHeight="1" thickBot="1" x14ac:dyDescent="0.35">
      <c r="A37" s="34"/>
      <c r="B37" s="134">
        <v>44410</v>
      </c>
      <c r="C37" s="71">
        <v>21609</v>
      </c>
      <c r="D37" s="453" t="s">
        <v>694</v>
      </c>
      <c r="E37" s="136">
        <v>44410</v>
      </c>
      <c r="F37" s="265">
        <v>80970</v>
      </c>
      <c r="G37" s="137"/>
      <c r="H37" s="138">
        <v>44410</v>
      </c>
      <c r="I37" s="69">
        <v>490</v>
      </c>
      <c r="J37" s="233"/>
      <c r="K37" s="144"/>
      <c r="L37" s="358"/>
      <c r="M37" s="483">
        <v>51950</v>
      </c>
      <c r="N37" s="456">
        <f>6476+45+400</f>
        <v>6921</v>
      </c>
      <c r="O37" s="7"/>
      <c r="P37" s="7"/>
      <c r="Q37" s="449"/>
      <c r="R37" s="7">
        <f t="shared" si="1"/>
        <v>80970</v>
      </c>
      <c r="S37" s="6">
        <v>0</v>
      </c>
      <c r="T37" s="48"/>
      <c r="U37" s="7" t="s">
        <v>11</v>
      </c>
      <c r="W37" s="213" t="s">
        <v>88</v>
      </c>
      <c r="X37" s="221"/>
      <c r="Y37" s="207"/>
      <c r="AC37" s="321" t="s">
        <v>603</v>
      </c>
      <c r="AD37" s="338"/>
      <c r="AE37" s="338"/>
      <c r="AG37" s="389">
        <v>61174.96</v>
      </c>
    </row>
    <row r="38" spans="1:33" ht="18.75" customHeight="1" thickBot="1" x14ac:dyDescent="0.35">
      <c r="A38" s="34"/>
      <c r="B38" s="134">
        <v>44411</v>
      </c>
      <c r="C38" s="71">
        <v>2035</v>
      </c>
      <c r="D38" s="266" t="s">
        <v>167</v>
      </c>
      <c r="E38" s="136">
        <v>44411</v>
      </c>
      <c r="F38" s="265">
        <v>212722</v>
      </c>
      <c r="G38" s="137"/>
      <c r="H38" s="138">
        <v>44411</v>
      </c>
      <c r="I38" s="69">
        <v>707</v>
      </c>
      <c r="J38" s="233"/>
      <c r="K38" s="144"/>
      <c r="L38" s="358"/>
      <c r="M38" s="484">
        <v>185490</v>
      </c>
      <c r="N38" s="485">
        <v>24490</v>
      </c>
      <c r="O38" s="7"/>
      <c r="P38" s="7"/>
      <c r="Q38" s="450"/>
      <c r="R38" s="7">
        <f t="shared" si="1"/>
        <v>212722</v>
      </c>
      <c r="S38" s="6">
        <v>0</v>
      </c>
      <c r="T38" s="48"/>
      <c r="W38" s="213" t="s">
        <v>89</v>
      </c>
      <c r="X38" s="221"/>
      <c r="Y38" s="207"/>
      <c r="AC38" s="321" t="s">
        <v>604</v>
      </c>
      <c r="AD38" s="338"/>
      <c r="AE38" s="338"/>
      <c r="AG38" s="389">
        <v>53960</v>
      </c>
    </row>
    <row r="39" spans="1:33" ht="20.25" customHeight="1" thickTop="1" thickBot="1" x14ac:dyDescent="0.35">
      <c r="A39" s="34"/>
      <c r="B39" s="134"/>
      <c r="C39" s="71"/>
      <c r="D39" s="242"/>
      <c r="E39" s="136"/>
      <c r="F39" s="239"/>
      <c r="G39" s="137"/>
      <c r="H39" s="138"/>
      <c r="I39" s="69"/>
      <c r="J39" s="233"/>
      <c r="K39" s="361"/>
      <c r="L39" s="357"/>
      <c r="M39" s="629">
        <f>SUM(M5:M38)</f>
        <v>3989472.22</v>
      </c>
      <c r="N39" s="631">
        <f>SUM(N5:N38)</f>
        <v>689220.5</v>
      </c>
      <c r="O39" s="7"/>
      <c r="P39" s="7"/>
      <c r="Q39" s="7"/>
      <c r="R39" s="7">
        <f>SUM(R5:R38)</f>
        <v>5190843.3199999994</v>
      </c>
      <c r="S39" s="6">
        <v>0</v>
      </c>
      <c r="T39" s="48"/>
      <c r="W39" s="213" t="s">
        <v>90</v>
      </c>
      <c r="X39" s="221"/>
      <c r="Y39" s="207"/>
      <c r="AC39" s="321" t="s">
        <v>605</v>
      </c>
      <c r="AD39" s="338"/>
      <c r="AE39" s="338"/>
      <c r="AG39" s="391">
        <v>174363</v>
      </c>
    </row>
    <row r="40" spans="1:33" ht="15" customHeight="1" thickBot="1" x14ac:dyDescent="0.35">
      <c r="A40" s="34"/>
      <c r="B40" s="134"/>
      <c r="C40" s="71"/>
      <c r="D40" s="242"/>
      <c r="E40" s="136"/>
      <c r="F40" s="239"/>
      <c r="G40" s="137"/>
      <c r="H40" s="138"/>
      <c r="I40" s="69"/>
      <c r="J40" s="233" t="s">
        <v>695</v>
      </c>
      <c r="K40" s="144" t="s">
        <v>582</v>
      </c>
      <c r="L40" s="357">
        <f>1145.91+398.99+423.94+498.99+398.99</f>
        <v>2866.8199999999997</v>
      </c>
      <c r="M40" s="630"/>
      <c r="N40" s="632"/>
      <c r="O40" s="7"/>
      <c r="P40" s="7"/>
      <c r="Q40" s="7"/>
      <c r="R40" s="7"/>
      <c r="S40" s="6">
        <v>0</v>
      </c>
      <c r="T40" s="48"/>
      <c r="W40" s="213" t="s">
        <v>91</v>
      </c>
      <c r="X40" s="221"/>
      <c r="Y40" s="207"/>
      <c r="AC40" s="321" t="s">
        <v>606</v>
      </c>
      <c r="AD40" s="338"/>
      <c r="AE40" s="338"/>
      <c r="AG40" s="389">
        <v>829950</v>
      </c>
    </row>
    <row r="41" spans="1:33" ht="15" customHeight="1" thickBot="1" x14ac:dyDescent="0.35">
      <c r="A41" s="34"/>
      <c r="B41" s="146">
        <v>44378</v>
      </c>
      <c r="C41" s="225">
        <v>25009.35</v>
      </c>
      <c r="D41" s="242" t="s">
        <v>341</v>
      </c>
      <c r="E41" s="136"/>
      <c r="F41" s="240"/>
      <c r="G41" s="137"/>
      <c r="H41" s="138"/>
      <c r="I41" s="69"/>
      <c r="J41" s="233" t="s">
        <v>695</v>
      </c>
      <c r="K41" s="144" t="s">
        <v>370</v>
      </c>
      <c r="L41" s="357">
        <v>549</v>
      </c>
      <c r="M41" s="7"/>
      <c r="N41" s="7"/>
      <c r="O41" s="7"/>
      <c r="P41" s="7"/>
      <c r="Q41" s="7"/>
      <c r="R41" s="7"/>
      <c r="S41" s="6">
        <v>0</v>
      </c>
      <c r="T41" s="48"/>
      <c r="W41" s="213" t="s">
        <v>92</v>
      </c>
      <c r="X41" s="221"/>
      <c r="Y41" s="207"/>
      <c r="AC41" s="321" t="s">
        <v>607</v>
      </c>
      <c r="AD41" s="338"/>
      <c r="AE41" s="338"/>
      <c r="AF41" s="389"/>
      <c r="AG41" s="338">
        <v>2323600</v>
      </c>
    </row>
    <row r="42" spans="1:33" ht="15" customHeight="1" thickBot="1" x14ac:dyDescent="0.35">
      <c r="A42" s="34"/>
      <c r="B42" s="146">
        <v>44380</v>
      </c>
      <c r="C42" s="225">
        <v>19576.650000000001</v>
      </c>
      <c r="D42" s="242" t="s">
        <v>341</v>
      </c>
      <c r="E42" s="136"/>
      <c r="F42" s="241"/>
      <c r="G42" s="137"/>
      <c r="H42" s="138"/>
      <c r="I42" s="69"/>
      <c r="J42" s="233" t="s">
        <v>696</v>
      </c>
      <c r="K42" s="144" t="s">
        <v>385</v>
      </c>
      <c r="L42" s="357">
        <v>798</v>
      </c>
      <c r="M42" s="7"/>
      <c r="N42" s="7"/>
      <c r="O42" s="7"/>
      <c r="P42" s="7"/>
      <c r="Q42" s="7"/>
      <c r="R42" s="7"/>
      <c r="S42" s="6">
        <v>0</v>
      </c>
      <c r="T42" s="48"/>
      <c r="W42" s="213" t="s">
        <v>93</v>
      </c>
      <c r="X42" s="221"/>
      <c r="Y42" s="207"/>
      <c r="AD42" s="338"/>
      <c r="AE42" s="338"/>
      <c r="AF42" s="389"/>
      <c r="AG42" s="338">
        <v>0</v>
      </c>
    </row>
    <row r="43" spans="1:33" ht="15.75" customHeight="1" thickBot="1" x14ac:dyDescent="0.35">
      <c r="A43" s="34"/>
      <c r="B43" s="146">
        <v>44384</v>
      </c>
      <c r="C43" s="225">
        <v>32031.17</v>
      </c>
      <c r="D43" s="242" t="s">
        <v>341</v>
      </c>
      <c r="E43" s="136"/>
      <c r="F43" s="241"/>
      <c r="G43" s="137"/>
      <c r="H43" s="138"/>
      <c r="I43" s="69"/>
      <c r="J43" s="233" t="s">
        <v>696</v>
      </c>
      <c r="K43" s="144" t="s">
        <v>211</v>
      </c>
      <c r="L43" s="357">
        <f>9180+9180+9345+9180</f>
        <v>36885</v>
      </c>
      <c r="M43" s="7"/>
      <c r="N43" s="7"/>
      <c r="O43" s="7"/>
      <c r="P43" s="7"/>
      <c r="Q43" s="7"/>
      <c r="R43" s="7"/>
      <c r="S43" s="6">
        <v>0</v>
      </c>
      <c r="T43" s="48"/>
      <c r="W43" s="213" t="s">
        <v>94</v>
      </c>
      <c r="X43" s="221"/>
      <c r="Y43" s="207"/>
      <c r="AD43" s="338"/>
      <c r="AE43" s="338"/>
      <c r="AF43" s="389"/>
      <c r="AG43" s="338">
        <v>0</v>
      </c>
    </row>
    <row r="44" spans="1:33" ht="16.149999999999999" customHeight="1" thickBot="1" x14ac:dyDescent="0.35">
      <c r="A44" s="34"/>
      <c r="B44" s="146">
        <v>44386</v>
      </c>
      <c r="C44" s="225">
        <v>17767.02</v>
      </c>
      <c r="D44" s="242" t="s">
        <v>341</v>
      </c>
      <c r="E44" s="136"/>
      <c r="F44" s="151"/>
      <c r="G44" s="137"/>
      <c r="H44" s="138"/>
      <c r="I44" s="69"/>
      <c r="J44" s="233" t="s">
        <v>695</v>
      </c>
      <c r="K44" s="228" t="s">
        <v>576</v>
      </c>
      <c r="L44" s="358">
        <v>73526</v>
      </c>
      <c r="M44" s="633" t="s">
        <v>567</v>
      </c>
      <c r="N44" s="633"/>
      <c r="O44" s="7"/>
      <c r="P44" s="7"/>
      <c r="Q44" s="7"/>
      <c r="R44" s="7"/>
      <c r="S44" s="6">
        <v>0</v>
      </c>
      <c r="T44" s="48"/>
      <c r="W44" s="213" t="s">
        <v>95</v>
      </c>
      <c r="X44" s="221"/>
      <c r="Y44" s="207"/>
      <c r="AD44" s="338"/>
      <c r="AE44" s="338"/>
      <c r="AF44" s="389"/>
      <c r="AG44" s="338">
        <f>SUM(AG37:AG43)</f>
        <v>3443047.96</v>
      </c>
    </row>
    <row r="45" spans="1:33" ht="16.149999999999999" customHeight="1" thickBot="1" x14ac:dyDescent="0.35">
      <c r="A45" s="34"/>
      <c r="B45" s="146">
        <v>44391</v>
      </c>
      <c r="C45" s="225">
        <v>22444</v>
      </c>
      <c r="D45" s="242" t="s">
        <v>341</v>
      </c>
      <c r="E45" s="136"/>
      <c r="F45" s="151"/>
      <c r="G45" s="137"/>
      <c r="H45" s="138"/>
      <c r="I45" s="69"/>
      <c r="J45" s="233" t="s">
        <v>696</v>
      </c>
      <c r="K45" s="228" t="s">
        <v>225</v>
      </c>
      <c r="L45" s="358">
        <v>10000</v>
      </c>
      <c r="M45" s="478">
        <v>341970</v>
      </c>
      <c r="N45" s="472">
        <v>44382</v>
      </c>
      <c r="P45" s="7"/>
      <c r="Q45" s="7"/>
      <c r="R45" s="7"/>
      <c r="S45" s="6">
        <v>0</v>
      </c>
      <c r="T45" s="48"/>
      <c r="W45" s="213" t="s">
        <v>96</v>
      </c>
      <c r="X45" s="221"/>
      <c r="Y45" s="207"/>
      <c r="AD45" s="338"/>
      <c r="AE45" s="338"/>
      <c r="AF45" s="389"/>
      <c r="AG45" s="338"/>
    </row>
    <row r="46" spans="1:33" ht="16.149999999999999" customHeight="1" thickBot="1" x14ac:dyDescent="0.35">
      <c r="A46" s="34"/>
      <c r="B46" s="146">
        <v>44393</v>
      </c>
      <c r="C46" s="225">
        <v>11203.5</v>
      </c>
      <c r="D46" s="242" t="s">
        <v>341</v>
      </c>
      <c r="E46" s="136"/>
      <c r="F46" s="151"/>
      <c r="G46" s="137"/>
      <c r="H46" s="138"/>
      <c r="I46" s="69"/>
      <c r="J46" s="233" t="s">
        <v>696</v>
      </c>
      <c r="K46" s="168" t="s">
        <v>260</v>
      </c>
      <c r="L46" s="66">
        <v>18104.22</v>
      </c>
      <c r="M46" s="479">
        <v>203050</v>
      </c>
      <c r="N46" s="472">
        <v>44386</v>
      </c>
      <c r="P46" s="7"/>
      <c r="Q46" s="7"/>
      <c r="R46" s="7"/>
      <c r="S46" s="6">
        <v>0</v>
      </c>
      <c r="T46" s="48"/>
      <c r="W46" s="213" t="s">
        <v>97</v>
      </c>
      <c r="X46" s="221"/>
      <c r="Y46" s="207"/>
      <c r="AD46" s="338"/>
      <c r="AE46" s="338"/>
      <c r="AF46" s="389"/>
      <c r="AG46" s="338"/>
    </row>
    <row r="47" spans="1:33" ht="16.149999999999999" customHeight="1" thickBot="1" x14ac:dyDescent="0.35">
      <c r="A47" s="34"/>
      <c r="B47" s="146">
        <v>44396</v>
      </c>
      <c r="C47" s="225">
        <v>15376.78</v>
      </c>
      <c r="D47" s="242" t="s">
        <v>341</v>
      </c>
      <c r="E47" s="136"/>
      <c r="F47" s="151"/>
      <c r="G47" s="137"/>
      <c r="H47" s="138"/>
      <c r="I47" s="69"/>
      <c r="J47" s="233" t="s">
        <v>696</v>
      </c>
      <c r="K47" s="144" t="s">
        <v>697</v>
      </c>
      <c r="L47" s="66">
        <v>580</v>
      </c>
      <c r="M47" s="479">
        <v>183700</v>
      </c>
      <c r="N47" s="472">
        <v>44386</v>
      </c>
      <c r="P47" s="7"/>
      <c r="Q47" s="7"/>
      <c r="R47" s="7"/>
      <c r="T47" s="48"/>
      <c r="W47" s="213" t="s">
        <v>98</v>
      </c>
      <c r="X47" s="221"/>
      <c r="Y47" s="207"/>
      <c r="AD47" s="338"/>
      <c r="AE47" s="338"/>
      <c r="AF47" s="389"/>
      <c r="AG47" s="338"/>
    </row>
    <row r="48" spans="1:33" ht="21.75" customHeight="1" thickBot="1" x14ac:dyDescent="0.3">
      <c r="A48" s="34"/>
      <c r="B48" s="146">
        <v>44399</v>
      </c>
      <c r="C48" s="71">
        <v>23529.78</v>
      </c>
      <c r="D48" s="242" t="s">
        <v>341</v>
      </c>
      <c r="E48" s="150"/>
      <c r="F48" s="74"/>
      <c r="G48" s="137"/>
      <c r="H48" s="138"/>
      <c r="I48" s="69"/>
      <c r="J48" s="233" t="s">
        <v>696</v>
      </c>
      <c r="K48" s="144" t="s">
        <v>698</v>
      </c>
      <c r="L48" s="66">
        <v>11880</v>
      </c>
      <c r="M48" s="480">
        <v>329090</v>
      </c>
      <c r="N48" s="473">
        <v>44389</v>
      </c>
      <c r="P48" s="7"/>
      <c r="Q48" s="7"/>
      <c r="R48" s="7"/>
      <c r="T48" s="48"/>
      <c r="W48" s="213" t="s">
        <v>99</v>
      </c>
      <c r="X48" s="221"/>
      <c r="Y48" s="207"/>
      <c r="AD48" s="341"/>
      <c r="AE48" s="341"/>
      <c r="AF48" s="390"/>
      <c r="AG48" s="341"/>
    </row>
    <row r="49" spans="1:33" ht="15.75" customHeight="1" thickBot="1" x14ac:dyDescent="0.3">
      <c r="A49" s="34"/>
      <c r="B49" s="146">
        <v>44404</v>
      </c>
      <c r="C49" s="71">
        <v>13087.5</v>
      </c>
      <c r="D49" s="242" t="s">
        <v>341</v>
      </c>
      <c r="E49" s="150"/>
      <c r="F49" s="74"/>
      <c r="G49" s="137"/>
      <c r="H49" s="138"/>
      <c r="I49" s="69"/>
      <c r="J49" s="233" t="s">
        <v>696</v>
      </c>
      <c r="K49" s="144" t="s">
        <v>699</v>
      </c>
      <c r="L49" s="66">
        <v>370</v>
      </c>
      <c r="M49" s="481">
        <v>174070</v>
      </c>
      <c r="N49" s="473">
        <v>44392</v>
      </c>
      <c r="P49" s="7"/>
      <c r="Q49" s="7"/>
      <c r="R49" s="7"/>
      <c r="S49" s="7"/>
      <c r="T49" s="48"/>
      <c r="W49" s="213" t="s">
        <v>100</v>
      </c>
      <c r="X49" s="221"/>
      <c r="Y49" s="207"/>
      <c r="AD49" s="341"/>
      <c r="AE49" s="341"/>
      <c r="AF49" s="390"/>
      <c r="AG49" s="341"/>
    </row>
    <row r="50" spans="1:33" ht="16.5" customHeight="1" thickBot="1" x14ac:dyDescent="0.3">
      <c r="A50" s="34"/>
      <c r="B50" s="146">
        <v>44407</v>
      </c>
      <c r="C50" s="71">
        <v>29170.44</v>
      </c>
      <c r="D50" s="242" t="s">
        <v>341</v>
      </c>
      <c r="E50" s="149"/>
      <c r="F50" s="74"/>
      <c r="G50" s="137"/>
      <c r="H50" s="138"/>
      <c r="I50" s="69"/>
      <c r="J50" s="233" t="s">
        <v>696</v>
      </c>
      <c r="K50" s="144" t="s">
        <v>700</v>
      </c>
      <c r="L50" s="66">
        <v>9000</v>
      </c>
      <c r="M50" s="481">
        <v>339360</v>
      </c>
      <c r="N50" s="472">
        <v>44396</v>
      </c>
      <c r="P50" s="7"/>
      <c r="Q50" s="7"/>
      <c r="R50" s="7"/>
      <c r="S50" s="7"/>
      <c r="T50" s="48"/>
      <c r="W50" s="213" t="s">
        <v>101</v>
      </c>
      <c r="X50" s="221"/>
      <c r="Y50" s="207"/>
      <c r="AD50" s="99"/>
      <c r="AE50" s="99"/>
      <c r="AF50" s="99"/>
      <c r="AG50" s="99"/>
    </row>
    <row r="51" spans="1:33" ht="16.5" customHeight="1" thickBot="1" x14ac:dyDescent="0.3">
      <c r="A51" s="34"/>
      <c r="B51" s="146" t="s">
        <v>696</v>
      </c>
      <c r="C51" s="71">
        <f>50556.69+25240.83+54215.65</f>
        <v>130013.17000000001</v>
      </c>
      <c r="D51" s="242" t="s">
        <v>704</v>
      </c>
      <c r="E51" s="149"/>
      <c r="F51" s="74"/>
      <c r="G51" s="137"/>
      <c r="H51" s="138"/>
      <c r="I51" s="69"/>
      <c r="J51" s="233" t="s">
        <v>696</v>
      </c>
      <c r="K51" s="144" t="s">
        <v>580</v>
      </c>
      <c r="L51" s="66">
        <f>399+399</f>
        <v>798</v>
      </c>
      <c r="M51" s="481">
        <v>260000</v>
      </c>
      <c r="N51" s="472">
        <v>44398</v>
      </c>
      <c r="P51" s="7"/>
      <c r="Q51" s="7"/>
      <c r="R51" s="7"/>
      <c r="S51" s="7"/>
      <c r="T51" s="48"/>
      <c r="W51" s="213" t="s">
        <v>102</v>
      </c>
      <c r="X51" s="221"/>
      <c r="Y51" s="207"/>
      <c r="AB51" s="323"/>
      <c r="AC51" s="99"/>
      <c r="AD51" s="99"/>
      <c r="AE51" s="99"/>
      <c r="AF51" s="99"/>
      <c r="AG51" s="99"/>
    </row>
    <row r="52" spans="1:33" ht="16.5" customHeight="1" thickBot="1" x14ac:dyDescent="0.3">
      <c r="A52" s="34"/>
      <c r="B52" s="146" t="s">
        <v>696</v>
      </c>
      <c r="C52" s="71">
        <f>50000+399950</f>
        <v>449950</v>
      </c>
      <c r="D52" s="242" t="s">
        <v>718</v>
      </c>
      <c r="E52" s="136"/>
      <c r="F52" s="71"/>
      <c r="G52" s="137"/>
      <c r="H52" s="138"/>
      <c r="I52" s="69"/>
      <c r="J52" s="233" t="s">
        <v>696</v>
      </c>
      <c r="K52" s="144" t="s">
        <v>701</v>
      </c>
      <c r="L52" s="66">
        <v>5670</v>
      </c>
      <c r="M52" s="481">
        <v>313100</v>
      </c>
      <c r="N52" s="472">
        <v>44400</v>
      </c>
      <c r="P52" s="7"/>
      <c r="Q52" s="7"/>
      <c r="R52" s="7"/>
      <c r="S52" s="7"/>
      <c r="T52" s="48"/>
      <c r="W52" s="213" t="s">
        <v>103</v>
      </c>
      <c r="X52" s="221"/>
      <c r="Y52" s="207"/>
      <c r="AB52" s="29"/>
      <c r="AC52" s="99"/>
      <c r="AD52" s="99"/>
      <c r="AE52" s="99"/>
      <c r="AF52" s="99"/>
      <c r="AG52" s="99"/>
    </row>
    <row r="53" spans="1:33" ht="15.75" customHeight="1" thickBot="1" x14ac:dyDescent="0.35">
      <c r="A53" s="34"/>
      <c r="B53" s="146"/>
      <c r="C53" s="71"/>
      <c r="D53" s="153"/>
      <c r="E53" s="136"/>
      <c r="F53" s="71"/>
      <c r="G53" s="137"/>
      <c r="H53" s="138"/>
      <c r="I53" s="69" t="s">
        <v>11</v>
      </c>
      <c r="J53" s="233" t="s">
        <v>696</v>
      </c>
      <c r="K53" s="168" t="s">
        <v>702</v>
      </c>
      <c r="L53" s="66">
        <f>13688+2320</f>
        <v>16008</v>
      </c>
      <c r="M53" s="481">
        <v>460570</v>
      </c>
      <c r="N53" s="472">
        <v>44403</v>
      </c>
      <c r="P53" s="7"/>
      <c r="Q53" s="7"/>
      <c r="R53" s="7"/>
      <c r="S53" s="7"/>
      <c r="T53" s="48"/>
      <c r="W53" s="213" t="s">
        <v>104</v>
      </c>
      <c r="X53" s="221"/>
      <c r="Y53" s="207"/>
      <c r="AB53" s="29"/>
      <c r="AC53" s="99"/>
      <c r="AD53" s="99"/>
      <c r="AE53" s="99"/>
      <c r="AF53" s="99"/>
      <c r="AG53" s="99"/>
    </row>
    <row r="54" spans="1:33" ht="15.75" customHeight="1" thickBot="1" x14ac:dyDescent="0.35">
      <c r="A54" s="34"/>
      <c r="B54" s="146"/>
      <c r="C54" s="71"/>
      <c r="D54" s="153"/>
      <c r="E54" s="136"/>
      <c r="F54" s="71"/>
      <c r="G54" s="137"/>
      <c r="H54" s="138"/>
      <c r="I54" s="69"/>
      <c r="J54" s="233" t="s">
        <v>696</v>
      </c>
      <c r="K54" s="457" t="s">
        <v>132</v>
      </c>
      <c r="L54" s="66">
        <f>1394.81+986.84</f>
        <v>2381.65</v>
      </c>
      <c r="M54" s="482">
        <v>415730</v>
      </c>
      <c r="N54" s="474">
        <v>44407</v>
      </c>
      <c r="P54" s="7"/>
      <c r="Q54" s="7"/>
      <c r="R54" s="7"/>
      <c r="S54" s="7"/>
      <c r="T54" s="48"/>
      <c r="W54" s="213" t="s">
        <v>105</v>
      </c>
      <c r="X54" s="221"/>
      <c r="Y54" s="207"/>
      <c r="AB54" s="29"/>
      <c r="AC54" s="99"/>
      <c r="AD54" s="99"/>
      <c r="AE54" s="99"/>
      <c r="AF54" s="99"/>
      <c r="AG54" s="99"/>
    </row>
    <row r="55" spans="1:33" ht="15.75" customHeight="1" thickBot="1" x14ac:dyDescent="0.35">
      <c r="A55" s="34"/>
      <c r="B55" s="146"/>
      <c r="C55" s="71"/>
      <c r="D55" s="153"/>
      <c r="E55" s="136"/>
      <c r="F55" s="71"/>
      <c r="G55" s="137"/>
      <c r="H55" s="138"/>
      <c r="I55" s="69"/>
      <c r="J55" s="233" t="s">
        <v>696</v>
      </c>
      <c r="K55" s="362" t="s">
        <v>705</v>
      </c>
      <c r="L55" s="66">
        <v>55555.55</v>
      </c>
      <c r="M55" s="482">
        <v>295640</v>
      </c>
      <c r="N55" s="472">
        <v>44410</v>
      </c>
      <c r="O55" s="7"/>
      <c r="P55" s="7"/>
      <c r="Q55" s="7"/>
      <c r="R55" s="7"/>
      <c r="S55" s="7"/>
      <c r="T55" s="48"/>
      <c r="W55" s="212"/>
      <c r="X55" s="222"/>
      <c r="Y55" s="207"/>
      <c r="AB55" s="29"/>
      <c r="AC55" s="99"/>
      <c r="AD55" s="99"/>
      <c r="AE55" s="99"/>
      <c r="AF55" s="99"/>
      <c r="AG55" s="99"/>
    </row>
    <row r="56" spans="1:33" ht="15.75" customHeight="1" thickBot="1" x14ac:dyDescent="0.35">
      <c r="A56" s="34"/>
      <c r="B56" s="146"/>
      <c r="C56" s="71"/>
      <c r="D56" s="153"/>
      <c r="E56" s="154"/>
      <c r="F56" s="79"/>
      <c r="G56" s="137"/>
      <c r="H56" s="145"/>
      <c r="I56" s="80"/>
      <c r="J56" s="233" t="s">
        <v>696</v>
      </c>
      <c r="K56" s="459" t="s">
        <v>706</v>
      </c>
      <c r="L56" s="458">
        <v>11485.41</v>
      </c>
      <c r="M56" s="487">
        <v>290470</v>
      </c>
      <c r="N56" s="472">
        <v>44414</v>
      </c>
      <c r="O56" s="7"/>
      <c r="P56" s="7"/>
      <c r="Q56" s="7"/>
      <c r="R56" s="7"/>
      <c r="S56" s="7"/>
      <c r="T56" s="48"/>
      <c r="W56" s="212"/>
      <c r="X56" s="222"/>
      <c r="Y56" s="207"/>
      <c r="AB56" s="29"/>
      <c r="AC56" s="99"/>
      <c r="AD56" s="99"/>
      <c r="AE56" s="99"/>
      <c r="AF56" s="99"/>
      <c r="AG56" s="99"/>
    </row>
    <row r="57" spans="1:33" ht="15.75" customHeight="1" thickBot="1" x14ac:dyDescent="0.3">
      <c r="A57" s="34"/>
      <c r="B57" s="146"/>
      <c r="C57" s="71"/>
      <c r="D57" s="155"/>
      <c r="E57" s="154"/>
      <c r="F57" s="79"/>
      <c r="G57" s="137"/>
      <c r="H57" s="145"/>
      <c r="I57" s="80"/>
      <c r="J57" s="325" t="s">
        <v>695</v>
      </c>
      <c r="K57" s="359" t="s">
        <v>703</v>
      </c>
      <c r="L57" s="458">
        <v>7482</v>
      </c>
      <c r="M57" s="621">
        <f>SUM(M45:M56)</f>
        <v>3606750</v>
      </c>
      <c r="N57" s="475"/>
      <c r="O57" s="7"/>
      <c r="P57" s="7"/>
      <c r="Q57" s="7"/>
      <c r="R57" s="7"/>
      <c r="S57" s="7"/>
      <c r="T57" s="48"/>
      <c r="W57" s="212"/>
      <c r="X57" s="222"/>
      <c r="Y57" s="207"/>
      <c r="AB57" s="29"/>
      <c r="AC57" s="99"/>
      <c r="AD57" s="99"/>
      <c r="AE57" s="99"/>
      <c r="AF57" s="99"/>
      <c r="AG57" s="99"/>
    </row>
    <row r="58" spans="1:33" ht="15.75" customHeight="1" thickBot="1" x14ac:dyDescent="0.3">
      <c r="A58" s="34"/>
      <c r="B58" s="146"/>
      <c r="C58" s="71"/>
      <c r="D58" s="155"/>
      <c r="E58" s="154"/>
      <c r="F58" s="79"/>
      <c r="G58" s="137"/>
      <c r="H58" s="145"/>
      <c r="I58" s="80"/>
      <c r="J58" s="325" t="s">
        <v>695</v>
      </c>
      <c r="K58" s="457" t="s">
        <v>136</v>
      </c>
      <c r="L58" s="458">
        <v>986</v>
      </c>
      <c r="M58" s="622"/>
      <c r="N58" s="475"/>
      <c r="O58" s="7"/>
      <c r="P58" s="7"/>
      <c r="Q58" s="7"/>
      <c r="R58" s="7"/>
      <c r="S58" s="7"/>
      <c r="T58" s="48"/>
      <c r="W58" s="212"/>
      <c r="X58" s="222"/>
      <c r="Y58" s="207"/>
      <c r="AB58" s="29"/>
      <c r="AC58" s="99"/>
      <c r="AD58" s="99"/>
      <c r="AE58" s="99"/>
      <c r="AF58" s="99"/>
      <c r="AG58" s="99"/>
    </row>
    <row r="59" spans="1:33" ht="15.75" customHeight="1" thickBot="1" x14ac:dyDescent="0.3">
      <c r="A59" s="34"/>
      <c r="B59" s="146"/>
      <c r="C59" s="71"/>
      <c r="D59" s="155"/>
      <c r="E59" s="154"/>
      <c r="F59" s="79"/>
      <c r="G59" s="137"/>
      <c r="H59" s="145"/>
      <c r="I59" s="80"/>
      <c r="J59" s="325" t="s">
        <v>695</v>
      </c>
      <c r="K59" s="425" t="s">
        <v>709</v>
      </c>
      <c r="L59" s="458">
        <v>5878.28</v>
      </c>
      <c r="M59" s="477"/>
      <c r="N59" s="42"/>
      <c r="O59" s="7"/>
      <c r="P59" s="7"/>
      <c r="Q59" s="7"/>
      <c r="R59" s="7"/>
      <c r="S59" s="7"/>
      <c r="T59" s="48"/>
      <c r="W59" s="212"/>
      <c r="X59" s="222"/>
      <c r="Y59" s="207"/>
      <c r="AB59" s="29"/>
      <c r="AC59" s="99"/>
      <c r="AD59" s="99"/>
      <c r="AE59" s="99"/>
      <c r="AF59" s="99"/>
      <c r="AG59" s="99"/>
    </row>
    <row r="60" spans="1:33" ht="15.75" customHeight="1" thickBot="1" x14ac:dyDescent="0.35">
      <c r="A60" s="34"/>
      <c r="B60" s="283"/>
      <c r="C60" s="71"/>
      <c r="D60" s="155"/>
      <c r="E60" s="154"/>
      <c r="F60" s="79"/>
      <c r="G60" s="137"/>
      <c r="H60" s="145"/>
      <c r="I60" s="80"/>
      <c r="J60" s="325" t="s">
        <v>695</v>
      </c>
      <c r="K60" s="462" t="s">
        <v>712</v>
      </c>
      <c r="L60" s="458">
        <f>1033.33+165.33</f>
        <v>1198.6599999999999</v>
      </c>
      <c r="M60" s="623" t="s">
        <v>719</v>
      </c>
      <c r="N60" s="624"/>
      <c r="O60" s="7"/>
      <c r="P60" s="7"/>
      <c r="Q60" s="7"/>
      <c r="R60" s="7"/>
      <c r="S60" s="7"/>
      <c r="T60" s="48"/>
      <c r="W60" s="212"/>
      <c r="X60" s="222"/>
      <c r="Y60" s="207"/>
      <c r="AB60" s="29"/>
      <c r="AC60" s="99"/>
      <c r="AD60" s="99"/>
      <c r="AE60" s="99"/>
      <c r="AF60" s="99"/>
      <c r="AG60" s="99"/>
    </row>
    <row r="61" spans="1:33" ht="15.75" customHeight="1" thickBot="1" x14ac:dyDescent="0.3">
      <c r="A61" s="34"/>
      <c r="B61" s="283"/>
      <c r="C61" s="71"/>
      <c r="D61" s="155"/>
      <c r="E61" s="154"/>
      <c r="F61" s="79"/>
      <c r="G61" s="137"/>
      <c r="H61" s="145"/>
      <c r="I61" s="80"/>
      <c r="J61" s="325" t="s">
        <v>695</v>
      </c>
      <c r="K61" s="466" t="s">
        <v>715</v>
      </c>
      <c r="L61" s="465">
        <v>24433.22</v>
      </c>
      <c r="M61" s="41"/>
      <c r="N61" s="42"/>
      <c r="O61" s="7"/>
      <c r="P61" s="7"/>
      <c r="Q61" s="7"/>
      <c r="R61" s="7"/>
      <c r="S61" s="7"/>
      <c r="T61" s="48"/>
      <c r="W61" s="212"/>
      <c r="X61" s="222"/>
      <c r="Y61" s="207"/>
      <c r="AB61" s="29"/>
      <c r="AC61" s="99"/>
      <c r="AD61" s="99"/>
      <c r="AE61" s="99"/>
      <c r="AF61" s="99"/>
      <c r="AG61" s="99"/>
    </row>
    <row r="62" spans="1:33" ht="15.75" customHeight="1" thickBot="1" x14ac:dyDescent="0.3">
      <c r="A62" s="34"/>
      <c r="B62" s="283"/>
      <c r="C62" s="71"/>
      <c r="D62" s="155"/>
      <c r="E62" s="154"/>
      <c r="F62" s="79"/>
      <c r="G62" s="137"/>
      <c r="H62" s="145"/>
      <c r="I62" s="80"/>
      <c r="J62" s="325" t="s">
        <v>695</v>
      </c>
      <c r="K62" s="425" t="s">
        <v>598</v>
      </c>
      <c r="L62" s="458">
        <v>22595.71</v>
      </c>
      <c r="M62" s="625">
        <f>M57-M39</f>
        <v>-382722.2200000002</v>
      </c>
      <c r="N62" s="626"/>
      <c r="O62" s="7"/>
      <c r="P62" s="7"/>
      <c r="Q62" s="7"/>
      <c r="R62" s="7"/>
      <c r="S62" s="7"/>
      <c r="T62" s="48"/>
      <c r="W62" s="212"/>
      <c r="X62" s="222"/>
      <c r="Y62" s="207"/>
      <c r="AB62" s="29"/>
      <c r="AC62" s="99"/>
      <c r="AD62" s="99"/>
      <c r="AE62" s="99"/>
      <c r="AF62" s="99"/>
      <c r="AG62" s="99"/>
    </row>
    <row r="63" spans="1:33" ht="15.75" customHeight="1" thickBot="1" x14ac:dyDescent="0.3">
      <c r="A63" s="34"/>
      <c r="B63" s="283"/>
      <c r="C63" s="71"/>
      <c r="D63" s="155"/>
      <c r="E63" s="154"/>
      <c r="F63" s="79"/>
      <c r="G63" s="137"/>
      <c r="H63" s="145"/>
      <c r="I63" s="80"/>
      <c r="J63" s="325" t="s">
        <v>695</v>
      </c>
      <c r="K63" s="425" t="s">
        <v>599</v>
      </c>
      <c r="L63" s="458">
        <v>1064</v>
      </c>
      <c r="M63" s="627"/>
      <c r="N63" s="628"/>
      <c r="O63" s="7"/>
      <c r="P63" s="7"/>
      <c r="Q63" s="7"/>
      <c r="R63" s="7"/>
      <c r="S63" s="7"/>
      <c r="T63" s="48"/>
      <c r="W63" s="212"/>
      <c r="X63" s="222"/>
      <c r="Y63" s="207"/>
      <c r="AB63" s="29"/>
      <c r="AC63" s="99"/>
      <c r="AD63" s="99"/>
      <c r="AE63" s="99"/>
      <c r="AF63" s="99"/>
      <c r="AG63" s="99"/>
    </row>
    <row r="64" spans="1:33" ht="15.75" customHeight="1" thickBot="1" x14ac:dyDescent="0.3">
      <c r="A64" s="34"/>
      <c r="B64" s="283"/>
      <c r="C64" s="71"/>
      <c r="D64" s="155"/>
      <c r="E64" s="154"/>
      <c r="F64" s="79"/>
      <c r="G64" s="137"/>
      <c r="H64" s="145"/>
      <c r="I64" s="80"/>
      <c r="J64" s="325" t="s">
        <v>695</v>
      </c>
      <c r="K64" s="425" t="s">
        <v>772</v>
      </c>
      <c r="L64" s="458">
        <v>10440</v>
      </c>
      <c r="M64" s="41"/>
      <c r="N64" s="42"/>
      <c r="O64" s="7"/>
      <c r="P64" s="7"/>
      <c r="Q64" s="7"/>
      <c r="R64" s="7"/>
      <c r="S64" s="7"/>
      <c r="T64" s="48"/>
      <c r="W64" s="212"/>
      <c r="X64" s="222"/>
      <c r="Y64" s="207"/>
      <c r="AB64" s="29"/>
      <c r="AC64" s="99"/>
      <c r="AD64" s="99"/>
      <c r="AE64" s="99"/>
      <c r="AF64" s="99"/>
      <c r="AG64" s="99"/>
    </row>
    <row r="65" spans="1:33" ht="15.75" customHeight="1" thickBot="1" x14ac:dyDescent="0.3">
      <c r="A65" s="34"/>
      <c r="B65" s="35"/>
      <c r="C65" s="71"/>
      <c r="D65" s="82"/>
      <c r="E65" s="78"/>
      <c r="F65" s="79"/>
      <c r="H65" s="73"/>
      <c r="I65" s="80"/>
      <c r="J65" s="325" t="s">
        <v>695</v>
      </c>
      <c r="K65" s="467"/>
      <c r="L65" s="458"/>
      <c r="M65" s="41"/>
      <c r="N65" s="42"/>
      <c r="O65" s="7"/>
      <c r="P65" s="7"/>
      <c r="Q65" s="7"/>
      <c r="R65" s="7"/>
      <c r="S65" s="7"/>
      <c r="T65" s="48"/>
      <c r="W65" s="212"/>
      <c r="X65" s="222"/>
      <c r="Y65" s="207"/>
      <c r="AB65" s="29"/>
      <c r="AC65" s="99"/>
      <c r="AD65" s="99"/>
      <c r="AE65" s="99"/>
      <c r="AF65" s="99"/>
      <c r="AG65" s="99"/>
    </row>
    <row r="66" spans="1:33" ht="16.5" thickBot="1" x14ac:dyDescent="0.3">
      <c r="A66" s="34"/>
      <c r="B66" s="35"/>
      <c r="C66" s="36">
        <v>0</v>
      </c>
      <c r="D66" s="82"/>
      <c r="E66" s="78"/>
      <c r="F66" s="79"/>
      <c r="H66" s="73"/>
      <c r="I66" s="80"/>
      <c r="J66" s="325" t="s">
        <v>695</v>
      </c>
      <c r="K66" s="468"/>
      <c r="L66" s="6"/>
      <c r="M66" s="41"/>
      <c r="N66" s="42"/>
      <c r="O66" s="7"/>
      <c r="P66" s="7"/>
      <c r="Q66" s="7"/>
      <c r="R66" s="84">
        <v>0</v>
      </c>
      <c r="S66" s="84">
        <v>0</v>
      </c>
      <c r="T66" s="48"/>
      <c r="W66" s="210"/>
      <c r="X66" s="222"/>
      <c r="Y66" s="207"/>
      <c r="AB66" s="29"/>
      <c r="AC66" s="99"/>
      <c r="AD66" s="99"/>
      <c r="AE66" s="99"/>
      <c r="AF66" s="99"/>
      <c r="AG66" s="99"/>
    </row>
    <row r="67" spans="1:33" ht="16.5" thickBot="1" x14ac:dyDescent="0.3">
      <c r="B67" s="85" t="s">
        <v>13</v>
      </c>
      <c r="C67" s="86">
        <f>SUM(C5:C66)</f>
        <v>1044639.36</v>
      </c>
      <c r="D67" s="87"/>
      <c r="E67" s="88" t="s">
        <v>13</v>
      </c>
      <c r="F67" s="89">
        <f>SUM(F5:F66)</f>
        <v>5068756</v>
      </c>
      <c r="G67" s="87"/>
      <c r="H67" s="90" t="s">
        <v>14</v>
      </c>
      <c r="I67" s="91">
        <f>SUM(I5:I66)</f>
        <v>53841.9</v>
      </c>
      <c r="J67" s="92"/>
      <c r="K67" s="93" t="s">
        <v>15</v>
      </c>
      <c r="L67" s="94">
        <f>SUM(L5:L66)</f>
        <v>533364.22</v>
      </c>
      <c r="M67" s="95"/>
      <c r="N67" s="95"/>
      <c r="O67" s="366"/>
      <c r="P67" s="366"/>
      <c r="Q67" s="366"/>
      <c r="R67" s="7">
        <f>SUM(R5:R66)</f>
        <v>10381686.639999999</v>
      </c>
      <c r="S67" s="7">
        <f>SUM(S5:S66)</f>
        <v>122087.31999999998</v>
      </c>
      <c r="T67" s="97"/>
      <c r="W67" s="210"/>
      <c r="X67" s="222"/>
      <c r="Y67" s="207"/>
    </row>
    <row r="68" spans="1:33" ht="20.25" thickTop="1" thickBot="1" x14ac:dyDescent="0.3">
      <c r="C68" s="8" t="s">
        <v>11</v>
      </c>
      <c r="R68" s="7"/>
      <c r="S68" s="7"/>
      <c r="T68" s="98"/>
      <c r="U68" s="99"/>
      <c r="W68" s="211"/>
      <c r="X68" s="223"/>
      <c r="Y68" s="208"/>
    </row>
    <row r="69" spans="1:33" ht="17.25" customHeight="1" thickBot="1" x14ac:dyDescent="0.3">
      <c r="A69" s="60"/>
      <c r="B69" s="100"/>
      <c r="C69" s="4"/>
      <c r="H69" s="548" t="s">
        <v>16</v>
      </c>
      <c r="I69" s="549"/>
      <c r="J69" s="101"/>
      <c r="K69" s="550">
        <f>I67+L67</f>
        <v>587206.12</v>
      </c>
      <c r="L69" s="551"/>
      <c r="M69" s="470"/>
      <c r="N69" s="471"/>
      <c r="O69" s="367"/>
      <c r="P69" s="367"/>
      <c r="Q69" s="367"/>
      <c r="R69" s="99"/>
      <c r="S69" s="99"/>
      <c r="U69" s="174"/>
      <c r="AB69" s="320"/>
      <c r="AC69" s="327"/>
      <c r="AD69" s="327"/>
      <c r="AE69" s="327"/>
      <c r="AF69" s="327"/>
      <c r="AG69" s="327"/>
    </row>
    <row r="70" spans="1:33" ht="19.5" customHeight="1" thickBot="1" x14ac:dyDescent="0.3">
      <c r="D70" s="560" t="s">
        <v>17</v>
      </c>
      <c r="E70" s="560"/>
      <c r="F70" s="103">
        <f>F67-K69-C67</f>
        <v>3436910.52</v>
      </c>
      <c r="I70" s="104"/>
      <c r="J70" s="105"/>
      <c r="R70" s="561">
        <f>R67+S67</f>
        <v>10503773.959999999</v>
      </c>
      <c r="S70" s="562"/>
      <c r="U70" s="50"/>
    </row>
    <row r="71" spans="1:33" ht="15.75" customHeight="1" x14ac:dyDescent="0.3">
      <c r="D71" s="563" t="s">
        <v>502</v>
      </c>
      <c r="E71" s="563"/>
      <c r="F71" s="95">
        <v>-3290264.27</v>
      </c>
      <c r="I71" s="564" t="s">
        <v>19</v>
      </c>
      <c r="J71" s="565"/>
      <c r="K71" s="566">
        <f>F73+F74+F75</f>
        <v>426565.1</v>
      </c>
      <c r="L71" s="567"/>
      <c r="R71" s="50"/>
      <c r="U71" s="107"/>
    </row>
    <row r="72" spans="1:33" ht="19.5" thickBot="1" x14ac:dyDescent="0.35">
      <c r="D72" s="108"/>
      <c r="E72" s="60"/>
      <c r="F72" s="109">
        <v>0</v>
      </c>
      <c r="I72" s="110"/>
      <c r="J72" s="111"/>
      <c r="K72" s="112"/>
      <c r="L72" s="113"/>
      <c r="R72" s="107"/>
      <c r="S72" s="7"/>
      <c r="U72" s="50"/>
    </row>
    <row r="73" spans="1:33" ht="18.75" customHeight="1" thickTop="1" x14ac:dyDescent="0.3">
      <c r="C73" s="9" t="s">
        <v>11</v>
      </c>
      <c r="E73" s="60" t="s">
        <v>20</v>
      </c>
      <c r="F73" s="95">
        <f>SUM(F70:F72)</f>
        <v>146646.25</v>
      </c>
      <c r="H73" s="34"/>
      <c r="I73" s="114" t="s">
        <v>21</v>
      </c>
      <c r="J73" s="115"/>
      <c r="K73" s="568">
        <f>-C4</f>
        <v>-308642.71999999997</v>
      </c>
      <c r="L73" s="612"/>
      <c r="R73" s="50"/>
      <c r="S73" s="7"/>
      <c r="U73" s="50"/>
    </row>
    <row r="74" spans="1:33" ht="16.5" thickBot="1" x14ac:dyDescent="0.3">
      <c r="D74" s="117" t="s">
        <v>22</v>
      </c>
      <c r="E74" s="60" t="s">
        <v>23</v>
      </c>
      <c r="F74" s="118">
        <v>29778</v>
      </c>
      <c r="R74" s="50"/>
      <c r="S74" s="7"/>
      <c r="U74" s="50"/>
    </row>
    <row r="75" spans="1:33" ht="20.25" thickTop="1" thickBot="1" x14ac:dyDescent="0.35">
      <c r="C75" s="119">
        <v>44410</v>
      </c>
      <c r="D75" s="554" t="s">
        <v>24</v>
      </c>
      <c r="E75" s="555"/>
      <c r="F75" s="120">
        <v>250140.85</v>
      </c>
      <c r="I75" s="556" t="s">
        <v>25</v>
      </c>
      <c r="J75" s="557"/>
      <c r="K75" s="558">
        <f>K71+K73</f>
        <v>117922.38</v>
      </c>
      <c r="L75" s="558"/>
      <c r="R75" s="50"/>
      <c r="S75" s="7"/>
      <c r="U75" s="121"/>
    </row>
    <row r="76" spans="1:33" ht="18" thickBot="1" x14ac:dyDescent="0.35">
      <c r="C76" s="122"/>
      <c r="D76" s="123"/>
      <c r="E76" s="57"/>
      <c r="F76" s="124"/>
      <c r="J76" s="125"/>
      <c r="R76" s="121"/>
      <c r="S76" s="7"/>
    </row>
    <row r="77" spans="1:33" ht="15.75" customHeight="1" x14ac:dyDescent="0.25">
      <c r="I77" s="613" t="s">
        <v>610</v>
      </c>
      <c r="J77" s="614"/>
      <c r="K77" s="617">
        <v>-383122.22</v>
      </c>
      <c r="L77" s="618"/>
      <c r="R77" s="7"/>
      <c r="S77" s="7"/>
    </row>
    <row r="78" spans="1:33" ht="16.5" customHeight="1" thickBot="1" x14ac:dyDescent="0.3">
      <c r="B78" s="127"/>
      <c r="C78" s="128"/>
      <c r="D78" s="129"/>
      <c r="E78" s="7"/>
      <c r="I78" s="615"/>
      <c r="J78" s="616"/>
      <c r="K78" s="619"/>
      <c r="L78" s="620"/>
      <c r="M78" s="2"/>
      <c r="N78" s="60"/>
      <c r="O78" s="165"/>
      <c r="P78" s="165"/>
      <c r="Q78" s="165"/>
      <c r="R78" s="7"/>
      <c r="S78" s="7"/>
      <c r="T78" s="165"/>
      <c r="U78" s="173"/>
    </row>
    <row r="79" spans="1:33" x14ac:dyDescent="0.25">
      <c r="B79" s="127"/>
      <c r="C79" s="130"/>
      <c r="E79" s="7"/>
      <c r="M79" s="2"/>
      <c r="N79" s="60"/>
      <c r="O79" s="165"/>
      <c r="P79" s="165"/>
      <c r="Q79" s="165"/>
      <c r="R79" s="173"/>
      <c r="S79" s="165"/>
      <c r="T79" s="165"/>
      <c r="U79" s="165"/>
      <c r="AB79" s="248"/>
      <c r="AC79" s="322"/>
      <c r="AD79" s="322"/>
      <c r="AE79" s="322"/>
      <c r="AF79" s="322"/>
      <c r="AG79" s="322"/>
    </row>
    <row r="80" spans="1:33" x14ac:dyDescent="0.25">
      <c r="B80" s="127"/>
      <c r="C80" s="130"/>
      <c r="E80" s="7"/>
      <c r="F80" s="132"/>
      <c r="L80" s="133"/>
      <c r="M80" s="4"/>
      <c r="R80" s="165"/>
      <c r="S80" s="165"/>
      <c r="AB80" s="248"/>
      <c r="AC80" s="322"/>
      <c r="AD80" s="322"/>
      <c r="AE80" s="322"/>
      <c r="AF80" s="322"/>
      <c r="AG80" s="322"/>
    </row>
    <row r="81" spans="2:33" ht="21" x14ac:dyDescent="0.25">
      <c r="B81" s="127"/>
      <c r="C81" s="130"/>
      <c r="E81" s="7"/>
      <c r="M81" s="4"/>
      <c r="AC81" s="585"/>
      <c r="AD81" s="440"/>
      <c r="AE81" s="440"/>
      <c r="AF81" s="440"/>
      <c r="AG81" s="440"/>
    </row>
    <row r="82" spans="2:33" ht="21" x14ac:dyDescent="0.25">
      <c r="B82" s="127"/>
      <c r="C82" s="130"/>
      <c r="D82" s="272"/>
      <c r="E82" s="7"/>
      <c r="F82" s="273"/>
      <c r="M82" s="4"/>
      <c r="AC82" s="585"/>
      <c r="AD82" s="440"/>
      <c r="AE82" s="440"/>
      <c r="AF82" s="440"/>
      <c r="AG82" s="440"/>
    </row>
    <row r="83" spans="2:33" x14ac:dyDescent="0.25">
      <c r="D83" s="272"/>
      <c r="E83" s="274"/>
      <c r="F83" s="7"/>
      <c r="M83" s="4"/>
    </row>
    <row r="84" spans="2:33" x14ac:dyDescent="0.25">
      <c r="D84" s="272"/>
      <c r="E84" s="274"/>
      <c r="F84" s="7"/>
      <c r="M84" s="4"/>
    </row>
    <row r="85" spans="2:33" x14ac:dyDescent="0.25">
      <c r="D85" s="272"/>
      <c r="E85" s="274"/>
      <c r="F85" s="7"/>
      <c r="M85" s="4"/>
    </row>
    <row r="86" spans="2:33" x14ac:dyDescent="0.25">
      <c r="D86" s="272"/>
      <c r="E86" s="274"/>
      <c r="F86" s="7"/>
      <c r="M86" s="4"/>
    </row>
    <row r="87" spans="2:33" x14ac:dyDescent="0.25">
      <c r="D87" s="272"/>
      <c r="E87" s="274"/>
      <c r="F87" s="7"/>
      <c r="M87" s="4"/>
    </row>
    <row r="88" spans="2:33" x14ac:dyDescent="0.25">
      <c r="D88" s="272"/>
      <c r="E88" s="274"/>
      <c r="F88" s="7"/>
      <c r="M88" s="4"/>
    </row>
    <row r="89" spans="2:33" x14ac:dyDescent="0.25">
      <c r="D89" s="272"/>
      <c r="E89" s="274"/>
      <c r="F89" s="7"/>
      <c r="M89" s="4"/>
    </row>
    <row r="90" spans="2:33" x14ac:dyDescent="0.25">
      <c r="D90" s="272"/>
      <c r="E90" s="274"/>
      <c r="F90" s="7"/>
      <c r="M90" s="4"/>
    </row>
    <row r="91" spans="2:33" x14ac:dyDescent="0.25">
      <c r="D91" s="272"/>
      <c r="E91" s="274"/>
      <c r="F91" s="7"/>
      <c r="M91" s="4"/>
    </row>
    <row r="92" spans="2:33" x14ac:dyDescent="0.25">
      <c r="D92" s="272"/>
      <c r="E92" s="274"/>
      <c r="F92" s="7"/>
      <c r="M92" s="4"/>
    </row>
    <row r="93" spans="2:33" x14ac:dyDescent="0.25">
      <c r="D93" s="272"/>
      <c r="E93" s="274"/>
      <c r="F93" s="7"/>
      <c r="M93" s="4"/>
    </row>
    <row r="94" spans="2:33" x14ac:dyDescent="0.25">
      <c r="D94" s="272"/>
      <c r="E94" s="274"/>
      <c r="F94" s="7"/>
    </row>
    <row r="95" spans="2:33" x14ac:dyDescent="0.25">
      <c r="D95" s="272"/>
      <c r="E95" s="272"/>
      <c r="F95" s="273"/>
    </row>
    <row r="96" spans="2:33" x14ac:dyDescent="0.25">
      <c r="D96" s="272"/>
      <c r="E96" s="272"/>
      <c r="F96" s="273"/>
    </row>
    <row r="97" spans="4:6" x14ac:dyDescent="0.25">
      <c r="D97" s="272"/>
      <c r="E97" s="272"/>
      <c r="F97" s="273"/>
    </row>
  </sheetData>
  <mergeCells count="37">
    <mergeCell ref="AG25:AG26"/>
    <mergeCell ref="AB29:AB30"/>
    <mergeCell ref="AC29:AC30"/>
    <mergeCell ref="B1:B2"/>
    <mergeCell ref="C1:K1"/>
    <mergeCell ref="AB2:AG3"/>
    <mergeCell ref="B3:C3"/>
    <mergeCell ref="H3:I3"/>
    <mergeCell ref="P3:P4"/>
    <mergeCell ref="E4:F4"/>
    <mergeCell ref="H4:I4"/>
    <mergeCell ref="AB4:AC4"/>
    <mergeCell ref="AE4:AG4"/>
    <mergeCell ref="Q3:Q4"/>
    <mergeCell ref="S3:S4"/>
    <mergeCell ref="D71:E71"/>
    <mergeCell ref="I71:J71"/>
    <mergeCell ref="K71:L71"/>
    <mergeCell ref="AE23:AF23"/>
    <mergeCell ref="AE25:AF26"/>
    <mergeCell ref="H69:I69"/>
    <mergeCell ref="K69:L69"/>
    <mergeCell ref="D70:E70"/>
    <mergeCell ref="R70:S70"/>
    <mergeCell ref="M57:M58"/>
    <mergeCell ref="M60:N60"/>
    <mergeCell ref="M62:N63"/>
    <mergeCell ref="M39:M40"/>
    <mergeCell ref="N39:N40"/>
    <mergeCell ref="M44:N44"/>
    <mergeCell ref="AC81:AC82"/>
    <mergeCell ref="K73:L73"/>
    <mergeCell ref="D75:E75"/>
    <mergeCell ref="I75:J75"/>
    <mergeCell ref="K75:L75"/>
    <mergeCell ref="I77:J78"/>
    <mergeCell ref="K77:L78"/>
  </mergeCells>
  <pageMargins left="0.35433070866141736" right="0.27559055118110237" top="0.27559055118110237" bottom="0.31496062992125984" header="0.31496062992125984" footer="0.31496062992125984"/>
  <pageSetup scale="90" orientation="portrait" horizontalDpi="0" verticalDpi="0" r:id="rId1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G134"/>
  <sheetViews>
    <sheetView topLeftCell="A37" workbookViewId="0">
      <selection activeCell="B52" sqref="B52"/>
    </sheetView>
  </sheetViews>
  <sheetFormatPr baseColWidth="10" defaultRowHeight="15" x14ac:dyDescent="0.25"/>
  <cols>
    <col min="1" max="1" width="13.42578125" style="60" bestFit="1" customWidth="1"/>
    <col min="2" max="2" width="12.85546875" bestFit="1" customWidth="1"/>
    <col min="3" max="3" width="15.85546875" style="9" bestFit="1" customWidth="1"/>
    <col min="4" max="4" width="12.42578125" bestFit="1" customWidth="1"/>
    <col min="5" max="5" width="15.140625" style="9" bestFit="1" customWidth="1"/>
    <col min="6" max="6" width="19.5703125" style="8" bestFit="1" customWidth="1"/>
  </cols>
  <sheetData>
    <row r="1" spans="1:7" ht="36.75" customHeight="1" thickBot="1" x14ac:dyDescent="0.4">
      <c r="A1" s="324" t="s">
        <v>529</v>
      </c>
      <c r="B1" s="175" t="s">
        <v>31</v>
      </c>
      <c r="C1" s="176"/>
      <c r="D1" s="177"/>
      <c r="E1" s="176"/>
      <c r="F1" s="178"/>
    </row>
    <row r="2" spans="1:7" ht="16.5" thickBot="1" x14ac:dyDescent="0.3">
      <c r="A2" s="179" t="s">
        <v>5</v>
      </c>
      <c r="B2" s="179" t="s">
        <v>27</v>
      </c>
      <c r="C2" s="180" t="s">
        <v>28</v>
      </c>
      <c r="D2" s="179" t="s">
        <v>29</v>
      </c>
      <c r="E2" s="180" t="s">
        <v>30</v>
      </c>
      <c r="F2" s="180" t="s">
        <v>28</v>
      </c>
    </row>
    <row r="3" spans="1:7" ht="18.75" x14ac:dyDescent="0.3">
      <c r="A3" s="192">
        <v>44378</v>
      </c>
      <c r="B3" s="193" t="s">
        <v>612</v>
      </c>
      <c r="C3" s="71">
        <v>167572.29</v>
      </c>
      <c r="D3" s="194"/>
      <c r="E3" s="6"/>
      <c r="F3" s="182">
        <f>C3-E3</f>
        <v>167572.29</v>
      </c>
    </row>
    <row r="4" spans="1:7" ht="18.75" x14ac:dyDescent="0.3">
      <c r="A4" s="192">
        <v>44378</v>
      </c>
      <c r="B4" s="193" t="s">
        <v>613</v>
      </c>
      <c r="C4" s="71">
        <v>1570.2</v>
      </c>
      <c r="D4" s="195"/>
      <c r="E4" s="71"/>
      <c r="F4" s="183">
        <f>F3+C4-E4</f>
        <v>169142.49000000002</v>
      </c>
      <c r="G4" s="184"/>
    </row>
    <row r="5" spans="1:7" ht="15.75" x14ac:dyDescent="0.25">
      <c r="A5" s="195">
        <v>44378</v>
      </c>
      <c r="B5" s="193" t="s">
        <v>614</v>
      </c>
      <c r="C5" s="71">
        <v>50</v>
      </c>
      <c r="D5" s="195"/>
      <c r="E5" s="71"/>
      <c r="F5" s="183">
        <f t="shared" ref="F5:F87" si="0">F4+C5-E5</f>
        <v>169192.49000000002</v>
      </c>
    </row>
    <row r="6" spans="1:7" ht="15.75" x14ac:dyDescent="0.25">
      <c r="A6" s="195">
        <v>44378</v>
      </c>
      <c r="B6" s="193" t="s">
        <v>615</v>
      </c>
      <c r="C6" s="71">
        <v>1501.5</v>
      </c>
      <c r="D6" s="195"/>
      <c r="E6" s="71"/>
      <c r="F6" s="183">
        <f t="shared" si="0"/>
        <v>170693.99000000002</v>
      </c>
    </row>
    <row r="7" spans="1:7" ht="15.75" x14ac:dyDescent="0.25">
      <c r="A7" s="195">
        <v>44379</v>
      </c>
      <c r="B7" s="193" t="s">
        <v>616</v>
      </c>
      <c r="C7" s="71">
        <v>150631.70000000001</v>
      </c>
      <c r="D7" s="195"/>
      <c r="E7" s="71"/>
      <c r="F7" s="183">
        <f t="shared" si="0"/>
        <v>321325.69000000006</v>
      </c>
    </row>
    <row r="8" spans="1:7" ht="15.75" x14ac:dyDescent="0.25">
      <c r="A8" s="195">
        <v>44379</v>
      </c>
      <c r="B8" s="193" t="s">
        <v>617</v>
      </c>
      <c r="C8" s="71">
        <v>10630.6</v>
      </c>
      <c r="D8" s="195">
        <v>44380</v>
      </c>
      <c r="E8" s="71">
        <v>331956.28999999998</v>
      </c>
      <c r="F8" s="183">
        <f t="shared" si="0"/>
        <v>0</v>
      </c>
    </row>
    <row r="9" spans="1:7" ht="15.75" x14ac:dyDescent="0.25">
      <c r="A9" s="195">
        <v>44380</v>
      </c>
      <c r="B9" s="193" t="s">
        <v>618</v>
      </c>
      <c r="C9" s="71">
        <v>41478.800000000003</v>
      </c>
      <c r="D9" s="195"/>
      <c r="E9" s="71"/>
      <c r="F9" s="183">
        <f t="shared" si="0"/>
        <v>41478.800000000003</v>
      </c>
    </row>
    <row r="10" spans="1:7" ht="18.75" x14ac:dyDescent="0.3">
      <c r="A10" s="195">
        <v>44380</v>
      </c>
      <c r="B10" s="193" t="s">
        <v>619</v>
      </c>
      <c r="C10" s="71">
        <v>22978</v>
      </c>
      <c r="D10" s="195"/>
      <c r="E10" s="71"/>
      <c r="F10" s="183">
        <f t="shared" si="0"/>
        <v>64456.800000000003</v>
      </c>
      <c r="G10" s="184"/>
    </row>
    <row r="11" spans="1:7" ht="15.75" x14ac:dyDescent="0.25">
      <c r="A11" s="192">
        <v>44381</v>
      </c>
      <c r="B11" s="193" t="s">
        <v>620</v>
      </c>
      <c r="C11" s="71">
        <v>36367.800000000003</v>
      </c>
      <c r="D11" s="195"/>
      <c r="E11" s="71"/>
      <c r="F11" s="183">
        <f t="shared" si="0"/>
        <v>100824.6</v>
      </c>
    </row>
    <row r="12" spans="1:7" ht="15.75" x14ac:dyDescent="0.25">
      <c r="A12" s="195">
        <v>44382</v>
      </c>
      <c r="B12" s="193" t="s">
        <v>621</v>
      </c>
      <c r="C12" s="71">
        <v>86609.1</v>
      </c>
      <c r="D12" s="195"/>
      <c r="E12" s="71"/>
      <c r="F12" s="183">
        <f t="shared" si="0"/>
        <v>187433.7</v>
      </c>
    </row>
    <row r="13" spans="1:7" ht="15.75" x14ac:dyDescent="0.25">
      <c r="A13" s="195">
        <v>44383</v>
      </c>
      <c r="B13" s="193" t="s">
        <v>622</v>
      </c>
      <c r="C13" s="71">
        <v>143566.39999999999</v>
      </c>
      <c r="D13" s="195"/>
      <c r="E13" s="71"/>
      <c r="F13" s="183">
        <f t="shared" si="0"/>
        <v>331000.09999999998</v>
      </c>
    </row>
    <row r="14" spans="1:7" ht="15.75" x14ac:dyDescent="0.25">
      <c r="A14" s="195">
        <v>44383</v>
      </c>
      <c r="B14" s="193" t="s">
        <v>623</v>
      </c>
      <c r="C14" s="71">
        <v>13006.5</v>
      </c>
      <c r="D14" s="195"/>
      <c r="E14" s="71"/>
      <c r="F14" s="183">
        <f t="shared" si="0"/>
        <v>344006.6</v>
      </c>
    </row>
    <row r="15" spans="1:7" ht="15.75" x14ac:dyDescent="0.25">
      <c r="A15" s="195">
        <v>44384</v>
      </c>
      <c r="B15" s="193" t="s">
        <v>624</v>
      </c>
      <c r="C15" s="71">
        <v>4243.2</v>
      </c>
      <c r="D15" s="195"/>
      <c r="E15" s="71"/>
      <c r="F15" s="183">
        <f t="shared" si="0"/>
        <v>348249.8</v>
      </c>
    </row>
    <row r="16" spans="1:7" ht="15.75" x14ac:dyDescent="0.25">
      <c r="A16" s="195">
        <v>44385</v>
      </c>
      <c r="B16" s="193" t="s">
        <v>625</v>
      </c>
      <c r="C16" s="71">
        <v>162856.76</v>
      </c>
      <c r="D16" s="195"/>
      <c r="E16" s="71"/>
      <c r="F16" s="183">
        <f t="shared" si="0"/>
        <v>511106.56</v>
      </c>
    </row>
    <row r="17" spans="1:7" ht="15.75" x14ac:dyDescent="0.25">
      <c r="A17" s="195">
        <v>44385</v>
      </c>
      <c r="B17" s="193" t="s">
        <v>626</v>
      </c>
      <c r="C17" s="71">
        <v>18152.400000000001</v>
      </c>
      <c r="D17" s="195"/>
      <c r="E17" s="71"/>
      <c r="F17" s="183">
        <f t="shared" si="0"/>
        <v>529258.96</v>
      </c>
    </row>
    <row r="18" spans="1:7" ht="15.75" x14ac:dyDescent="0.25">
      <c r="A18" s="195">
        <v>44386</v>
      </c>
      <c r="B18" s="193" t="s">
        <v>627</v>
      </c>
      <c r="C18" s="71">
        <v>21899.7</v>
      </c>
      <c r="D18" s="195">
        <v>44387</v>
      </c>
      <c r="E18" s="71">
        <v>551158.66</v>
      </c>
      <c r="F18" s="183">
        <f t="shared" si="0"/>
        <v>0</v>
      </c>
    </row>
    <row r="19" spans="1:7" ht="15.75" x14ac:dyDescent="0.25">
      <c r="A19" s="195">
        <v>44386</v>
      </c>
      <c r="B19" s="193" t="s">
        <v>628</v>
      </c>
      <c r="C19" s="71">
        <v>214902.82</v>
      </c>
      <c r="D19" s="195"/>
      <c r="E19" s="71"/>
      <c r="F19" s="183">
        <f t="shared" si="0"/>
        <v>214902.82</v>
      </c>
    </row>
    <row r="20" spans="1:7" ht="15.75" x14ac:dyDescent="0.25">
      <c r="A20" s="195">
        <v>44386</v>
      </c>
      <c r="B20" s="193" t="s">
        <v>629</v>
      </c>
      <c r="C20" s="71">
        <v>11716.2</v>
      </c>
      <c r="D20" s="195"/>
      <c r="E20" s="71"/>
      <c r="F20" s="183">
        <f t="shared" si="0"/>
        <v>226619.02000000002</v>
      </c>
    </row>
    <row r="21" spans="1:7" ht="15.75" x14ac:dyDescent="0.25">
      <c r="A21" s="195">
        <v>44387</v>
      </c>
      <c r="B21" s="193" t="s">
        <v>630</v>
      </c>
      <c r="C21" s="71">
        <v>29018.5</v>
      </c>
      <c r="D21" s="195"/>
      <c r="E21" s="71"/>
      <c r="F21" s="183">
        <f t="shared" si="0"/>
        <v>255637.52000000002</v>
      </c>
    </row>
    <row r="22" spans="1:7" ht="18.75" x14ac:dyDescent="0.3">
      <c r="A22" s="195">
        <v>44387</v>
      </c>
      <c r="B22" s="193" t="s">
        <v>631</v>
      </c>
      <c r="C22" s="71">
        <v>41165.4</v>
      </c>
      <c r="D22" s="195"/>
      <c r="E22" s="71"/>
      <c r="F22" s="183">
        <f t="shared" si="0"/>
        <v>296802.92000000004</v>
      </c>
      <c r="G22" s="184"/>
    </row>
    <row r="23" spans="1:7" ht="15.75" x14ac:dyDescent="0.25">
      <c r="A23" s="195">
        <v>44389</v>
      </c>
      <c r="B23" s="193" t="s">
        <v>632</v>
      </c>
      <c r="C23" s="71">
        <v>61268.3</v>
      </c>
      <c r="D23" s="195"/>
      <c r="E23" s="71"/>
      <c r="F23" s="183">
        <f t="shared" si="0"/>
        <v>358071.22000000003</v>
      </c>
    </row>
    <row r="24" spans="1:7" ht="15.75" x14ac:dyDescent="0.25">
      <c r="A24" s="195">
        <v>44390</v>
      </c>
      <c r="B24" s="193" t="s">
        <v>633</v>
      </c>
      <c r="C24" s="71">
        <v>81737.7</v>
      </c>
      <c r="D24" s="195"/>
      <c r="E24" s="71"/>
      <c r="F24" s="183">
        <f t="shared" si="0"/>
        <v>439808.92000000004</v>
      </c>
    </row>
    <row r="25" spans="1:7" ht="15.75" x14ac:dyDescent="0.25">
      <c r="A25" s="195">
        <v>44390</v>
      </c>
      <c r="B25" s="193" t="s">
        <v>634</v>
      </c>
      <c r="C25" s="71">
        <v>45814.2</v>
      </c>
      <c r="D25" s="195"/>
      <c r="E25" s="71"/>
      <c r="F25" s="183">
        <f t="shared" si="0"/>
        <v>485623.12000000005</v>
      </c>
    </row>
    <row r="26" spans="1:7" ht="15.75" x14ac:dyDescent="0.25">
      <c r="A26" s="195">
        <v>44391</v>
      </c>
      <c r="B26" s="193" t="s">
        <v>635</v>
      </c>
      <c r="C26" s="71">
        <v>178032.02</v>
      </c>
      <c r="D26" s="195"/>
      <c r="E26" s="71"/>
      <c r="F26" s="183">
        <f t="shared" si="0"/>
        <v>663655.14</v>
      </c>
    </row>
    <row r="27" spans="1:7" ht="15.75" x14ac:dyDescent="0.25">
      <c r="A27" s="195">
        <v>44393</v>
      </c>
      <c r="B27" s="193" t="s">
        <v>636</v>
      </c>
      <c r="C27" s="71">
        <v>112728.06</v>
      </c>
      <c r="D27" s="195"/>
      <c r="E27" s="71"/>
      <c r="F27" s="183">
        <f t="shared" si="0"/>
        <v>776383.2</v>
      </c>
    </row>
    <row r="28" spans="1:7" ht="15.75" x14ac:dyDescent="0.25">
      <c r="A28" s="195">
        <v>44393</v>
      </c>
      <c r="B28" s="193" t="s">
        <v>637</v>
      </c>
      <c r="C28" s="71">
        <v>68124.100000000006</v>
      </c>
      <c r="D28" s="195">
        <v>44394</v>
      </c>
      <c r="E28" s="71">
        <v>844507.3</v>
      </c>
      <c r="F28" s="183">
        <f t="shared" si="0"/>
        <v>0</v>
      </c>
    </row>
    <row r="29" spans="1:7" ht="15.75" x14ac:dyDescent="0.25">
      <c r="A29" s="195">
        <v>44394</v>
      </c>
      <c r="B29" s="193" t="s">
        <v>638</v>
      </c>
      <c r="C29" s="71">
        <v>203141.25</v>
      </c>
      <c r="D29" s="195"/>
      <c r="E29" s="71"/>
      <c r="F29" s="183">
        <f t="shared" si="0"/>
        <v>203141.25</v>
      </c>
    </row>
    <row r="30" spans="1:7" ht="18.75" x14ac:dyDescent="0.3">
      <c r="A30" s="195">
        <v>44394</v>
      </c>
      <c r="B30" s="193" t="s">
        <v>639</v>
      </c>
      <c r="C30" s="71">
        <v>1863</v>
      </c>
      <c r="D30" s="195"/>
      <c r="E30" s="71"/>
      <c r="F30" s="183">
        <f t="shared" si="0"/>
        <v>205004.25</v>
      </c>
      <c r="G30" s="184"/>
    </row>
    <row r="31" spans="1:7" ht="15.75" x14ac:dyDescent="0.25">
      <c r="A31" s="195">
        <v>44394</v>
      </c>
      <c r="B31" s="193" t="s">
        <v>640</v>
      </c>
      <c r="C31" s="71">
        <v>49296.6</v>
      </c>
      <c r="D31" s="195"/>
      <c r="E31" s="71"/>
      <c r="F31" s="183">
        <f t="shared" si="0"/>
        <v>254300.85</v>
      </c>
    </row>
    <row r="32" spans="1:7" ht="15.75" x14ac:dyDescent="0.25">
      <c r="A32" s="195">
        <v>44394</v>
      </c>
      <c r="B32" s="193" t="s">
        <v>641</v>
      </c>
      <c r="C32" s="71">
        <v>3888</v>
      </c>
      <c r="D32" s="195"/>
      <c r="E32" s="71"/>
      <c r="F32" s="183">
        <f t="shared" si="0"/>
        <v>258188.85</v>
      </c>
    </row>
    <row r="33" spans="1:6" ht="15.75" x14ac:dyDescent="0.25">
      <c r="A33" s="195">
        <v>44394</v>
      </c>
      <c r="B33" s="193" t="s">
        <v>642</v>
      </c>
      <c r="C33" s="71">
        <v>2142</v>
      </c>
      <c r="D33" s="195"/>
      <c r="E33" s="71"/>
      <c r="F33" s="183">
        <f t="shared" si="0"/>
        <v>260330.85</v>
      </c>
    </row>
    <row r="34" spans="1:6" ht="15.75" x14ac:dyDescent="0.25">
      <c r="A34" s="195">
        <v>44396</v>
      </c>
      <c r="B34" s="193" t="s">
        <v>643</v>
      </c>
      <c r="C34" s="71">
        <v>23409.3</v>
      </c>
      <c r="D34" s="195"/>
      <c r="E34" s="71"/>
      <c r="F34" s="183">
        <f t="shared" si="0"/>
        <v>283740.15000000002</v>
      </c>
    </row>
    <row r="35" spans="1:6" ht="15.75" x14ac:dyDescent="0.25">
      <c r="A35" s="195">
        <v>44396</v>
      </c>
      <c r="B35" s="193" t="s">
        <v>644</v>
      </c>
      <c r="C35" s="71">
        <v>110387.4</v>
      </c>
      <c r="D35" s="195"/>
      <c r="E35" s="71"/>
      <c r="F35" s="183">
        <f t="shared" si="0"/>
        <v>394127.55000000005</v>
      </c>
    </row>
    <row r="36" spans="1:6" ht="15.75" x14ac:dyDescent="0.25">
      <c r="A36" s="195">
        <v>44397</v>
      </c>
      <c r="B36" s="193" t="s">
        <v>645</v>
      </c>
      <c r="C36" s="71">
        <v>25164.3</v>
      </c>
      <c r="D36" s="195"/>
      <c r="E36" s="71"/>
      <c r="F36" s="183">
        <f t="shared" si="0"/>
        <v>419291.85000000003</v>
      </c>
    </row>
    <row r="37" spans="1:6" ht="15.75" x14ac:dyDescent="0.25">
      <c r="A37" s="195">
        <v>44397</v>
      </c>
      <c r="B37" s="193" t="s">
        <v>646</v>
      </c>
      <c r="C37" s="71">
        <v>44415.9</v>
      </c>
      <c r="D37" s="195"/>
      <c r="E37" s="71"/>
      <c r="F37" s="183">
        <f t="shared" si="0"/>
        <v>463707.75000000006</v>
      </c>
    </row>
    <row r="38" spans="1:6" ht="15.75" x14ac:dyDescent="0.25">
      <c r="A38" s="195">
        <v>44397</v>
      </c>
      <c r="B38" s="193" t="s">
        <v>647</v>
      </c>
      <c r="C38" s="71">
        <v>105397.15</v>
      </c>
      <c r="D38" s="195"/>
      <c r="E38" s="71"/>
      <c r="F38" s="183">
        <f t="shared" si="0"/>
        <v>569104.9</v>
      </c>
    </row>
    <row r="39" spans="1:6" ht="15.75" x14ac:dyDescent="0.25">
      <c r="A39" s="195">
        <v>44399</v>
      </c>
      <c r="B39" s="193" t="s">
        <v>648</v>
      </c>
      <c r="C39" s="71">
        <v>46981.2</v>
      </c>
      <c r="D39" s="195"/>
      <c r="E39" s="71"/>
      <c r="F39" s="183">
        <f t="shared" si="0"/>
        <v>616086.1</v>
      </c>
    </row>
    <row r="40" spans="1:6" ht="15.75" x14ac:dyDescent="0.25">
      <c r="A40" s="195">
        <v>44399</v>
      </c>
      <c r="B40" s="193" t="s">
        <v>649</v>
      </c>
      <c r="C40" s="71">
        <v>149792.79999999999</v>
      </c>
      <c r="D40" s="195"/>
      <c r="E40" s="71"/>
      <c r="F40" s="183">
        <f t="shared" si="0"/>
        <v>765878.89999999991</v>
      </c>
    </row>
    <row r="41" spans="1:6" ht="15.75" x14ac:dyDescent="0.25">
      <c r="A41" s="195">
        <v>44400</v>
      </c>
      <c r="B41" s="193" t="s">
        <v>650</v>
      </c>
      <c r="C41" s="71">
        <v>1645.8</v>
      </c>
      <c r="D41" s="195"/>
      <c r="E41" s="71"/>
      <c r="F41" s="183">
        <f t="shared" si="0"/>
        <v>767524.7</v>
      </c>
    </row>
    <row r="42" spans="1:6" ht="15.75" x14ac:dyDescent="0.25">
      <c r="A42" s="195">
        <v>44400</v>
      </c>
      <c r="B42" s="193" t="s">
        <v>651</v>
      </c>
      <c r="C42" s="71">
        <v>48310.9</v>
      </c>
      <c r="D42" s="195">
        <v>44400</v>
      </c>
      <c r="E42" s="71">
        <v>815835.6</v>
      </c>
      <c r="F42" s="183">
        <f t="shared" si="0"/>
        <v>0</v>
      </c>
    </row>
    <row r="43" spans="1:6" ht="15.75" x14ac:dyDescent="0.25">
      <c r="A43" s="195">
        <v>44400</v>
      </c>
      <c r="B43" s="193" t="s">
        <v>652</v>
      </c>
      <c r="C43" s="71">
        <v>111997.3</v>
      </c>
      <c r="D43" s="195"/>
      <c r="E43" s="71"/>
      <c r="F43" s="183">
        <f t="shared" si="0"/>
        <v>111997.3</v>
      </c>
    </row>
    <row r="44" spans="1:6" ht="15.75" x14ac:dyDescent="0.25">
      <c r="A44" s="195">
        <v>44400</v>
      </c>
      <c r="B44" s="193" t="s">
        <v>653</v>
      </c>
      <c r="C44" s="71">
        <v>7960</v>
      </c>
      <c r="D44" s="195"/>
      <c r="E44" s="71"/>
      <c r="F44" s="183">
        <f t="shared" si="0"/>
        <v>119957.3</v>
      </c>
    </row>
    <row r="45" spans="1:6" ht="15.75" x14ac:dyDescent="0.25">
      <c r="A45" s="195">
        <v>44401</v>
      </c>
      <c r="B45" s="193" t="s">
        <v>654</v>
      </c>
      <c r="C45" s="71">
        <v>75307.06</v>
      </c>
      <c r="D45" s="195"/>
      <c r="E45" s="71"/>
      <c r="F45" s="183">
        <f t="shared" si="0"/>
        <v>195264.36</v>
      </c>
    </row>
    <row r="46" spans="1:6" ht="15.75" x14ac:dyDescent="0.25">
      <c r="A46" s="195">
        <v>44401</v>
      </c>
      <c r="B46" s="193" t="s">
        <v>655</v>
      </c>
      <c r="C46" s="71">
        <v>76017.600000000006</v>
      </c>
      <c r="D46" s="195"/>
      <c r="E46" s="71"/>
      <c r="F46" s="183">
        <f t="shared" si="0"/>
        <v>271281.95999999996</v>
      </c>
    </row>
    <row r="47" spans="1:6" ht="15.75" x14ac:dyDescent="0.25">
      <c r="A47" s="195">
        <v>44401</v>
      </c>
      <c r="B47" s="193" t="s">
        <v>656</v>
      </c>
      <c r="C47" s="71">
        <v>110127.1</v>
      </c>
      <c r="D47" s="195"/>
      <c r="E47" s="71"/>
      <c r="F47" s="183">
        <f t="shared" si="0"/>
        <v>381409.05999999994</v>
      </c>
    </row>
    <row r="48" spans="1:6" ht="15.75" x14ac:dyDescent="0.25">
      <c r="A48" s="195">
        <v>44403</v>
      </c>
      <c r="B48" s="193" t="s">
        <v>657</v>
      </c>
      <c r="C48" s="71">
        <v>87378.06</v>
      </c>
      <c r="D48" s="195"/>
      <c r="E48" s="71"/>
      <c r="F48" s="183">
        <f t="shared" si="0"/>
        <v>468787.11999999994</v>
      </c>
    </row>
    <row r="49" spans="1:6" ht="15.75" x14ac:dyDescent="0.25">
      <c r="A49" s="195">
        <v>44404</v>
      </c>
      <c r="B49" s="193" t="s">
        <v>658</v>
      </c>
      <c r="C49" s="71">
        <v>103638.6</v>
      </c>
      <c r="D49" s="195"/>
      <c r="E49" s="71"/>
      <c r="F49" s="183">
        <f t="shared" si="0"/>
        <v>572425.72</v>
      </c>
    </row>
    <row r="50" spans="1:6" ht="15.75" x14ac:dyDescent="0.25">
      <c r="A50" s="195">
        <v>44405</v>
      </c>
      <c r="B50" s="193" t="s">
        <v>659</v>
      </c>
      <c r="C50" s="71">
        <v>150387.1</v>
      </c>
      <c r="D50" s="195"/>
      <c r="E50" s="71"/>
      <c r="F50" s="183">
        <f t="shared" si="0"/>
        <v>722812.82</v>
      </c>
    </row>
    <row r="51" spans="1:6" ht="15.75" x14ac:dyDescent="0.25">
      <c r="A51" s="195">
        <v>44406</v>
      </c>
      <c r="B51" s="193" t="s">
        <v>660</v>
      </c>
      <c r="C51" s="71">
        <v>23993.599999999999</v>
      </c>
      <c r="D51" s="195">
        <v>44408</v>
      </c>
      <c r="E51" s="71">
        <v>746806.42</v>
      </c>
      <c r="F51" s="183">
        <f t="shared" si="0"/>
        <v>0</v>
      </c>
    </row>
    <row r="52" spans="1:6" ht="15.75" x14ac:dyDescent="0.25">
      <c r="A52" s="195"/>
      <c r="B52" s="193"/>
      <c r="C52" s="71"/>
      <c r="D52" s="195"/>
      <c r="E52" s="71"/>
      <c r="F52" s="183">
        <f t="shared" si="0"/>
        <v>0</v>
      </c>
    </row>
    <row r="53" spans="1:6" ht="15.75" x14ac:dyDescent="0.25">
      <c r="A53" s="195"/>
      <c r="B53" s="193"/>
      <c r="C53" s="71"/>
      <c r="D53" s="195"/>
      <c r="E53" s="71"/>
      <c r="F53" s="183">
        <f t="shared" si="0"/>
        <v>0</v>
      </c>
    </row>
    <row r="54" spans="1:6" ht="15.75" hidden="1" x14ac:dyDescent="0.25">
      <c r="A54" s="192"/>
      <c r="B54" s="193"/>
      <c r="C54" s="71"/>
      <c r="D54" s="195"/>
      <c r="E54" s="71"/>
      <c r="F54" s="183">
        <f t="shared" si="0"/>
        <v>0</v>
      </c>
    </row>
    <row r="55" spans="1:6" ht="15.75" hidden="1" x14ac:dyDescent="0.25">
      <c r="A55" s="192"/>
      <c r="B55" s="193"/>
      <c r="C55" s="71"/>
      <c r="D55" s="195"/>
      <c r="E55" s="71"/>
      <c r="F55" s="183">
        <f t="shared" si="0"/>
        <v>0</v>
      </c>
    </row>
    <row r="56" spans="1:6" ht="15.75" hidden="1" x14ac:dyDescent="0.25">
      <c r="A56" s="192"/>
      <c r="B56" s="193"/>
      <c r="C56" s="71"/>
      <c r="D56" s="195"/>
      <c r="E56" s="71"/>
      <c r="F56" s="183">
        <f t="shared" si="0"/>
        <v>0</v>
      </c>
    </row>
    <row r="57" spans="1:6" ht="15.75" hidden="1" x14ac:dyDescent="0.25">
      <c r="A57" s="195"/>
      <c r="B57" s="193"/>
      <c r="C57" s="71"/>
      <c r="D57" s="195"/>
      <c r="E57" s="71"/>
      <c r="F57" s="183">
        <f t="shared" si="0"/>
        <v>0</v>
      </c>
    </row>
    <row r="58" spans="1:6" ht="15.75" hidden="1" x14ac:dyDescent="0.25">
      <c r="A58" s="195"/>
      <c r="B58" s="193"/>
      <c r="C58" s="71"/>
      <c r="D58" s="195"/>
      <c r="E58" s="71"/>
      <c r="F58" s="183">
        <f t="shared" si="0"/>
        <v>0</v>
      </c>
    </row>
    <row r="59" spans="1:6" ht="15.75" hidden="1" x14ac:dyDescent="0.25">
      <c r="A59" s="195"/>
      <c r="B59" s="193"/>
      <c r="C59" s="71"/>
      <c r="D59" s="195"/>
      <c r="E59" s="71"/>
      <c r="F59" s="183">
        <f t="shared" si="0"/>
        <v>0</v>
      </c>
    </row>
    <row r="60" spans="1:6" ht="15.75" hidden="1" x14ac:dyDescent="0.25">
      <c r="A60" s="192"/>
      <c r="B60" s="193"/>
      <c r="C60" s="71"/>
      <c r="D60" s="195"/>
      <c r="E60" s="71"/>
      <c r="F60" s="183">
        <f t="shared" si="0"/>
        <v>0</v>
      </c>
    </row>
    <row r="61" spans="1:6" ht="15.75" hidden="1" x14ac:dyDescent="0.25">
      <c r="A61" s="192"/>
      <c r="B61" s="193"/>
      <c r="C61" s="71"/>
      <c r="D61" s="195"/>
      <c r="E61" s="71"/>
      <c r="F61" s="183">
        <f t="shared" si="0"/>
        <v>0</v>
      </c>
    </row>
    <row r="62" spans="1:6" ht="15.75" hidden="1" x14ac:dyDescent="0.25">
      <c r="A62" s="192"/>
      <c r="B62" s="193"/>
      <c r="C62" s="71"/>
      <c r="D62" s="195"/>
      <c r="E62" s="71"/>
      <c r="F62" s="183">
        <f t="shared" si="0"/>
        <v>0</v>
      </c>
    </row>
    <row r="63" spans="1:6" ht="15.75" hidden="1" x14ac:dyDescent="0.25">
      <c r="A63" s="192"/>
      <c r="B63" s="193"/>
      <c r="C63" s="71"/>
      <c r="D63" s="195"/>
      <c r="E63" s="71"/>
      <c r="F63" s="183">
        <f t="shared" si="0"/>
        <v>0</v>
      </c>
    </row>
    <row r="64" spans="1:6" ht="15.75" hidden="1" x14ac:dyDescent="0.25">
      <c r="A64" s="192"/>
      <c r="B64" s="193"/>
      <c r="C64" s="71"/>
      <c r="D64" s="195"/>
      <c r="E64" s="71"/>
      <c r="F64" s="183">
        <f t="shared" si="0"/>
        <v>0</v>
      </c>
    </row>
    <row r="65" spans="1:6" ht="15.75" hidden="1" x14ac:dyDescent="0.25">
      <c r="A65" s="192"/>
      <c r="B65" s="193"/>
      <c r="C65" s="71"/>
      <c r="D65" s="195"/>
      <c r="E65" s="71"/>
      <c r="F65" s="183">
        <f t="shared" si="0"/>
        <v>0</v>
      </c>
    </row>
    <row r="66" spans="1:6" ht="15.75" hidden="1" x14ac:dyDescent="0.25">
      <c r="A66" s="192"/>
      <c r="B66" s="193"/>
      <c r="C66" s="71"/>
      <c r="D66" s="195"/>
      <c r="E66" s="71"/>
      <c r="F66" s="183">
        <f t="shared" si="0"/>
        <v>0</v>
      </c>
    </row>
    <row r="67" spans="1:6" ht="15.75" hidden="1" x14ac:dyDescent="0.25">
      <c r="A67" s="192"/>
      <c r="B67" s="193"/>
      <c r="C67" s="71"/>
      <c r="D67" s="195"/>
      <c r="E67" s="71"/>
      <c r="F67" s="183">
        <f t="shared" si="0"/>
        <v>0</v>
      </c>
    </row>
    <row r="68" spans="1:6" ht="15.75" hidden="1" x14ac:dyDescent="0.25">
      <c r="A68" s="192"/>
      <c r="B68" s="193"/>
      <c r="C68" s="71"/>
      <c r="D68" s="195"/>
      <c r="E68" s="71"/>
      <c r="F68" s="183">
        <f t="shared" si="0"/>
        <v>0</v>
      </c>
    </row>
    <row r="69" spans="1:6" ht="15.75" hidden="1" x14ac:dyDescent="0.25">
      <c r="A69" s="192"/>
      <c r="B69" s="193"/>
      <c r="C69" s="71"/>
      <c r="D69" s="195"/>
      <c r="E69" s="71"/>
      <c r="F69" s="183">
        <f t="shared" si="0"/>
        <v>0</v>
      </c>
    </row>
    <row r="70" spans="1:6" ht="15.75" hidden="1" x14ac:dyDescent="0.25">
      <c r="A70" s="192"/>
      <c r="B70" s="193"/>
      <c r="C70" s="71"/>
      <c r="D70" s="195"/>
      <c r="E70" s="71"/>
      <c r="F70" s="183">
        <f t="shared" si="0"/>
        <v>0</v>
      </c>
    </row>
    <row r="71" spans="1:6" ht="15.75" hidden="1" x14ac:dyDescent="0.25">
      <c r="A71" s="192"/>
      <c r="B71" s="193"/>
      <c r="C71" s="71"/>
      <c r="D71" s="195"/>
      <c r="E71" s="71"/>
      <c r="F71" s="183">
        <f t="shared" si="0"/>
        <v>0</v>
      </c>
    </row>
    <row r="72" spans="1:6" ht="15.75" hidden="1" x14ac:dyDescent="0.25">
      <c r="A72" s="192"/>
      <c r="B72" s="193"/>
      <c r="C72" s="71"/>
      <c r="D72" s="195"/>
      <c r="E72" s="71"/>
      <c r="F72" s="183">
        <f t="shared" si="0"/>
        <v>0</v>
      </c>
    </row>
    <row r="73" spans="1:6" ht="15.75" hidden="1" x14ac:dyDescent="0.25">
      <c r="A73" s="192"/>
      <c r="B73" s="193"/>
      <c r="C73" s="71"/>
      <c r="D73" s="195"/>
      <c r="E73" s="71"/>
      <c r="F73" s="183">
        <f t="shared" si="0"/>
        <v>0</v>
      </c>
    </row>
    <row r="74" spans="1:6" ht="15.75" hidden="1" x14ac:dyDescent="0.25">
      <c r="A74" s="192"/>
      <c r="B74" s="193"/>
      <c r="C74" s="71"/>
      <c r="D74" s="195"/>
      <c r="E74" s="71"/>
      <c r="F74" s="183">
        <f t="shared" si="0"/>
        <v>0</v>
      </c>
    </row>
    <row r="75" spans="1:6" ht="15.75" hidden="1" x14ac:dyDescent="0.25">
      <c r="A75" s="192"/>
      <c r="B75" s="193"/>
      <c r="C75" s="71"/>
      <c r="D75" s="195"/>
      <c r="E75" s="71"/>
      <c r="F75" s="183">
        <f t="shared" si="0"/>
        <v>0</v>
      </c>
    </row>
    <row r="76" spans="1:6" ht="15.75" hidden="1" x14ac:dyDescent="0.25">
      <c r="A76" s="192"/>
      <c r="B76" s="193"/>
      <c r="C76" s="71"/>
      <c r="D76" s="195"/>
      <c r="E76" s="71"/>
      <c r="F76" s="183">
        <f t="shared" si="0"/>
        <v>0</v>
      </c>
    </row>
    <row r="77" spans="1:6" ht="15.75" hidden="1" x14ac:dyDescent="0.25">
      <c r="A77" s="192"/>
      <c r="B77" s="193"/>
      <c r="C77" s="71"/>
      <c r="D77" s="195"/>
      <c r="E77" s="71"/>
      <c r="F77" s="183">
        <f t="shared" si="0"/>
        <v>0</v>
      </c>
    </row>
    <row r="78" spans="1:6" ht="15.75" hidden="1" x14ac:dyDescent="0.25">
      <c r="A78" s="192"/>
      <c r="B78" s="193"/>
      <c r="C78" s="71"/>
      <c r="D78" s="195"/>
      <c r="E78" s="71"/>
      <c r="F78" s="183">
        <f t="shared" si="0"/>
        <v>0</v>
      </c>
    </row>
    <row r="79" spans="1:6" ht="15.75" hidden="1" x14ac:dyDescent="0.25">
      <c r="A79" s="192"/>
      <c r="B79" s="193"/>
      <c r="C79" s="71"/>
      <c r="D79" s="195"/>
      <c r="E79" s="71"/>
      <c r="F79" s="183">
        <f t="shared" si="0"/>
        <v>0</v>
      </c>
    </row>
    <row r="80" spans="1:6" ht="15.75" hidden="1" x14ac:dyDescent="0.25">
      <c r="A80" s="192"/>
      <c r="B80" s="193"/>
      <c r="C80" s="71"/>
      <c r="D80" s="195"/>
      <c r="E80" s="71"/>
      <c r="F80" s="183">
        <f t="shared" si="0"/>
        <v>0</v>
      </c>
    </row>
    <row r="81" spans="1:6" ht="15.75" hidden="1" x14ac:dyDescent="0.25">
      <c r="A81" s="186"/>
      <c r="B81" s="187"/>
      <c r="C81" s="7"/>
      <c r="D81" s="181"/>
      <c r="E81" s="7"/>
      <c r="F81" s="183">
        <f t="shared" si="0"/>
        <v>0</v>
      </c>
    </row>
    <row r="82" spans="1:6" ht="15.75" hidden="1" x14ac:dyDescent="0.25">
      <c r="A82" s="186"/>
      <c r="B82" s="187"/>
      <c r="C82" s="7"/>
      <c r="D82" s="181"/>
      <c r="E82" s="7"/>
      <c r="F82" s="183">
        <f t="shared" si="0"/>
        <v>0</v>
      </c>
    </row>
    <row r="83" spans="1:6" ht="15.75" hidden="1" x14ac:dyDescent="0.25">
      <c r="A83" s="186"/>
      <c r="B83" s="187"/>
      <c r="C83" s="7"/>
      <c r="D83" s="181"/>
      <c r="E83" s="7"/>
      <c r="F83" s="183">
        <f t="shared" si="0"/>
        <v>0</v>
      </c>
    </row>
    <row r="84" spans="1:6" ht="15.75" hidden="1" x14ac:dyDescent="0.25">
      <c r="A84" s="186"/>
      <c r="B84" s="187"/>
      <c r="C84" s="7"/>
      <c r="D84" s="181"/>
      <c r="E84" s="7"/>
      <c r="F84" s="183">
        <f t="shared" si="0"/>
        <v>0</v>
      </c>
    </row>
    <row r="85" spans="1:6" ht="15.75" hidden="1" x14ac:dyDescent="0.25">
      <c r="A85" s="186"/>
      <c r="B85" s="187"/>
      <c r="C85" s="7"/>
      <c r="D85" s="181"/>
      <c r="E85" s="7"/>
      <c r="F85" s="183">
        <f t="shared" si="0"/>
        <v>0</v>
      </c>
    </row>
    <row r="86" spans="1:6" ht="15.75" hidden="1" x14ac:dyDescent="0.25">
      <c r="A86" s="186"/>
      <c r="B86" s="187"/>
      <c r="C86" s="7"/>
      <c r="D86" s="181"/>
      <c r="E86" s="7"/>
      <c r="F86" s="183">
        <f t="shared" si="0"/>
        <v>0</v>
      </c>
    </row>
    <row r="87" spans="1:6" ht="15.75" hidden="1" x14ac:dyDescent="0.25">
      <c r="A87" s="270"/>
      <c r="B87" s="268"/>
      <c r="C87" s="71"/>
      <c r="D87" s="269"/>
      <c r="E87" s="71"/>
      <c r="F87" s="183">
        <f t="shared" si="0"/>
        <v>0</v>
      </c>
    </row>
    <row r="88" spans="1:6" ht="15.75" hidden="1" x14ac:dyDescent="0.25">
      <c r="A88" s="270"/>
      <c r="B88" s="268"/>
      <c r="C88" s="71"/>
      <c r="D88" s="269"/>
      <c r="E88" s="71"/>
      <c r="F88" s="183">
        <f t="shared" ref="F88:F97" si="1">F87+C88-E88</f>
        <v>0</v>
      </c>
    </row>
    <row r="89" spans="1:6" ht="15.75" hidden="1" x14ac:dyDescent="0.25">
      <c r="A89" s="270"/>
      <c r="B89" s="268"/>
      <c r="C89" s="71"/>
      <c r="D89" s="269"/>
      <c r="E89" s="71"/>
      <c r="F89" s="183">
        <f t="shared" si="1"/>
        <v>0</v>
      </c>
    </row>
    <row r="90" spans="1:6" ht="15.75" hidden="1" x14ac:dyDescent="0.25">
      <c r="A90" s="270"/>
      <c r="B90" s="268"/>
      <c r="C90" s="71"/>
      <c r="D90" s="269"/>
      <c r="E90" s="71"/>
      <c r="F90" s="183">
        <f t="shared" si="1"/>
        <v>0</v>
      </c>
    </row>
    <row r="91" spans="1:6" ht="15.75" hidden="1" x14ac:dyDescent="0.25">
      <c r="A91" s="270"/>
      <c r="B91" s="268"/>
      <c r="C91" s="71"/>
      <c r="D91" s="269"/>
      <c r="E91" s="71"/>
      <c r="F91" s="183">
        <f t="shared" si="1"/>
        <v>0</v>
      </c>
    </row>
    <row r="92" spans="1:6" ht="15.75" hidden="1" x14ac:dyDescent="0.25">
      <c r="A92" s="270"/>
      <c r="B92" s="268"/>
      <c r="C92" s="71"/>
      <c r="D92" s="269"/>
      <c r="E92" s="71"/>
      <c r="F92" s="183">
        <f t="shared" si="1"/>
        <v>0</v>
      </c>
    </row>
    <row r="93" spans="1:6" ht="15.75" hidden="1" x14ac:dyDescent="0.25">
      <c r="A93" s="270"/>
      <c r="B93" s="268"/>
      <c r="C93" s="71"/>
      <c r="D93" s="269"/>
      <c r="E93" s="71"/>
      <c r="F93" s="183">
        <f t="shared" si="1"/>
        <v>0</v>
      </c>
    </row>
    <row r="94" spans="1:6" ht="15.75" hidden="1" x14ac:dyDescent="0.25">
      <c r="A94" s="270"/>
      <c r="B94" s="268"/>
      <c r="C94" s="71"/>
      <c r="D94" s="269"/>
      <c r="E94" s="71"/>
      <c r="F94" s="183">
        <f t="shared" si="1"/>
        <v>0</v>
      </c>
    </row>
    <row r="95" spans="1:6" ht="15.75" hidden="1" x14ac:dyDescent="0.25">
      <c r="A95" s="270"/>
      <c r="B95" s="268"/>
      <c r="C95" s="71"/>
      <c r="D95" s="269"/>
      <c r="E95" s="71"/>
      <c r="F95" s="183">
        <f t="shared" si="1"/>
        <v>0</v>
      </c>
    </row>
    <row r="96" spans="1:6" ht="15.75" x14ac:dyDescent="0.25">
      <c r="A96" s="270"/>
      <c r="B96" s="268"/>
      <c r="C96" s="71"/>
      <c r="D96" s="269"/>
      <c r="E96" s="71"/>
      <c r="F96" s="183">
        <f t="shared" si="1"/>
        <v>0</v>
      </c>
    </row>
    <row r="97" spans="1:6" ht="16.5" thickBot="1" x14ac:dyDescent="0.3">
      <c r="A97" s="188"/>
      <c r="B97" s="189"/>
      <c r="C97" s="84">
        <v>0</v>
      </c>
      <c r="D97" s="190"/>
      <c r="E97" s="84"/>
      <c r="F97" s="183">
        <f t="shared" si="1"/>
        <v>0</v>
      </c>
    </row>
    <row r="98" spans="1:6" ht="19.5" thickTop="1" x14ac:dyDescent="0.3">
      <c r="B98" s="60"/>
      <c r="C98" s="4">
        <f>SUM(C3:C97)</f>
        <v>3290264.27</v>
      </c>
      <c r="D98" s="1"/>
      <c r="E98" s="4">
        <f>SUM(E3:E97)</f>
        <v>3290264.27</v>
      </c>
      <c r="F98" s="191">
        <f>F97</f>
        <v>0</v>
      </c>
    </row>
    <row r="99" spans="1:6" x14ac:dyDescent="0.25">
      <c r="B99" s="60"/>
      <c r="C99" s="4"/>
      <c r="D99" s="1"/>
      <c r="E99" s="8"/>
      <c r="F99" s="4"/>
    </row>
    <row r="100" spans="1:6" x14ac:dyDescent="0.25">
      <c r="B100" s="60"/>
      <c r="C100" s="4"/>
      <c r="D100" s="1"/>
      <c r="E100" s="8"/>
      <c r="F100" s="4"/>
    </row>
    <row r="101" spans="1:6" x14ac:dyDescent="0.25">
      <c r="A101"/>
      <c r="B101" s="34"/>
      <c r="D101" s="34"/>
    </row>
    <row r="102" spans="1:6" x14ac:dyDescent="0.25">
      <c r="A102"/>
      <c r="B102" s="34"/>
      <c r="D102" s="34"/>
    </row>
    <row r="103" spans="1:6" x14ac:dyDescent="0.25">
      <c r="A103"/>
      <c r="B103" s="34"/>
      <c r="D103" s="34"/>
    </row>
    <row r="104" spans="1:6" x14ac:dyDescent="0.25">
      <c r="A104"/>
      <c r="B104" s="34"/>
      <c r="D104" s="34"/>
      <c r="F104"/>
    </row>
    <row r="105" spans="1:6" x14ac:dyDescent="0.25">
      <c r="A105"/>
      <c r="B105" s="34"/>
      <c r="D105" s="34"/>
      <c r="F105"/>
    </row>
    <row r="106" spans="1:6" x14ac:dyDescent="0.25">
      <c r="A106"/>
      <c r="B106" s="34"/>
      <c r="D106" s="34"/>
      <c r="F106"/>
    </row>
    <row r="107" spans="1:6" x14ac:dyDescent="0.25">
      <c r="A107"/>
      <c r="B107" s="34"/>
      <c r="D107" s="34"/>
      <c r="F107"/>
    </row>
    <row r="108" spans="1:6" x14ac:dyDescent="0.25">
      <c r="A108"/>
      <c r="B108" s="34"/>
      <c r="D108" s="34"/>
      <c r="F108"/>
    </row>
    <row r="109" spans="1:6" x14ac:dyDescent="0.25">
      <c r="A109"/>
      <c r="B109" s="34"/>
      <c r="D109" s="34"/>
      <c r="F109"/>
    </row>
    <row r="110" spans="1:6" x14ac:dyDescent="0.25">
      <c r="A110"/>
      <c r="B110" s="34"/>
      <c r="D110" s="34"/>
      <c r="F110"/>
    </row>
    <row r="111" spans="1:6" x14ac:dyDescent="0.25">
      <c r="A111"/>
      <c r="B111" s="34"/>
      <c r="D111" s="34"/>
      <c r="F111"/>
    </row>
    <row r="112" spans="1:6" x14ac:dyDescent="0.25">
      <c r="A112"/>
      <c r="B112" s="34"/>
      <c r="D112" s="34"/>
      <c r="F112"/>
    </row>
    <row r="113" spans="1:6" x14ac:dyDescent="0.25">
      <c r="A113"/>
      <c r="B113" s="34"/>
      <c r="D113" s="34"/>
      <c r="E113"/>
      <c r="F113"/>
    </row>
    <row r="114" spans="1:6" x14ac:dyDescent="0.25">
      <c r="A114"/>
      <c r="B114" s="34"/>
      <c r="D114" s="34"/>
      <c r="E114"/>
      <c r="F114"/>
    </row>
    <row r="115" spans="1:6" x14ac:dyDescent="0.25">
      <c r="A115"/>
      <c r="B115" s="34"/>
      <c r="D115" s="34"/>
      <c r="E115"/>
      <c r="F115"/>
    </row>
    <row r="116" spans="1:6" x14ac:dyDescent="0.25">
      <c r="A116"/>
      <c r="B116" s="34"/>
      <c r="D116" s="34"/>
      <c r="E116"/>
      <c r="F116"/>
    </row>
    <row r="117" spans="1:6" x14ac:dyDescent="0.25">
      <c r="A117"/>
      <c r="B117" s="34"/>
      <c r="D117" s="34"/>
      <c r="E117"/>
      <c r="F117"/>
    </row>
    <row r="118" spans="1:6" x14ac:dyDescent="0.25">
      <c r="A118"/>
      <c r="B118" s="34"/>
      <c r="D118" s="34"/>
      <c r="E118"/>
      <c r="F118"/>
    </row>
    <row r="119" spans="1:6" x14ac:dyDescent="0.25">
      <c r="B119" s="34"/>
      <c r="D119" s="34"/>
      <c r="E119"/>
    </row>
    <row r="120" spans="1:6" x14ac:dyDescent="0.25">
      <c r="B120" s="34"/>
      <c r="D120" s="34"/>
      <c r="E120"/>
    </row>
    <row r="121" spans="1:6" x14ac:dyDescent="0.25">
      <c r="B121" s="34"/>
      <c r="D121" s="34"/>
      <c r="E121"/>
    </row>
    <row r="122" spans="1:6" x14ac:dyDescent="0.25">
      <c r="B122" s="34"/>
      <c r="D122" s="34"/>
      <c r="E122"/>
    </row>
    <row r="123" spans="1:6" x14ac:dyDescent="0.25">
      <c r="B123" s="34"/>
      <c r="D123" s="34"/>
      <c r="E123"/>
    </row>
    <row r="124" spans="1:6" x14ac:dyDescent="0.25">
      <c r="B124" s="34"/>
      <c r="D124" s="34"/>
      <c r="E124"/>
    </row>
    <row r="125" spans="1:6" x14ac:dyDescent="0.25">
      <c r="B125" s="34"/>
      <c r="D125" s="34"/>
      <c r="E125"/>
    </row>
    <row r="126" spans="1:6" x14ac:dyDescent="0.25">
      <c r="B126" s="34"/>
      <c r="D126" s="34"/>
      <c r="E126"/>
    </row>
    <row r="127" spans="1:6" x14ac:dyDescent="0.25">
      <c r="B127" s="34"/>
      <c r="D127" s="34"/>
      <c r="E127"/>
    </row>
    <row r="128" spans="1:6" x14ac:dyDescent="0.25">
      <c r="B128" s="34"/>
    </row>
    <row r="129" spans="2:4" x14ac:dyDescent="0.25">
      <c r="B129" s="34"/>
    </row>
    <row r="130" spans="2:4" x14ac:dyDescent="0.25">
      <c r="B130" s="34"/>
      <c r="D130" s="34"/>
    </row>
    <row r="131" spans="2:4" x14ac:dyDescent="0.25">
      <c r="B131" s="34"/>
    </row>
    <row r="132" spans="2:4" x14ac:dyDescent="0.25">
      <c r="B132" s="34"/>
    </row>
    <row r="133" spans="2:4" x14ac:dyDescent="0.25">
      <c r="B133" s="34"/>
    </row>
    <row r="134" spans="2:4" ht="18.75" x14ac:dyDescent="0.3">
      <c r="C134" s="126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800000"/>
  </sheetPr>
  <dimension ref="A1:AG97"/>
  <sheetViews>
    <sheetView topLeftCell="A35" zoomScaleNormal="100" workbookViewId="0">
      <selection activeCell="P46" sqref="P46"/>
    </sheetView>
  </sheetViews>
  <sheetFormatPr baseColWidth="10" defaultRowHeight="15.75" x14ac:dyDescent="0.25"/>
  <cols>
    <col min="1" max="1" width="2.5703125" customWidth="1"/>
    <col min="2" max="2" width="12.42578125" style="1" customWidth="1"/>
    <col min="3" max="3" width="16.42578125" style="9" customWidth="1"/>
    <col min="4" max="4" width="15.28515625" customWidth="1"/>
    <col min="6" max="6" width="17.85546875" style="9" customWidth="1"/>
    <col min="7" max="7" width="2.85546875" customWidth="1"/>
    <col min="9" max="9" width="14.140625" style="9" customWidth="1"/>
    <col min="10" max="10" width="11.7109375" style="443" customWidth="1"/>
    <col min="11" max="11" width="14.42578125" customWidth="1"/>
    <col min="12" max="12" width="14.5703125" style="8" customWidth="1"/>
    <col min="13" max="13" width="18.140625" style="9" customWidth="1"/>
    <col min="14" max="14" width="16.140625" style="4" customWidth="1"/>
    <col min="15" max="15" width="11.42578125" style="366" customWidth="1"/>
    <col min="16" max="16" width="20" style="6" customWidth="1"/>
    <col min="17" max="17" width="15.85546875" style="6" customWidth="1"/>
    <col min="18" max="18" width="15.5703125" style="6" bestFit="1" customWidth="1"/>
    <col min="19" max="19" width="18.7109375" style="6" customWidth="1"/>
    <col min="20" max="20" width="11.5703125" style="6" bestFit="1" customWidth="1"/>
    <col min="21" max="21" width="15.5703125" style="7" bestFit="1" customWidth="1"/>
    <col min="23" max="24" width="11.42578125" style="204"/>
    <col min="25" max="25" width="11.42578125" style="8"/>
    <col min="28" max="28" width="15" style="13" customWidth="1"/>
    <col min="29" max="29" width="22.7109375" style="321" customWidth="1"/>
    <col min="30" max="30" width="6.28515625" style="321" customWidth="1"/>
    <col min="31" max="31" width="11.140625" style="321" customWidth="1"/>
    <col min="32" max="32" width="12.85546875" style="321" customWidth="1"/>
    <col min="33" max="33" width="22.7109375" style="321" customWidth="1"/>
  </cols>
  <sheetData>
    <row r="1" spans="1:33" ht="20.25" customHeight="1" thickBot="1" x14ac:dyDescent="0.4">
      <c r="B1" s="583" t="s">
        <v>529</v>
      </c>
      <c r="C1" s="540" t="s">
        <v>721</v>
      </c>
      <c r="D1" s="540"/>
      <c r="E1" s="540"/>
      <c r="F1" s="540"/>
      <c r="G1" s="540"/>
      <c r="H1" s="540"/>
      <c r="I1" s="540"/>
      <c r="J1" s="540"/>
      <c r="K1" s="540"/>
      <c r="L1" s="2"/>
      <c r="M1" s="3"/>
      <c r="W1" s="209"/>
      <c r="X1" s="205" t="s">
        <v>52</v>
      </c>
      <c r="Y1" s="206"/>
    </row>
    <row r="2" spans="1:33" ht="15" customHeight="1" thickBot="1" x14ac:dyDescent="0.3">
      <c r="B2" s="584"/>
      <c r="C2" s="8"/>
      <c r="H2" s="10" t="s">
        <v>0</v>
      </c>
      <c r="I2" s="3"/>
      <c r="J2" s="442"/>
      <c r="L2" s="12"/>
      <c r="M2" s="3"/>
      <c r="N2" s="6"/>
      <c r="W2" s="214" t="s">
        <v>53</v>
      </c>
      <c r="X2" s="215" t="s">
        <v>5</v>
      </c>
      <c r="Y2" s="216" t="s">
        <v>28</v>
      </c>
      <c r="AB2" s="596" t="s">
        <v>596</v>
      </c>
      <c r="AC2" s="596"/>
      <c r="AD2" s="596"/>
      <c r="AE2" s="596"/>
      <c r="AF2" s="596"/>
      <c r="AG2" s="596"/>
    </row>
    <row r="3" spans="1:33" ht="18" customHeight="1" thickBot="1" x14ac:dyDescent="0.35">
      <c r="B3" s="541" t="s">
        <v>1</v>
      </c>
      <c r="C3" s="542"/>
      <c r="D3" s="14"/>
      <c r="E3" s="15"/>
      <c r="F3" s="15"/>
      <c r="H3" s="543" t="s">
        <v>2</v>
      </c>
      <c r="I3" s="543"/>
      <c r="K3" s="17" t="s">
        <v>3</v>
      </c>
      <c r="L3" s="17" t="s">
        <v>4</v>
      </c>
      <c r="M3" s="18"/>
      <c r="O3" s="366" t="s">
        <v>753</v>
      </c>
      <c r="P3" s="634" t="s">
        <v>663</v>
      </c>
      <c r="Q3" s="636" t="s">
        <v>665</v>
      </c>
      <c r="S3" s="637"/>
      <c r="W3" s="213" t="s">
        <v>54</v>
      </c>
      <c r="X3" s="219">
        <v>44201</v>
      </c>
      <c r="Y3" s="198">
        <v>2000</v>
      </c>
      <c r="AB3" s="596"/>
      <c r="AC3" s="596"/>
      <c r="AD3" s="596"/>
      <c r="AE3" s="596"/>
      <c r="AF3" s="596"/>
      <c r="AG3" s="596"/>
    </row>
    <row r="4" spans="1:33" ht="20.25" thickTop="1" thickBot="1" x14ac:dyDescent="0.35">
      <c r="A4" s="20" t="s">
        <v>6</v>
      </c>
      <c r="B4" s="21"/>
      <c r="C4" s="22">
        <v>250140.85</v>
      </c>
      <c r="D4" s="23">
        <v>44411</v>
      </c>
      <c r="E4" s="544" t="s">
        <v>7</v>
      </c>
      <c r="F4" s="545"/>
      <c r="H4" s="635" t="s">
        <v>8</v>
      </c>
      <c r="I4" s="547"/>
      <c r="J4" s="24"/>
      <c r="K4" s="25"/>
      <c r="L4" s="26"/>
      <c r="M4" s="27" t="s">
        <v>716</v>
      </c>
      <c r="N4" s="28" t="s">
        <v>11</v>
      </c>
      <c r="O4" s="99"/>
      <c r="P4" s="634"/>
      <c r="Q4" s="636"/>
      <c r="R4" s="30"/>
      <c r="S4" s="637"/>
      <c r="T4" s="30"/>
      <c r="U4" s="30"/>
      <c r="W4" s="213" t="s">
        <v>55</v>
      </c>
      <c r="X4" s="219">
        <v>44209</v>
      </c>
      <c r="Y4" s="217">
        <v>2000</v>
      </c>
      <c r="AB4" s="597" t="s">
        <v>527</v>
      </c>
      <c r="AC4" s="598"/>
      <c r="AD4" s="99"/>
      <c r="AE4" s="599" t="s">
        <v>567</v>
      </c>
      <c r="AF4" s="599"/>
      <c r="AG4" s="599"/>
    </row>
    <row r="5" spans="1:33" ht="18" thickBot="1" x14ac:dyDescent="0.35">
      <c r="A5" s="34" t="s">
        <v>11</v>
      </c>
      <c r="B5" s="134">
        <v>44412</v>
      </c>
      <c r="C5" s="36">
        <v>15548</v>
      </c>
      <c r="D5" s="135" t="s">
        <v>730</v>
      </c>
      <c r="E5" s="136">
        <v>44412</v>
      </c>
      <c r="F5" s="37">
        <f>74282</f>
        <v>74282</v>
      </c>
      <c r="G5" s="137"/>
      <c r="H5" s="441">
        <v>44412</v>
      </c>
      <c r="I5" s="38">
        <v>440</v>
      </c>
      <c r="J5" s="442"/>
      <c r="K5" s="157"/>
      <c r="L5" s="6"/>
      <c r="M5" s="444">
        <v>64006</v>
      </c>
      <c r="N5" s="334">
        <v>6793</v>
      </c>
      <c r="O5" s="491">
        <v>44412</v>
      </c>
      <c r="P5" s="389">
        <v>12505</v>
      </c>
      <c r="Q5" s="446"/>
      <c r="R5" s="7">
        <f>C5+I5+M5+N5+L5</f>
        <v>86787</v>
      </c>
      <c r="S5" s="201">
        <f t="shared" ref="S5:S35" si="0">R5-F5</f>
        <v>12505</v>
      </c>
      <c r="T5" s="7"/>
      <c r="W5" s="213" t="s">
        <v>56</v>
      </c>
      <c r="X5" s="220">
        <v>44216</v>
      </c>
      <c r="Y5" s="218">
        <v>2000</v>
      </c>
      <c r="AB5" s="347">
        <v>44354</v>
      </c>
      <c r="AC5" s="348">
        <v>79419</v>
      </c>
      <c r="AD5" s="99"/>
      <c r="AE5" s="99"/>
      <c r="AF5" s="99"/>
      <c r="AG5" s="99"/>
    </row>
    <row r="6" spans="1:33" ht="18" thickBot="1" x14ac:dyDescent="0.35">
      <c r="A6" s="34"/>
      <c r="B6" s="134">
        <v>44413</v>
      </c>
      <c r="C6" s="36">
        <v>3415</v>
      </c>
      <c r="D6" s="139" t="s">
        <v>731</v>
      </c>
      <c r="E6" s="136">
        <v>44413</v>
      </c>
      <c r="F6" s="37">
        <f>139225</f>
        <v>139225</v>
      </c>
      <c r="G6" s="137"/>
      <c r="H6" s="138">
        <v>44413</v>
      </c>
      <c r="I6" s="38">
        <v>6288</v>
      </c>
      <c r="J6" s="52"/>
      <c r="K6" s="151"/>
      <c r="L6" s="46"/>
      <c r="M6" s="444">
        <v>127855</v>
      </c>
      <c r="N6" s="334">
        <v>3101</v>
      </c>
      <c r="O6" s="491">
        <v>44413</v>
      </c>
      <c r="P6" s="389">
        <v>1434</v>
      </c>
      <c r="Q6" s="447">
        <v>0</v>
      </c>
      <c r="R6" s="7">
        <f>C6+I6+M6+N6+L6</f>
        <v>140659</v>
      </c>
      <c r="S6" s="201">
        <f t="shared" si="0"/>
        <v>1434</v>
      </c>
      <c r="T6" s="48"/>
      <c r="W6" s="213" t="s">
        <v>57</v>
      </c>
      <c r="X6" s="220">
        <v>44222</v>
      </c>
      <c r="Y6" s="218">
        <v>2000</v>
      </c>
      <c r="AB6" s="349">
        <v>44355</v>
      </c>
      <c r="AC6" s="350">
        <v>122143</v>
      </c>
      <c r="AD6" s="99"/>
      <c r="AE6" s="343" t="s">
        <v>566</v>
      </c>
      <c r="AF6" s="299">
        <v>44356</v>
      </c>
      <c r="AG6" s="344">
        <v>120000</v>
      </c>
    </row>
    <row r="7" spans="1:33" ht="18" thickBot="1" x14ac:dyDescent="0.35">
      <c r="A7" s="34"/>
      <c r="B7" s="134">
        <v>44414</v>
      </c>
      <c r="C7" s="36">
        <v>5566</v>
      </c>
      <c r="D7" s="140" t="s">
        <v>734</v>
      </c>
      <c r="E7" s="136">
        <v>44414</v>
      </c>
      <c r="F7" s="37">
        <f>101249+17549+1756</f>
        <v>120554</v>
      </c>
      <c r="G7" s="137"/>
      <c r="H7" s="138">
        <v>44414</v>
      </c>
      <c r="I7" s="38">
        <v>2550</v>
      </c>
      <c r="J7" s="52">
        <v>44414</v>
      </c>
      <c r="K7" s="509" t="s">
        <v>722</v>
      </c>
      <c r="L7" s="46">
        <v>10000</v>
      </c>
      <c r="M7" s="444">
        <v>99529</v>
      </c>
      <c r="N7" s="334">
        <v>6413</v>
      </c>
      <c r="O7" s="491">
        <v>44414</v>
      </c>
      <c r="P7" s="389">
        <v>3504</v>
      </c>
      <c r="Q7" s="447">
        <v>0</v>
      </c>
      <c r="R7" s="7">
        <f>C7+I7+M7+N7+L7</f>
        <v>124058</v>
      </c>
      <c r="S7" s="201">
        <f t="shared" si="0"/>
        <v>3504</v>
      </c>
      <c r="T7" s="50"/>
      <c r="W7" s="213" t="s">
        <v>58</v>
      </c>
      <c r="X7" s="220">
        <v>44230</v>
      </c>
      <c r="Y7" s="218">
        <v>2000</v>
      </c>
      <c r="AB7" s="349">
        <v>44356</v>
      </c>
      <c r="AC7" s="350">
        <v>84241</v>
      </c>
      <c r="AD7" s="99"/>
      <c r="AE7" s="343" t="s">
        <v>566</v>
      </c>
      <c r="AF7" s="299">
        <v>44357</v>
      </c>
      <c r="AG7" s="344">
        <v>75440</v>
      </c>
    </row>
    <row r="8" spans="1:33" ht="18" thickBot="1" x14ac:dyDescent="0.35">
      <c r="A8" s="34"/>
      <c r="B8" s="134">
        <v>44415</v>
      </c>
      <c r="C8" s="36">
        <v>6561</v>
      </c>
      <c r="D8" s="141" t="s">
        <v>741</v>
      </c>
      <c r="E8" s="136">
        <v>44415</v>
      </c>
      <c r="F8" s="37">
        <f>138304+9658</f>
        <v>147962</v>
      </c>
      <c r="G8" s="137"/>
      <c r="H8" s="138">
        <v>44415</v>
      </c>
      <c r="I8" s="38">
        <v>625</v>
      </c>
      <c r="J8" s="292">
        <v>44415</v>
      </c>
      <c r="K8" s="158" t="s">
        <v>724</v>
      </c>
      <c r="L8" s="46">
        <f>23627.01+400</f>
        <v>24027.01</v>
      </c>
      <c r="M8" s="444">
        <v>102761</v>
      </c>
      <c r="N8" s="334">
        <v>20901</v>
      </c>
      <c r="O8" s="491">
        <v>44415</v>
      </c>
      <c r="P8" s="389">
        <v>0</v>
      </c>
      <c r="Q8" s="447">
        <v>6913.01</v>
      </c>
      <c r="R8" s="7">
        <f t="shared" ref="R8:R38" si="1">C8+I8+M8+N8+L8</f>
        <v>154875.01</v>
      </c>
      <c r="S8" s="202">
        <f t="shared" si="0"/>
        <v>6913.0100000000093</v>
      </c>
      <c r="T8" s="58"/>
      <c r="W8" s="213" t="s">
        <v>59</v>
      </c>
      <c r="X8" s="220">
        <v>44239</v>
      </c>
      <c r="Y8" s="218">
        <v>2000</v>
      </c>
      <c r="AB8" s="349">
        <v>44357</v>
      </c>
      <c r="AC8" s="350">
        <v>121552</v>
      </c>
      <c r="AD8" s="99"/>
      <c r="AE8" s="343" t="s">
        <v>566</v>
      </c>
      <c r="AF8" s="299">
        <v>44368</v>
      </c>
      <c r="AG8" s="344">
        <v>120000</v>
      </c>
    </row>
    <row r="9" spans="1:33" ht="18" thickBot="1" x14ac:dyDescent="0.35">
      <c r="A9" s="34"/>
      <c r="B9" s="134">
        <v>44416</v>
      </c>
      <c r="C9" s="36">
        <v>17799</v>
      </c>
      <c r="D9" s="141" t="s">
        <v>750</v>
      </c>
      <c r="E9" s="136">
        <v>44416</v>
      </c>
      <c r="F9" s="37">
        <f>107207+20459</f>
        <v>127666</v>
      </c>
      <c r="G9" s="137"/>
      <c r="H9" s="138">
        <v>44416</v>
      </c>
      <c r="I9" s="38">
        <v>725</v>
      </c>
      <c r="J9" s="52"/>
      <c r="K9" s="159"/>
      <c r="L9" s="46"/>
      <c r="M9" s="444">
        <v>93959</v>
      </c>
      <c r="N9" s="334">
        <v>15183</v>
      </c>
      <c r="O9" s="491">
        <v>44416</v>
      </c>
      <c r="P9" s="389">
        <v>0</v>
      </c>
      <c r="Q9" s="447">
        <v>0</v>
      </c>
      <c r="R9" s="7">
        <f>C9+I9+M9+N9+L9</f>
        <v>127666</v>
      </c>
      <c r="S9" s="6">
        <f t="shared" si="0"/>
        <v>0</v>
      </c>
      <c r="T9" s="48"/>
      <c r="W9" s="213" t="s">
        <v>60</v>
      </c>
      <c r="X9" s="220">
        <v>44253</v>
      </c>
      <c r="Y9" s="218">
        <v>2000</v>
      </c>
      <c r="AB9" s="349">
        <v>44358</v>
      </c>
      <c r="AC9" s="350">
        <v>177695</v>
      </c>
      <c r="AD9" s="99"/>
      <c r="AE9" s="343" t="s">
        <v>566</v>
      </c>
      <c r="AF9" s="299">
        <v>44369</v>
      </c>
      <c r="AG9" s="344">
        <v>164450</v>
      </c>
    </row>
    <row r="10" spans="1:33" ht="18" thickBot="1" x14ac:dyDescent="0.35">
      <c r="A10" s="34"/>
      <c r="B10" s="134">
        <v>44417</v>
      </c>
      <c r="C10" s="36">
        <v>5362</v>
      </c>
      <c r="D10" s="140" t="s">
        <v>751</v>
      </c>
      <c r="E10" s="136">
        <v>44417</v>
      </c>
      <c r="F10" s="37">
        <f>93519+1203+45334</f>
        <v>140056</v>
      </c>
      <c r="G10" s="137"/>
      <c r="H10" s="138">
        <v>44417</v>
      </c>
      <c r="I10" s="38">
        <v>645</v>
      </c>
      <c r="J10" s="52"/>
      <c r="K10" s="160"/>
      <c r="L10" s="53"/>
      <c r="M10" s="444">
        <v>130377</v>
      </c>
      <c r="N10" s="334">
        <v>5385</v>
      </c>
      <c r="O10" s="491">
        <v>44417</v>
      </c>
      <c r="P10" s="389">
        <v>1713</v>
      </c>
      <c r="Q10" s="447">
        <v>0</v>
      </c>
      <c r="R10" s="7">
        <f t="shared" si="1"/>
        <v>141769</v>
      </c>
      <c r="S10" s="201">
        <f t="shared" si="0"/>
        <v>1713</v>
      </c>
      <c r="T10" s="54"/>
      <c r="W10" s="213" t="s">
        <v>61</v>
      </c>
      <c r="X10" s="220">
        <v>44253</v>
      </c>
      <c r="Y10" s="218">
        <v>2000</v>
      </c>
      <c r="AB10" s="349">
        <v>44359</v>
      </c>
      <c r="AC10" s="350">
        <v>147683</v>
      </c>
      <c r="AD10" s="99"/>
      <c r="AE10" s="343" t="s">
        <v>566</v>
      </c>
      <c r="AF10" s="299">
        <v>44370</v>
      </c>
      <c r="AG10" s="344">
        <v>274260</v>
      </c>
    </row>
    <row r="11" spans="1:33" ht="18" thickBot="1" x14ac:dyDescent="0.35">
      <c r="A11" s="34"/>
      <c r="B11" s="134">
        <v>44418</v>
      </c>
      <c r="C11" s="36">
        <v>6832</v>
      </c>
      <c r="D11" s="139" t="s">
        <v>752</v>
      </c>
      <c r="E11" s="136">
        <v>44418</v>
      </c>
      <c r="F11" s="37">
        <f>67444+52793</f>
        <v>120237</v>
      </c>
      <c r="G11" s="137"/>
      <c r="H11" s="138">
        <v>44418</v>
      </c>
      <c r="I11" s="38">
        <v>877</v>
      </c>
      <c r="J11" s="292"/>
      <c r="K11" s="161"/>
      <c r="L11" s="46"/>
      <c r="M11" s="444">
        <v>108147</v>
      </c>
      <c r="N11" s="334">
        <v>4381</v>
      </c>
      <c r="O11" s="491">
        <v>44418</v>
      </c>
      <c r="P11" s="389">
        <v>0</v>
      </c>
      <c r="Q11" s="447">
        <v>0</v>
      </c>
      <c r="R11" s="7">
        <f t="shared" si="1"/>
        <v>120237</v>
      </c>
      <c r="S11" s="6">
        <f t="shared" si="0"/>
        <v>0</v>
      </c>
      <c r="T11" s="48"/>
      <c r="W11" s="213" t="s">
        <v>62</v>
      </c>
      <c r="X11" s="220">
        <v>44258</v>
      </c>
      <c r="Y11" s="218">
        <v>2000</v>
      </c>
      <c r="AB11" s="349">
        <v>44360</v>
      </c>
      <c r="AC11" s="350">
        <v>88369</v>
      </c>
      <c r="AD11" s="99"/>
      <c r="AE11" s="345" t="s">
        <v>563</v>
      </c>
      <c r="AF11" s="299">
        <v>44358</v>
      </c>
      <c r="AG11" s="346">
        <v>181550</v>
      </c>
    </row>
    <row r="12" spans="1:33" ht="18" thickBot="1" x14ac:dyDescent="0.35">
      <c r="A12" s="34"/>
      <c r="B12" s="134">
        <v>44419</v>
      </c>
      <c r="C12" s="36">
        <v>15502</v>
      </c>
      <c r="D12" s="139" t="s">
        <v>758</v>
      </c>
      <c r="E12" s="136">
        <v>44419</v>
      </c>
      <c r="F12" s="37">
        <f>78854+10700</f>
        <v>89554</v>
      </c>
      <c r="G12" s="137"/>
      <c r="H12" s="138">
        <v>44419</v>
      </c>
      <c r="I12" s="38">
        <v>2440</v>
      </c>
      <c r="J12" s="52"/>
      <c r="K12" s="451"/>
      <c r="L12" s="46"/>
      <c r="M12" s="444">
        <v>66279</v>
      </c>
      <c r="N12" s="456">
        <f>3982+457+894+4046+135</f>
        <v>9514</v>
      </c>
      <c r="O12" s="491">
        <v>44419</v>
      </c>
      <c r="P12" s="389">
        <v>4181</v>
      </c>
      <c r="Q12" s="447">
        <v>0</v>
      </c>
      <c r="R12" s="7">
        <f>C12+M12+N12+I12</f>
        <v>93735</v>
      </c>
      <c r="S12" s="201">
        <f t="shared" si="0"/>
        <v>4181</v>
      </c>
      <c r="T12" s="56"/>
      <c r="W12" s="213" t="s">
        <v>63</v>
      </c>
      <c r="X12" s="220">
        <v>44265</v>
      </c>
      <c r="Y12" s="218">
        <v>2000</v>
      </c>
      <c r="AB12" s="349">
        <v>44361</v>
      </c>
      <c r="AC12" s="350">
        <v>141097</v>
      </c>
      <c r="AD12" s="99"/>
      <c r="AE12" s="345" t="s">
        <v>563</v>
      </c>
      <c r="AF12" s="299">
        <v>44361</v>
      </c>
      <c r="AG12" s="346">
        <v>325340</v>
      </c>
    </row>
    <row r="13" spans="1:33" ht="18" thickBot="1" x14ac:dyDescent="0.35">
      <c r="A13" s="34"/>
      <c r="B13" s="134">
        <v>44420</v>
      </c>
      <c r="C13" s="36">
        <v>8239</v>
      </c>
      <c r="D13" s="141" t="s">
        <v>763</v>
      </c>
      <c r="E13" s="136">
        <v>44420</v>
      </c>
      <c r="F13" s="37">
        <f>74943+40103</f>
        <v>115046</v>
      </c>
      <c r="G13" s="137"/>
      <c r="H13" s="138">
        <v>44420</v>
      </c>
      <c r="I13" s="38">
        <v>3</v>
      </c>
      <c r="J13" s="52"/>
      <c r="K13" s="171"/>
      <c r="L13" s="46"/>
      <c r="M13" s="444">
        <v>99618</v>
      </c>
      <c r="N13" s="334">
        <v>6749</v>
      </c>
      <c r="O13" s="491">
        <v>44420</v>
      </c>
      <c r="P13" s="389">
        <v>0</v>
      </c>
      <c r="Q13" s="447">
        <v>0</v>
      </c>
      <c r="R13" s="7">
        <f>C13+I13+M13+N13+L13</f>
        <v>114609</v>
      </c>
      <c r="S13" s="6">
        <f t="shared" si="0"/>
        <v>-437</v>
      </c>
      <c r="T13" s="48"/>
      <c r="W13" s="213" t="s">
        <v>64</v>
      </c>
      <c r="X13" s="220">
        <v>44272</v>
      </c>
      <c r="Y13" s="218">
        <v>2000</v>
      </c>
      <c r="AB13" s="349">
        <v>44362</v>
      </c>
      <c r="AC13" s="350">
        <v>84946</v>
      </c>
      <c r="AD13" s="99"/>
      <c r="AE13" s="345" t="s">
        <v>563</v>
      </c>
      <c r="AF13" s="299">
        <v>44362</v>
      </c>
      <c r="AG13" s="346">
        <v>82350</v>
      </c>
    </row>
    <row r="14" spans="1:33" ht="18" thickBot="1" x14ac:dyDescent="0.35">
      <c r="A14" s="34"/>
      <c r="B14" s="134">
        <v>44421</v>
      </c>
      <c r="C14" s="36">
        <v>14567</v>
      </c>
      <c r="D14" s="140" t="s">
        <v>768</v>
      </c>
      <c r="E14" s="136">
        <v>44421</v>
      </c>
      <c r="F14" s="37">
        <f>122489+14227</f>
        <v>136716</v>
      </c>
      <c r="G14" s="137"/>
      <c r="H14" s="138">
        <v>44421</v>
      </c>
      <c r="I14" s="38">
        <v>4025</v>
      </c>
      <c r="J14" s="52">
        <v>44421</v>
      </c>
      <c r="K14" s="158" t="s">
        <v>722</v>
      </c>
      <c r="L14" s="46">
        <v>10000</v>
      </c>
      <c r="M14" s="444">
        <v>99884</v>
      </c>
      <c r="N14" s="334">
        <v>8240</v>
      </c>
      <c r="O14" s="491">
        <v>44421</v>
      </c>
      <c r="P14" s="389">
        <v>0</v>
      </c>
      <c r="Q14" s="447">
        <v>0</v>
      </c>
      <c r="R14" s="7">
        <f>C14+I14+M14+N14+L14</f>
        <v>136716</v>
      </c>
      <c r="S14" s="6">
        <f t="shared" si="0"/>
        <v>0</v>
      </c>
      <c r="T14" s="54"/>
      <c r="W14" s="213" t="s">
        <v>65</v>
      </c>
      <c r="X14" s="220">
        <v>44281</v>
      </c>
      <c r="Y14" s="218">
        <v>2000</v>
      </c>
      <c r="AB14" s="349">
        <v>44363</v>
      </c>
      <c r="AC14" s="350">
        <v>96593</v>
      </c>
      <c r="AD14" s="99"/>
      <c r="AE14" s="345" t="s">
        <v>563</v>
      </c>
      <c r="AF14" s="299">
        <v>44363</v>
      </c>
      <c r="AG14" s="346">
        <v>132090</v>
      </c>
    </row>
    <row r="15" spans="1:33" ht="18" thickBot="1" x14ac:dyDescent="0.35">
      <c r="A15" s="34"/>
      <c r="B15" s="134">
        <v>44422</v>
      </c>
      <c r="C15" s="36">
        <v>10794</v>
      </c>
      <c r="D15" s="139" t="s">
        <v>769</v>
      </c>
      <c r="E15" s="136">
        <v>44422</v>
      </c>
      <c r="F15" s="37">
        <v>190321</v>
      </c>
      <c r="G15" s="137"/>
      <c r="H15" s="138">
        <v>44422</v>
      </c>
      <c r="I15" s="38">
        <v>750</v>
      </c>
      <c r="J15" s="52">
        <v>44422</v>
      </c>
      <c r="K15" s="158" t="s">
        <v>723</v>
      </c>
      <c r="L15" s="46">
        <f>23069.87+400</f>
        <v>23469.87</v>
      </c>
      <c r="M15" s="444">
        <v>150846</v>
      </c>
      <c r="N15" s="334">
        <v>11374</v>
      </c>
      <c r="O15" s="491">
        <v>44422</v>
      </c>
      <c r="P15" s="389">
        <v>0</v>
      </c>
      <c r="Q15" s="447">
        <v>6912.96</v>
      </c>
      <c r="R15" s="7">
        <f t="shared" si="1"/>
        <v>197233.87</v>
      </c>
      <c r="S15" s="202">
        <f t="shared" si="0"/>
        <v>6912.8699999999953</v>
      </c>
      <c r="T15" s="58"/>
      <c r="W15" s="213" t="s">
        <v>66</v>
      </c>
      <c r="X15" s="220"/>
      <c r="Y15" s="218"/>
      <c r="AB15" s="349">
        <v>44364</v>
      </c>
      <c r="AC15" s="350">
        <v>137820</v>
      </c>
      <c r="AD15" s="99"/>
      <c r="AE15" s="345" t="s">
        <v>563</v>
      </c>
      <c r="AF15" s="299">
        <v>44364</v>
      </c>
      <c r="AG15" s="346">
        <v>176440</v>
      </c>
    </row>
    <row r="16" spans="1:33" ht="18" thickBot="1" x14ac:dyDescent="0.35">
      <c r="A16" s="34"/>
      <c r="B16" s="134">
        <v>44423</v>
      </c>
      <c r="C16" s="36">
        <v>10602</v>
      </c>
      <c r="D16" s="139" t="s">
        <v>152</v>
      </c>
      <c r="E16" s="136">
        <v>44423</v>
      </c>
      <c r="F16" s="37">
        <v>149507</v>
      </c>
      <c r="G16" s="137"/>
      <c r="H16" s="138">
        <v>44423</v>
      </c>
      <c r="I16" s="38">
        <v>800</v>
      </c>
      <c r="J16" s="52"/>
      <c r="K16" s="158"/>
      <c r="L16" s="6"/>
      <c r="M16" s="444">
        <v>136098</v>
      </c>
      <c r="N16" s="334">
        <v>6485</v>
      </c>
      <c r="O16" s="491">
        <v>44423</v>
      </c>
      <c r="P16" s="389">
        <v>4478</v>
      </c>
      <c r="Q16" s="447">
        <v>0</v>
      </c>
      <c r="R16" s="7">
        <f t="shared" si="1"/>
        <v>153985</v>
      </c>
      <c r="S16" s="201">
        <f t="shared" si="0"/>
        <v>4478</v>
      </c>
      <c r="T16" s="58"/>
      <c r="W16" s="213" t="s">
        <v>67</v>
      </c>
      <c r="X16" s="220">
        <v>44300</v>
      </c>
      <c r="Y16" s="218">
        <v>2000</v>
      </c>
      <c r="AB16" s="349">
        <v>44365</v>
      </c>
      <c r="AC16" s="350">
        <v>131648</v>
      </c>
      <c r="AD16" s="99"/>
      <c r="AE16" s="345" t="s">
        <v>563</v>
      </c>
      <c r="AF16" s="299">
        <v>44365</v>
      </c>
      <c r="AG16" s="346">
        <v>137820</v>
      </c>
    </row>
    <row r="17" spans="1:33" ht="18" thickBot="1" x14ac:dyDescent="0.35">
      <c r="A17" s="34"/>
      <c r="B17" s="134">
        <v>44424</v>
      </c>
      <c r="C17" s="36">
        <v>10320</v>
      </c>
      <c r="D17" s="141" t="s">
        <v>770</v>
      </c>
      <c r="E17" s="136">
        <v>44424</v>
      </c>
      <c r="F17" s="37">
        <v>135496</v>
      </c>
      <c r="G17" s="137"/>
      <c r="H17" s="138">
        <v>44424</v>
      </c>
      <c r="I17" s="38">
        <v>840</v>
      </c>
      <c r="J17" s="52"/>
      <c r="K17" s="158"/>
      <c r="L17" s="53"/>
      <c r="M17" s="444">
        <v>117971</v>
      </c>
      <c r="N17" s="456">
        <f>6260+105</f>
        <v>6365</v>
      </c>
      <c r="O17" s="491">
        <v>44424</v>
      </c>
      <c r="P17" s="389">
        <v>0</v>
      </c>
      <c r="Q17" s="447">
        <v>0</v>
      </c>
      <c r="R17" s="7">
        <f t="shared" si="1"/>
        <v>135496</v>
      </c>
      <c r="S17" s="6">
        <f t="shared" si="0"/>
        <v>0</v>
      </c>
      <c r="T17" s="48"/>
      <c r="W17" s="213" t="s">
        <v>68</v>
      </c>
      <c r="X17" s="220">
        <v>44300</v>
      </c>
      <c r="Y17" s="218">
        <v>2000</v>
      </c>
      <c r="AB17" s="349">
        <v>44366</v>
      </c>
      <c r="AC17" s="350">
        <v>217420</v>
      </c>
      <c r="AD17" s="99"/>
      <c r="AE17" s="345" t="s">
        <v>563</v>
      </c>
      <c r="AF17" s="299">
        <v>44371</v>
      </c>
      <c r="AG17" s="346">
        <v>81200</v>
      </c>
    </row>
    <row r="18" spans="1:33" ht="18" thickBot="1" x14ac:dyDescent="0.35">
      <c r="A18" s="34"/>
      <c r="B18" s="134">
        <v>44425</v>
      </c>
      <c r="C18" s="36">
        <v>4381</v>
      </c>
      <c r="D18" s="139" t="s">
        <v>771</v>
      </c>
      <c r="E18" s="136">
        <v>44425</v>
      </c>
      <c r="F18" s="37">
        <v>83493</v>
      </c>
      <c r="G18" s="137"/>
      <c r="H18" s="138">
        <v>44425</v>
      </c>
      <c r="I18" s="38">
        <v>630</v>
      </c>
      <c r="J18" s="52"/>
      <c r="K18" s="452"/>
      <c r="L18" s="46"/>
      <c r="M18" s="444">
        <v>67370</v>
      </c>
      <c r="N18" s="334">
        <v>11112</v>
      </c>
      <c r="O18" s="491">
        <v>44425</v>
      </c>
      <c r="P18" s="389">
        <v>0</v>
      </c>
      <c r="Q18" s="447">
        <v>0</v>
      </c>
      <c r="R18" s="7">
        <f t="shared" si="1"/>
        <v>83493</v>
      </c>
      <c r="S18" s="6">
        <f t="shared" si="0"/>
        <v>0</v>
      </c>
      <c r="T18" s="48"/>
      <c r="W18" s="213" t="s">
        <v>69</v>
      </c>
      <c r="X18" s="220">
        <v>44309</v>
      </c>
      <c r="Y18" s="218">
        <v>2000</v>
      </c>
      <c r="AB18" s="349">
        <v>44367</v>
      </c>
      <c r="AC18" s="350">
        <v>190885</v>
      </c>
      <c r="AD18" s="99"/>
      <c r="AE18" s="345" t="s">
        <v>563</v>
      </c>
      <c r="AF18" s="299">
        <v>44372</v>
      </c>
      <c r="AG18" s="346">
        <v>167190</v>
      </c>
    </row>
    <row r="19" spans="1:33" ht="18" thickBot="1" x14ac:dyDescent="0.35">
      <c r="A19" s="34"/>
      <c r="B19" s="134">
        <v>44426</v>
      </c>
      <c r="C19" s="36">
        <v>26637</v>
      </c>
      <c r="D19" s="139" t="s">
        <v>773</v>
      </c>
      <c r="E19" s="136">
        <v>44426</v>
      </c>
      <c r="F19" s="37">
        <v>101512</v>
      </c>
      <c r="G19" s="137"/>
      <c r="H19" s="138">
        <v>44426</v>
      </c>
      <c r="I19" s="38">
        <v>2440</v>
      </c>
      <c r="J19" s="52"/>
      <c r="K19" s="163"/>
      <c r="L19" s="59"/>
      <c r="M19" s="444">
        <v>67168</v>
      </c>
      <c r="N19" s="334">
        <v>7233</v>
      </c>
      <c r="O19" s="491">
        <v>44426</v>
      </c>
      <c r="P19" s="389">
        <v>1966</v>
      </c>
      <c r="Q19" s="447">
        <v>0</v>
      </c>
      <c r="R19" s="7">
        <f t="shared" si="1"/>
        <v>103478</v>
      </c>
      <c r="S19" s="201">
        <f t="shared" si="0"/>
        <v>1966</v>
      </c>
      <c r="T19" s="58"/>
      <c r="W19" s="213" t="s">
        <v>70</v>
      </c>
      <c r="X19" s="220">
        <v>44320</v>
      </c>
      <c r="Y19" s="218">
        <v>2000</v>
      </c>
      <c r="AB19" s="349">
        <v>44368</v>
      </c>
      <c r="AC19" s="350">
        <v>83398</v>
      </c>
      <c r="AD19" s="99"/>
      <c r="AE19" s="345" t="s">
        <v>563</v>
      </c>
      <c r="AF19" s="299">
        <v>44376</v>
      </c>
      <c r="AG19" s="346">
        <v>209600</v>
      </c>
    </row>
    <row r="20" spans="1:33" ht="18" thickBot="1" x14ac:dyDescent="0.35">
      <c r="A20" s="34"/>
      <c r="B20" s="134">
        <v>44427</v>
      </c>
      <c r="C20" s="36">
        <v>8688</v>
      </c>
      <c r="D20" s="139" t="s">
        <v>774</v>
      </c>
      <c r="E20" s="136">
        <v>44427</v>
      </c>
      <c r="F20" s="37">
        <v>99258</v>
      </c>
      <c r="G20" s="137"/>
      <c r="H20" s="138">
        <v>44427</v>
      </c>
      <c r="I20" s="38">
        <v>495</v>
      </c>
      <c r="J20" s="52"/>
      <c r="K20" s="164"/>
      <c r="L20" s="53"/>
      <c r="M20" s="444">
        <v>83214</v>
      </c>
      <c r="N20" s="334">
        <v>6861</v>
      </c>
      <c r="O20" s="491">
        <v>44427</v>
      </c>
      <c r="P20" s="389">
        <v>0</v>
      </c>
      <c r="Q20" s="447">
        <v>0</v>
      </c>
      <c r="R20" s="7">
        <f t="shared" si="1"/>
        <v>99258</v>
      </c>
      <c r="S20" s="6">
        <f t="shared" si="0"/>
        <v>0</v>
      </c>
      <c r="T20" s="58"/>
      <c r="W20" s="213" t="s">
        <v>71</v>
      </c>
      <c r="X20" s="220">
        <v>44320</v>
      </c>
      <c r="Y20" s="218">
        <v>2000</v>
      </c>
      <c r="AB20" s="349">
        <v>44369</v>
      </c>
      <c r="AC20" s="350">
        <v>91227</v>
      </c>
      <c r="AD20" s="99"/>
      <c r="AE20" s="345" t="s">
        <v>563</v>
      </c>
      <c r="AF20" s="299">
        <v>44378</v>
      </c>
      <c r="AG20" s="346">
        <v>75870</v>
      </c>
    </row>
    <row r="21" spans="1:33" ht="18" thickBot="1" x14ac:dyDescent="0.35">
      <c r="A21" s="34"/>
      <c r="B21" s="134">
        <v>44428</v>
      </c>
      <c r="C21" s="36">
        <v>18102</v>
      </c>
      <c r="D21" s="139" t="s">
        <v>775</v>
      </c>
      <c r="E21" s="136">
        <v>44428</v>
      </c>
      <c r="F21" s="37">
        <v>168160</v>
      </c>
      <c r="G21" s="137"/>
      <c r="H21" s="138">
        <v>44428</v>
      </c>
      <c r="I21" s="38">
        <v>700</v>
      </c>
      <c r="J21" s="52">
        <v>44428</v>
      </c>
      <c r="K21" s="162" t="s">
        <v>722</v>
      </c>
      <c r="L21" s="53">
        <v>10000</v>
      </c>
      <c r="M21" s="444">
        <v>130209</v>
      </c>
      <c r="N21" s="334">
        <v>9149</v>
      </c>
      <c r="O21" s="491">
        <v>44428</v>
      </c>
      <c r="P21" s="389">
        <v>0</v>
      </c>
      <c r="Q21" s="447">
        <v>0</v>
      </c>
      <c r="R21" s="7">
        <f>C21+I21+M21+N21+L21</f>
        <v>168160</v>
      </c>
      <c r="S21" s="6">
        <f t="shared" si="0"/>
        <v>0</v>
      </c>
      <c r="T21" s="58"/>
      <c r="W21" s="213" t="s">
        <v>72</v>
      </c>
      <c r="X21" s="220">
        <v>44330</v>
      </c>
      <c r="Y21" s="218">
        <v>2000</v>
      </c>
      <c r="AB21" s="349">
        <v>44370</v>
      </c>
      <c r="AC21" s="350">
        <v>87086</v>
      </c>
      <c r="AD21" s="99"/>
      <c r="AE21" s="345"/>
      <c r="AF21" s="299"/>
      <c r="AG21" s="346">
        <v>0</v>
      </c>
    </row>
    <row r="22" spans="1:33" ht="24" thickBot="1" x14ac:dyDescent="0.35">
      <c r="A22" s="34"/>
      <c r="B22" s="134">
        <v>44429</v>
      </c>
      <c r="C22" s="36">
        <v>2560</v>
      </c>
      <c r="D22" s="139" t="s">
        <v>121</v>
      </c>
      <c r="E22" s="136">
        <v>44429</v>
      </c>
      <c r="F22" s="37">
        <v>149628</v>
      </c>
      <c r="G22" s="137"/>
      <c r="H22" s="138">
        <v>44429</v>
      </c>
      <c r="I22" s="38">
        <v>550</v>
      </c>
      <c r="J22" s="52">
        <v>44429</v>
      </c>
      <c r="K22" s="165" t="s">
        <v>776</v>
      </c>
      <c r="L22" s="61">
        <f>22010.68+400</f>
        <v>22410.68</v>
      </c>
      <c r="M22" s="444">
        <v>114598</v>
      </c>
      <c r="N22" s="334">
        <v>16271</v>
      </c>
      <c r="O22" s="491">
        <v>44429</v>
      </c>
      <c r="P22" s="389">
        <v>0</v>
      </c>
      <c r="Q22" s="447">
        <v>6761.68</v>
      </c>
      <c r="R22" s="7">
        <f>C22+I22+M22+N22+L22</f>
        <v>156389.68</v>
      </c>
      <c r="S22" s="202">
        <f t="shared" si="0"/>
        <v>6761.679999999993</v>
      </c>
      <c r="T22" s="58"/>
      <c r="W22" s="213" t="s">
        <v>73</v>
      </c>
      <c r="X22" s="220">
        <v>44337</v>
      </c>
      <c r="Y22" s="218">
        <v>2000</v>
      </c>
      <c r="AB22" s="349">
        <v>44371</v>
      </c>
      <c r="AC22" s="350">
        <v>80123</v>
      </c>
      <c r="AD22" s="99"/>
      <c r="AE22" s="375"/>
      <c r="AF22" s="376"/>
      <c r="AG22" s="377">
        <v>0</v>
      </c>
    </row>
    <row r="23" spans="1:33" ht="18" thickBot="1" x14ac:dyDescent="0.35">
      <c r="A23" s="34"/>
      <c r="B23" s="134">
        <v>44430</v>
      </c>
      <c r="C23" s="36">
        <v>1686</v>
      </c>
      <c r="D23" s="140" t="s">
        <v>45</v>
      </c>
      <c r="E23" s="136">
        <v>44430</v>
      </c>
      <c r="F23" s="37">
        <v>99724</v>
      </c>
      <c r="G23" s="137"/>
      <c r="H23" s="138">
        <v>44430</v>
      </c>
      <c r="I23" s="38">
        <v>565</v>
      </c>
      <c r="J23" s="293"/>
      <c r="K23" s="279"/>
      <c r="L23" s="53"/>
      <c r="M23" s="444">
        <v>87687</v>
      </c>
      <c r="N23" s="334">
        <v>9786</v>
      </c>
      <c r="O23" s="491">
        <v>44430</v>
      </c>
      <c r="P23" s="389">
        <v>0</v>
      </c>
      <c r="Q23" s="447">
        <v>0</v>
      </c>
      <c r="R23" s="7">
        <f t="shared" si="1"/>
        <v>99724</v>
      </c>
      <c r="S23" s="6">
        <f t="shared" si="0"/>
        <v>0</v>
      </c>
      <c r="T23" s="54"/>
      <c r="W23" s="213" t="s">
        <v>74</v>
      </c>
      <c r="X23" s="220">
        <v>44342</v>
      </c>
      <c r="Y23" s="218">
        <v>2000</v>
      </c>
      <c r="AB23" s="349">
        <v>44372</v>
      </c>
      <c r="AC23" s="350">
        <v>0</v>
      </c>
      <c r="AD23" s="99"/>
      <c r="AE23" s="604" t="s">
        <v>564</v>
      </c>
      <c r="AF23" s="605"/>
      <c r="AG23" s="339">
        <f>SUM(AG6:AG22)</f>
        <v>2323600</v>
      </c>
    </row>
    <row r="24" spans="1:33" ht="18" thickBot="1" x14ac:dyDescent="0.35">
      <c r="A24" s="34"/>
      <c r="B24" s="134">
        <v>44431</v>
      </c>
      <c r="C24" s="36">
        <v>10660</v>
      </c>
      <c r="D24" s="139" t="s">
        <v>777</v>
      </c>
      <c r="E24" s="136">
        <v>44431</v>
      </c>
      <c r="F24" s="37">
        <v>119985</v>
      </c>
      <c r="G24" s="137"/>
      <c r="H24" s="138">
        <v>44431</v>
      </c>
      <c r="I24" s="38">
        <v>440</v>
      </c>
      <c r="J24" s="294"/>
      <c r="K24" s="295"/>
      <c r="L24" s="296"/>
      <c r="M24" s="444">
        <v>104541</v>
      </c>
      <c r="N24" s="334">
        <v>4344</v>
      </c>
      <c r="O24" s="491">
        <v>44431</v>
      </c>
      <c r="P24" s="389">
        <v>0</v>
      </c>
      <c r="Q24" s="447">
        <v>0</v>
      </c>
      <c r="R24" s="7">
        <f t="shared" si="1"/>
        <v>119985</v>
      </c>
      <c r="S24" s="6">
        <f t="shared" si="0"/>
        <v>0</v>
      </c>
      <c r="T24" s="48"/>
      <c r="W24" s="213" t="s">
        <v>75</v>
      </c>
      <c r="X24" s="220"/>
      <c r="Y24" s="218"/>
      <c r="AB24" s="349">
        <v>44373</v>
      </c>
      <c r="AC24" s="350">
        <v>0</v>
      </c>
      <c r="AD24" s="99"/>
      <c r="AE24" s="47"/>
      <c r="AF24" s="323"/>
      <c r="AG24" s="99"/>
    </row>
    <row r="25" spans="1:33" ht="24" customHeight="1" thickBot="1" x14ac:dyDescent="0.35">
      <c r="A25" s="34"/>
      <c r="B25" s="134">
        <v>44432</v>
      </c>
      <c r="C25" s="36">
        <v>2355</v>
      </c>
      <c r="D25" s="139" t="s">
        <v>45</v>
      </c>
      <c r="E25" s="136">
        <v>44432</v>
      </c>
      <c r="F25" s="37">
        <v>88482</v>
      </c>
      <c r="G25" s="137"/>
      <c r="H25" s="138">
        <v>44432</v>
      </c>
      <c r="I25" s="38">
        <v>947</v>
      </c>
      <c r="J25" s="297"/>
      <c r="K25" s="172"/>
      <c r="L25" s="75"/>
      <c r="M25" s="444">
        <v>65712</v>
      </c>
      <c r="N25" s="334">
        <v>19468</v>
      </c>
      <c r="O25" s="491">
        <v>44432</v>
      </c>
      <c r="P25" s="389">
        <v>0</v>
      </c>
      <c r="Q25" s="447">
        <v>0</v>
      </c>
      <c r="R25" s="7">
        <f t="shared" si="1"/>
        <v>88482</v>
      </c>
      <c r="S25" s="6">
        <f t="shared" si="0"/>
        <v>0</v>
      </c>
      <c r="T25" s="48"/>
      <c r="W25" s="213" t="s">
        <v>76</v>
      </c>
      <c r="X25" s="220">
        <v>44358</v>
      </c>
      <c r="Y25" s="218">
        <v>2000</v>
      </c>
      <c r="AB25" s="349">
        <v>44374</v>
      </c>
      <c r="AC25" s="350">
        <v>138607</v>
      </c>
      <c r="AD25" s="99"/>
      <c r="AE25" s="606" t="s">
        <v>565</v>
      </c>
      <c r="AF25" s="607"/>
      <c r="AG25" s="610">
        <f>AC29-AG23</f>
        <v>163726</v>
      </c>
    </row>
    <row r="26" spans="1:33" ht="18" thickBot="1" x14ac:dyDescent="0.35">
      <c r="A26" s="34"/>
      <c r="B26" s="134">
        <v>44433</v>
      </c>
      <c r="C26" s="36">
        <v>8540</v>
      </c>
      <c r="D26" s="139" t="s">
        <v>802</v>
      </c>
      <c r="E26" s="136">
        <v>44433</v>
      </c>
      <c r="F26" s="37">
        <v>140809</v>
      </c>
      <c r="G26" s="137"/>
      <c r="H26" s="138">
        <v>44433</v>
      </c>
      <c r="I26" s="38">
        <v>495</v>
      </c>
      <c r="J26" s="52"/>
      <c r="K26" s="295"/>
      <c r="L26" s="53"/>
      <c r="M26" s="444">
        <v>117270</v>
      </c>
      <c r="N26" s="334">
        <v>14504</v>
      </c>
      <c r="O26" s="491">
        <v>44433</v>
      </c>
      <c r="P26" s="389">
        <v>0</v>
      </c>
      <c r="Q26" s="447">
        <v>0</v>
      </c>
      <c r="R26" s="7">
        <f t="shared" si="1"/>
        <v>140809</v>
      </c>
      <c r="S26" s="6">
        <f t="shared" si="0"/>
        <v>0</v>
      </c>
      <c r="T26" s="48"/>
      <c r="W26" s="213" t="s">
        <v>77</v>
      </c>
      <c r="X26" s="220">
        <v>44363</v>
      </c>
      <c r="Y26" s="218">
        <v>2000</v>
      </c>
      <c r="AB26" s="349">
        <v>44375</v>
      </c>
      <c r="AC26" s="350">
        <v>107480</v>
      </c>
      <c r="AD26" s="99"/>
      <c r="AE26" s="608"/>
      <c r="AF26" s="609"/>
      <c r="AG26" s="611"/>
    </row>
    <row r="27" spans="1:33" ht="21.75" customHeight="1" thickBot="1" x14ac:dyDescent="0.35">
      <c r="A27" s="34"/>
      <c r="B27" s="134">
        <v>44434</v>
      </c>
      <c r="C27" s="36">
        <v>4623</v>
      </c>
      <c r="D27" s="141" t="s">
        <v>803</v>
      </c>
      <c r="E27" s="136">
        <v>44434</v>
      </c>
      <c r="F27" s="37">
        <v>89516</v>
      </c>
      <c r="G27" s="137"/>
      <c r="H27" s="138">
        <v>44434</v>
      </c>
      <c r="I27" s="38">
        <v>1062</v>
      </c>
      <c r="J27" s="298"/>
      <c r="K27" s="282"/>
      <c r="L27" s="75"/>
      <c r="M27" s="444">
        <v>79471</v>
      </c>
      <c r="N27" s="334">
        <v>4360</v>
      </c>
      <c r="O27" s="491">
        <v>44434</v>
      </c>
      <c r="P27" s="389">
        <v>0</v>
      </c>
      <c r="Q27" s="447">
        <v>0</v>
      </c>
      <c r="R27" s="7">
        <f t="shared" si="1"/>
        <v>89516</v>
      </c>
      <c r="S27" s="6">
        <f t="shared" si="0"/>
        <v>0</v>
      </c>
      <c r="T27" s="48"/>
      <c r="W27" s="213" t="s">
        <v>78</v>
      </c>
      <c r="X27" s="220">
        <v>44370</v>
      </c>
      <c r="Y27" s="218">
        <v>2000</v>
      </c>
      <c r="AB27" s="349">
        <v>44376</v>
      </c>
      <c r="AC27" s="350">
        <v>77894</v>
      </c>
      <c r="AD27" s="99"/>
      <c r="AE27" s="99"/>
      <c r="AF27" s="99"/>
      <c r="AG27" s="99"/>
    </row>
    <row r="28" spans="1:33" ht="18" thickBot="1" x14ac:dyDescent="0.35">
      <c r="A28" s="34"/>
      <c r="B28" s="134">
        <v>44435</v>
      </c>
      <c r="C28" s="36">
        <v>8507</v>
      </c>
      <c r="D28" s="141" t="s">
        <v>804</v>
      </c>
      <c r="E28" s="136">
        <v>44435</v>
      </c>
      <c r="F28" s="37">
        <v>144123</v>
      </c>
      <c r="G28" s="137"/>
      <c r="H28" s="138">
        <v>44435</v>
      </c>
      <c r="I28" s="38">
        <v>3542</v>
      </c>
      <c r="J28" s="299">
        <v>44435</v>
      </c>
      <c r="K28" s="151" t="s">
        <v>722</v>
      </c>
      <c r="L28" s="75">
        <v>10000</v>
      </c>
      <c r="M28" s="444">
        <v>116346</v>
      </c>
      <c r="N28" s="456">
        <f>5418+310</f>
        <v>5728</v>
      </c>
      <c r="O28" s="491">
        <v>44435</v>
      </c>
      <c r="P28" s="389">
        <v>0</v>
      </c>
      <c r="Q28" s="447">
        <v>0</v>
      </c>
      <c r="R28" s="7">
        <f t="shared" si="1"/>
        <v>144123</v>
      </c>
      <c r="S28" s="6">
        <f t="shared" si="0"/>
        <v>0</v>
      </c>
      <c r="T28" s="48"/>
      <c r="W28" s="213" t="s">
        <v>79</v>
      </c>
      <c r="X28" s="220"/>
      <c r="Y28" s="218"/>
      <c r="AB28" s="351">
        <v>44377</v>
      </c>
      <c r="AC28" s="352">
        <v>0</v>
      </c>
      <c r="AD28" s="99"/>
      <c r="AE28" s="99"/>
      <c r="AF28" s="99"/>
      <c r="AG28" s="99"/>
    </row>
    <row r="29" spans="1:33" ht="15.75" customHeight="1" thickBot="1" x14ac:dyDescent="0.35">
      <c r="A29" s="34"/>
      <c r="B29" s="134">
        <v>44436</v>
      </c>
      <c r="C29" s="36">
        <v>2327</v>
      </c>
      <c r="D29" s="143" t="s">
        <v>449</v>
      </c>
      <c r="E29" s="136">
        <v>44436</v>
      </c>
      <c r="F29" s="37">
        <v>187805</v>
      </c>
      <c r="G29" s="137"/>
      <c r="H29" s="138">
        <v>44436</v>
      </c>
      <c r="I29" s="38">
        <v>550</v>
      </c>
      <c r="J29" s="300">
        <v>44436</v>
      </c>
      <c r="K29" s="169" t="s">
        <v>805</v>
      </c>
      <c r="L29" s="75">
        <f>23655.58+400</f>
        <v>24055.58</v>
      </c>
      <c r="M29" s="444">
        <v>150701</v>
      </c>
      <c r="N29" s="334">
        <v>17084</v>
      </c>
      <c r="O29" s="491">
        <v>44436</v>
      </c>
      <c r="P29" s="389">
        <v>0</v>
      </c>
      <c r="Q29" s="447">
        <v>6912.58</v>
      </c>
      <c r="R29" s="7">
        <f t="shared" si="1"/>
        <v>194717.58000000002</v>
      </c>
      <c r="S29" s="202">
        <f t="shared" si="0"/>
        <v>6912.5800000000163</v>
      </c>
      <c r="T29" s="58"/>
      <c r="W29" s="213" t="s">
        <v>80</v>
      </c>
      <c r="X29" s="220"/>
      <c r="Y29" s="218"/>
      <c r="AB29" s="600" t="s">
        <v>562</v>
      </c>
      <c r="AC29" s="602">
        <f>SUM(AC5:AC28)</f>
        <v>2487326</v>
      </c>
      <c r="AD29" s="340"/>
      <c r="AE29" s="340"/>
      <c r="AF29" s="340"/>
      <c r="AG29" s="340"/>
    </row>
    <row r="30" spans="1:33" ht="18" thickBot="1" x14ac:dyDescent="0.35">
      <c r="A30" s="34"/>
      <c r="B30" s="134">
        <v>44437</v>
      </c>
      <c r="C30" s="36">
        <v>31250</v>
      </c>
      <c r="D30" s="143" t="s">
        <v>750</v>
      </c>
      <c r="E30" s="136">
        <v>44437</v>
      </c>
      <c r="F30" s="37">
        <v>116409</v>
      </c>
      <c r="G30" s="137"/>
      <c r="H30" s="138">
        <v>44437</v>
      </c>
      <c r="I30" s="38">
        <v>550</v>
      </c>
      <c r="J30" s="233"/>
      <c r="K30" s="356"/>
      <c r="L30" s="357"/>
      <c r="M30" s="444">
        <v>80671</v>
      </c>
      <c r="N30" s="334">
        <v>3938</v>
      </c>
      <c r="O30" s="491">
        <v>44437</v>
      </c>
      <c r="P30" s="389">
        <v>0</v>
      </c>
      <c r="Q30" s="447">
        <v>0</v>
      </c>
      <c r="R30" s="7">
        <f t="shared" si="1"/>
        <v>116409</v>
      </c>
      <c r="S30" s="6">
        <f t="shared" si="0"/>
        <v>0</v>
      </c>
      <c r="T30" s="48"/>
      <c r="W30" s="213" t="s">
        <v>81</v>
      </c>
      <c r="X30" s="221"/>
      <c r="Y30" s="207"/>
      <c r="AB30" s="601"/>
      <c r="AC30" s="603"/>
      <c r="AD30" s="99"/>
      <c r="AE30" s="99"/>
      <c r="AF30" s="99"/>
      <c r="AG30" s="99"/>
    </row>
    <row r="31" spans="1:33" ht="18" thickBot="1" x14ac:dyDescent="0.35">
      <c r="A31" s="34"/>
      <c r="B31" s="134">
        <v>44438</v>
      </c>
      <c r="C31" s="36">
        <v>5672</v>
      </c>
      <c r="D31" s="266" t="s">
        <v>806</v>
      </c>
      <c r="E31" s="136">
        <v>44438</v>
      </c>
      <c r="F31" s="37">
        <v>106410</v>
      </c>
      <c r="G31" s="137"/>
      <c r="H31" s="138">
        <v>44438</v>
      </c>
      <c r="I31" s="38">
        <v>1440</v>
      </c>
      <c r="J31" s="233"/>
      <c r="K31" s="144"/>
      <c r="L31" s="66"/>
      <c r="M31" s="444">
        <v>82955</v>
      </c>
      <c r="N31" s="456">
        <f>15974+369</f>
        <v>16343</v>
      </c>
      <c r="O31" s="491">
        <v>44438</v>
      </c>
      <c r="P31" s="7"/>
      <c r="Q31" s="447">
        <v>0</v>
      </c>
      <c r="R31" s="7">
        <f t="shared" si="1"/>
        <v>106410</v>
      </c>
      <c r="S31" s="6">
        <f t="shared" si="0"/>
        <v>0</v>
      </c>
      <c r="T31" s="48"/>
      <c r="W31" s="213" t="s">
        <v>82</v>
      </c>
      <c r="X31" s="221"/>
      <c r="Y31" s="207"/>
      <c r="AB31" s="323"/>
      <c r="AC31" s="99"/>
      <c r="AD31" s="99"/>
      <c r="AE31" s="99"/>
      <c r="AF31" s="99"/>
      <c r="AG31" s="99"/>
    </row>
    <row r="32" spans="1:33" ht="18" thickBot="1" x14ac:dyDescent="0.35">
      <c r="A32" s="34"/>
      <c r="B32" s="134">
        <v>44439</v>
      </c>
      <c r="C32" s="36">
        <v>5815</v>
      </c>
      <c r="D32" s="453" t="s">
        <v>807</v>
      </c>
      <c r="E32" s="136">
        <v>44439</v>
      </c>
      <c r="F32" s="37">
        <v>138193</v>
      </c>
      <c r="G32" s="137"/>
      <c r="H32" s="138">
        <v>44439</v>
      </c>
      <c r="I32" s="38">
        <v>732</v>
      </c>
      <c r="J32" s="233">
        <v>44439</v>
      </c>
      <c r="K32" s="511" t="s">
        <v>12</v>
      </c>
      <c r="L32" s="357">
        <v>20000</v>
      </c>
      <c r="M32" s="444">
        <v>97208</v>
      </c>
      <c r="N32" s="42">
        <f>14340+98</f>
        <v>14438</v>
      </c>
      <c r="O32" s="491">
        <v>44439</v>
      </c>
      <c r="P32" s="7" t="s">
        <v>11</v>
      </c>
      <c r="Q32" s="447">
        <v>0</v>
      </c>
      <c r="R32" s="7">
        <f t="shared" si="1"/>
        <v>138193</v>
      </c>
      <c r="S32" s="6">
        <f t="shared" si="0"/>
        <v>0</v>
      </c>
      <c r="T32" s="48" t="s">
        <v>808</v>
      </c>
      <c r="W32" s="213" t="s">
        <v>83</v>
      </c>
      <c r="X32" s="221"/>
      <c r="Y32" s="207"/>
      <c r="AD32" s="99"/>
      <c r="AE32" s="99"/>
      <c r="AF32" s="99"/>
      <c r="AG32" s="99"/>
    </row>
    <row r="33" spans="1:33" ht="18" thickBot="1" x14ac:dyDescent="0.35">
      <c r="A33" s="34"/>
      <c r="B33" s="134"/>
      <c r="C33" s="36">
        <v>0</v>
      </c>
      <c r="D33" s="266"/>
      <c r="E33" s="136"/>
      <c r="F33" s="37">
        <v>0</v>
      </c>
      <c r="G33" s="137"/>
      <c r="H33" s="138"/>
      <c r="I33" s="38">
        <v>0</v>
      </c>
      <c r="J33" s="233"/>
      <c r="K33" s="144"/>
      <c r="L33" s="358"/>
      <c r="M33" s="444">
        <v>0</v>
      </c>
      <c r="N33" s="42">
        <v>0</v>
      </c>
      <c r="O33" s="392"/>
      <c r="P33" s="7"/>
      <c r="Q33" s="447">
        <v>0</v>
      </c>
      <c r="R33" s="7">
        <f t="shared" si="1"/>
        <v>0</v>
      </c>
      <c r="S33" s="6">
        <f t="shared" si="0"/>
        <v>0</v>
      </c>
      <c r="T33" s="48"/>
      <c r="W33" s="213" t="s">
        <v>84</v>
      </c>
      <c r="X33" s="221"/>
      <c r="Y33" s="207"/>
      <c r="AC33" s="386" t="s">
        <v>601</v>
      </c>
      <c r="AD33" s="387"/>
      <c r="AE33" s="387"/>
      <c r="AG33" s="387">
        <v>10815.4</v>
      </c>
    </row>
    <row r="34" spans="1:33" ht="31.5" thickBot="1" x14ac:dyDescent="0.35">
      <c r="A34" s="34"/>
      <c r="B34" s="134"/>
      <c r="C34" s="36">
        <v>0</v>
      </c>
      <c r="D34" s="453"/>
      <c r="E34" s="136"/>
      <c r="F34" s="37">
        <v>0</v>
      </c>
      <c r="G34" s="137"/>
      <c r="H34" s="138"/>
      <c r="I34" s="38">
        <v>0</v>
      </c>
      <c r="J34" s="233" t="s">
        <v>822</v>
      </c>
      <c r="K34" s="454" t="s">
        <v>550</v>
      </c>
      <c r="L34" s="360">
        <v>5046</v>
      </c>
      <c r="M34" s="444">
        <v>0</v>
      </c>
      <c r="N34" s="42">
        <v>0</v>
      </c>
      <c r="O34" s="392"/>
      <c r="P34" s="7"/>
      <c r="Q34" s="447">
        <v>0</v>
      </c>
      <c r="R34" s="7">
        <f t="shared" si="1"/>
        <v>5046</v>
      </c>
      <c r="S34" s="6">
        <f t="shared" si="0"/>
        <v>5046</v>
      </c>
      <c r="T34" s="48"/>
      <c r="W34" s="213" t="s">
        <v>85</v>
      </c>
      <c r="X34" s="221"/>
      <c r="Y34" s="207"/>
      <c r="AC34" s="388" t="s">
        <v>602</v>
      </c>
      <c r="AD34" s="99"/>
      <c r="AE34" s="99"/>
      <c r="AG34" s="99">
        <v>26563.26</v>
      </c>
    </row>
    <row r="35" spans="1:33" ht="18" thickBot="1" x14ac:dyDescent="0.35">
      <c r="A35" s="34"/>
      <c r="B35" s="134"/>
      <c r="C35" s="36">
        <v>0</v>
      </c>
      <c r="D35" s="267"/>
      <c r="E35" s="136"/>
      <c r="F35" s="37">
        <v>0</v>
      </c>
      <c r="G35" s="137"/>
      <c r="H35" s="138"/>
      <c r="I35" s="38">
        <v>0</v>
      </c>
      <c r="J35" s="233" t="s">
        <v>822</v>
      </c>
      <c r="K35" s="144" t="s">
        <v>835</v>
      </c>
      <c r="L35" s="358">
        <v>798</v>
      </c>
      <c r="M35" s="444">
        <v>0</v>
      </c>
      <c r="N35" s="42">
        <v>0</v>
      </c>
      <c r="O35" s="392"/>
      <c r="P35" s="7"/>
      <c r="Q35" s="447">
        <v>0</v>
      </c>
      <c r="R35" s="7">
        <f t="shared" si="1"/>
        <v>798</v>
      </c>
      <c r="S35" s="6">
        <f t="shared" si="0"/>
        <v>798</v>
      </c>
      <c r="T35" s="48"/>
      <c r="W35" s="213" t="s">
        <v>86</v>
      </c>
      <c r="X35" s="221"/>
      <c r="Y35" s="207"/>
      <c r="AC35" s="385"/>
      <c r="AD35" s="99"/>
      <c r="AE35" s="99"/>
      <c r="AG35" s="99"/>
    </row>
    <row r="36" spans="1:33" ht="15" customHeight="1" thickBot="1" x14ac:dyDescent="0.35">
      <c r="A36" s="34"/>
      <c r="B36" s="146">
        <v>44412</v>
      </c>
      <c r="C36" s="225">
        <v>14693.64</v>
      </c>
      <c r="D36" s="242" t="s">
        <v>341</v>
      </c>
      <c r="E36" s="136"/>
      <c r="F36" s="37">
        <v>0</v>
      </c>
      <c r="G36" s="137"/>
      <c r="H36" s="138"/>
      <c r="I36" s="38">
        <v>0</v>
      </c>
      <c r="J36" s="233" t="s">
        <v>822</v>
      </c>
      <c r="K36" s="359" t="s">
        <v>823</v>
      </c>
      <c r="L36" s="360">
        <f>3244.52+5324.4</f>
        <v>8568.92</v>
      </c>
      <c r="M36" s="444">
        <v>0</v>
      </c>
      <c r="N36" s="42">
        <v>0</v>
      </c>
      <c r="O36" s="392"/>
      <c r="P36" s="7"/>
      <c r="Q36" s="447">
        <v>0</v>
      </c>
      <c r="R36" s="7">
        <f t="shared" si="1"/>
        <v>23262.559999999998</v>
      </c>
      <c r="S36" s="6">
        <v>0</v>
      </c>
      <c r="T36" s="48"/>
      <c r="W36" s="213" t="s">
        <v>87</v>
      </c>
      <c r="X36" s="221"/>
      <c r="Y36" s="207"/>
      <c r="AC36" s="388"/>
      <c r="AD36" s="99"/>
      <c r="AE36" s="99"/>
      <c r="AG36" s="99"/>
    </row>
    <row r="37" spans="1:33" ht="19.5" customHeight="1" thickBot="1" x14ac:dyDescent="0.35">
      <c r="A37" s="34"/>
      <c r="B37" s="146">
        <v>44415</v>
      </c>
      <c r="C37" s="225">
        <v>25517.34</v>
      </c>
      <c r="D37" s="242" t="s">
        <v>341</v>
      </c>
      <c r="E37" s="136"/>
      <c r="F37" s="37">
        <v>0</v>
      </c>
      <c r="G37" s="137"/>
      <c r="H37" s="138"/>
      <c r="I37" s="38">
        <v>0</v>
      </c>
      <c r="J37" s="233" t="s">
        <v>822</v>
      </c>
      <c r="K37" s="144" t="s">
        <v>582</v>
      </c>
      <c r="L37" s="358">
        <f>198.99+352.4+1721.05</f>
        <v>2272.44</v>
      </c>
      <c r="M37" s="444">
        <v>0</v>
      </c>
      <c r="N37" s="42">
        <v>0</v>
      </c>
      <c r="O37" s="392"/>
      <c r="P37" s="7"/>
      <c r="Q37" s="449"/>
      <c r="R37" s="7">
        <f t="shared" si="1"/>
        <v>27789.78</v>
      </c>
      <c r="S37" s="6">
        <v>0</v>
      </c>
      <c r="T37" s="48"/>
      <c r="U37" s="7" t="s">
        <v>11</v>
      </c>
      <c r="W37" s="213" t="s">
        <v>88</v>
      </c>
      <c r="X37" s="221"/>
      <c r="Y37" s="207"/>
      <c r="AC37" s="321" t="s">
        <v>603</v>
      </c>
      <c r="AD37" s="338"/>
      <c r="AE37" s="338"/>
      <c r="AG37" s="389">
        <v>61174.96</v>
      </c>
    </row>
    <row r="38" spans="1:33" ht="18.75" customHeight="1" thickBot="1" x14ac:dyDescent="0.35">
      <c r="A38" s="34"/>
      <c r="B38" s="146">
        <v>44419</v>
      </c>
      <c r="C38" s="225">
        <v>23707.279999999999</v>
      </c>
      <c r="D38" s="242" t="s">
        <v>341</v>
      </c>
      <c r="E38" s="136"/>
      <c r="F38" s="37">
        <v>0</v>
      </c>
      <c r="G38" s="137"/>
      <c r="H38" s="138"/>
      <c r="I38" s="38">
        <v>0</v>
      </c>
      <c r="J38" s="233" t="s">
        <v>822</v>
      </c>
      <c r="K38" s="144" t="s">
        <v>370</v>
      </c>
      <c r="L38" s="358">
        <v>549</v>
      </c>
      <c r="M38" s="444">
        <v>0</v>
      </c>
      <c r="N38" s="42">
        <v>0</v>
      </c>
      <c r="O38" s="392"/>
      <c r="P38" s="7"/>
      <c r="Q38" s="450"/>
      <c r="R38" s="7">
        <f t="shared" si="1"/>
        <v>24256.28</v>
      </c>
      <c r="S38" s="6">
        <v>0</v>
      </c>
      <c r="T38" s="48"/>
      <c r="W38" s="213" t="s">
        <v>89</v>
      </c>
      <c r="X38" s="221"/>
      <c r="Y38" s="207"/>
      <c r="AC38" s="321" t="s">
        <v>604</v>
      </c>
      <c r="AD38" s="338"/>
      <c r="AE38" s="338"/>
      <c r="AG38" s="389">
        <v>53960</v>
      </c>
    </row>
    <row r="39" spans="1:33" ht="20.25" customHeight="1" thickTop="1" thickBot="1" x14ac:dyDescent="0.35">
      <c r="A39" s="34"/>
      <c r="B39" s="512">
        <v>44425</v>
      </c>
      <c r="C39" s="225">
        <v>20092.59</v>
      </c>
      <c r="D39" s="242" t="s">
        <v>341</v>
      </c>
      <c r="E39" s="136"/>
      <c r="F39" s="239"/>
      <c r="G39" s="137"/>
      <c r="H39" s="138"/>
      <c r="I39" s="69"/>
      <c r="J39" s="233" t="s">
        <v>822</v>
      </c>
      <c r="K39" s="361" t="s">
        <v>824</v>
      </c>
      <c r="L39" s="357">
        <v>11500</v>
      </c>
      <c r="M39" s="537">
        <f>SUM(M5:M38)</f>
        <v>2842451</v>
      </c>
      <c r="N39" s="631">
        <f>SUM(N5:N38)</f>
        <v>271503</v>
      </c>
      <c r="O39" s="392"/>
      <c r="P39" s="7"/>
      <c r="Q39" s="7"/>
      <c r="R39" s="7">
        <f>SUM(R5:R38)</f>
        <v>3658125.76</v>
      </c>
      <c r="T39" s="48"/>
      <c r="W39" s="213" t="s">
        <v>90</v>
      </c>
      <c r="X39" s="221"/>
      <c r="Y39" s="207"/>
      <c r="AC39" s="321" t="s">
        <v>605</v>
      </c>
      <c r="AD39" s="338"/>
      <c r="AE39" s="338"/>
      <c r="AG39" s="391">
        <v>174363</v>
      </c>
    </row>
    <row r="40" spans="1:33" ht="20.25" customHeight="1" thickBot="1" x14ac:dyDescent="0.35">
      <c r="A40" s="34"/>
      <c r="B40" s="512">
        <v>44427</v>
      </c>
      <c r="C40" s="225">
        <v>11142.75</v>
      </c>
      <c r="D40" s="242" t="s">
        <v>341</v>
      </c>
      <c r="E40" s="136"/>
      <c r="F40" s="239"/>
      <c r="G40" s="137"/>
      <c r="H40" s="138"/>
      <c r="I40" s="69"/>
      <c r="J40" s="233" t="s">
        <v>822</v>
      </c>
      <c r="K40" s="144" t="s">
        <v>825</v>
      </c>
      <c r="L40" s="357">
        <v>20880</v>
      </c>
      <c r="M40" s="538"/>
      <c r="N40" s="632"/>
      <c r="O40" s="392"/>
      <c r="P40" s="7"/>
      <c r="Q40" s="7"/>
      <c r="R40" s="7"/>
      <c r="S40" s="6">
        <v>0</v>
      </c>
      <c r="T40" s="48"/>
      <c r="W40" s="213" t="s">
        <v>91</v>
      </c>
      <c r="X40" s="221"/>
      <c r="Y40" s="207"/>
      <c r="AC40" s="321" t="s">
        <v>606</v>
      </c>
      <c r="AD40" s="338"/>
      <c r="AE40" s="338"/>
      <c r="AG40" s="389">
        <v>829950</v>
      </c>
    </row>
    <row r="41" spans="1:33" ht="19.5" customHeight="1" thickBot="1" x14ac:dyDescent="0.35">
      <c r="A41" s="34"/>
      <c r="B41" s="512">
        <v>44428</v>
      </c>
      <c r="C41" s="225">
        <v>24621.96</v>
      </c>
      <c r="D41" s="242" t="s">
        <v>341</v>
      </c>
      <c r="E41" s="136"/>
      <c r="F41" s="240"/>
      <c r="G41" s="137"/>
      <c r="H41" s="138"/>
      <c r="I41" s="69"/>
      <c r="J41" s="233" t="s">
        <v>822</v>
      </c>
      <c r="K41" s="144" t="s">
        <v>548</v>
      </c>
      <c r="L41" s="357">
        <f>9720+9720+9885+9720</f>
        <v>39045</v>
      </c>
      <c r="M41" s="7"/>
      <c r="N41" s="7"/>
      <c r="O41" s="392"/>
      <c r="P41" s="7"/>
      <c r="Q41" s="7"/>
      <c r="R41" s="7"/>
      <c r="S41" s="6">
        <v>0</v>
      </c>
      <c r="T41" s="48"/>
      <c r="W41" s="213" t="s">
        <v>92</v>
      </c>
      <c r="X41" s="221"/>
      <c r="Y41" s="207"/>
      <c r="AC41" s="321" t="s">
        <v>607</v>
      </c>
      <c r="AD41" s="338"/>
      <c r="AE41" s="338"/>
      <c r="AF41" s="389"/>
      <c r="AG41" s="338">
        <v>2323600</v>
      </c>
    </row>
    <row r="42" spans="1:33" ht="15" customHeight="1" thickBot="1" x14ac:dyDescent="0.35">
      <c r="A42" s="34"/>
      <c r="B42" s="513">
        <v>44434</v>
      </c>
      <c r="C42" s="225">
        <v>23223.96</v>
      </c>
      <c r="D42" s="242" t="s">
        <v>341</v>
      </c>
      <c r="E42" s="136"/>
      <c r="F42" s="241"/>
      <c r="G42" s="137"/>
      <c r="H42" s="138"/>
      <c r="I42" s="69"/>
      <c r="J42" s="233" t="s">
        <v>822</v>
      </c>
      <c r="K42" s="144" t="s">
        <v>826</v>
      </c>
      <c r="L42" s="357">
        <v>5220</v>
      </c>
      <c r="M42" s="7"/>
      <c r="N42" s="7"/>
      <c r="O42" s="392"/>
      <c r="P42" s="7"/>
      <c r="Q42" s="7"/>
      <c r="R42" s="7"/>
      <c r="S42" s="6">
        <v>0</v>
      </c>
      <c r="T42" s="48"/>
      <c r="W42" s="213" t="s">
        <v>93</v>
      </c>
      <c r="X42" s="221"/>
      <c r="Y42" s="207"/>
      <c r="AD42" s="338"/>
      <c r="AE42" s="338"/>
      <c r="AF42" s="389"/>
      <c r="AG42" s="338">
        <v>0</v>
      </c>
    </row>
    <row r="43" spans="1:33" ht="15.75" customHeight="1" thickBot="1" x14ac:dyDescent="0.35">
      <c r="A43" s="34"/>
      <c r="B43" s="146">
        <v>44435</v>
      </c>
      <c r="C43" s="225">
        <v>12717.12</v>
      </c>
      <c r="D43" s="242" t="s">
        <v>341</v>
      </c>
      <c r="E43" s="136"/>
      <c r="F43" s="241"/>
      <c r="G43" s="137"/>
      <c r="H43" s="138"/>
      <c r="I43" s="69"/>
      <c r="J43" s="233" t="s">
        <v>822</v>
      </c>
      <c r="K43" s="144" t="s">
        <v>132</v>
      </c>
      <c r="L43" s="357">
        <f>3678.2+1492.43+1055.91</f>
        <v>6226.54</v>
      </c>
      <c r="M43" s="7"/>
      <c r="N43" s="7"/>
      <c r="O43" s="392"/>
      <c r="P43" s="7"/>
      <c r="Q43" s="7"/>
      <c r="R43" s="7"/>
      <c r="S43" s="6">
        <v>0</v>
      </c>
      <c r="T43" s="48"/>
      <c r="W43" s="213" t="s">
        <v>94</v>
      </c>
      <c r="X43" s="221"/>
      <c r="Y43" s="207"/>
      <c r="AD43" s="338"/>
      <c r="AE43" s="338"/>
      <c r="AF43" s="389"/>
      <c r="AG43" s="338">
        <v>0</v>
      </c>
    </row>
    <row r="44" spans="1:33" ht="16.149999999999999" customHeight="1" thickBot="1" x14ac:dyDescent="0.35">
      <c r="A44" s="34"/>
      <c r="B44" s="146">
        <v>44436</v>
      </c>
      <c r="C44" s="225">
        <v>9197.25</v>
      </c>
      <c r="D44" s="242" t="s">
        <v>341</v>
      </c>
      <c r="E44" s="136"/>
      <c r="F44" s="151"/>
      <c r="G44" s="137"/>
      <c r="H44" s="138"/>
      <c r="I44" s="69"/>
      <c r="J44" s="233" t="s">
        <v>822</v>
      </c>
      <c r="K44" s="228" t="s">
        <v>136</v>
      </c>
      <c r="L44" s="358">
        <v>986</v>
      </c>
      <c r="M44" s="633" t="s">
        <v>567</v>
      </c>
      <c r="N44" s="633"/>
      <c r="O44" s="392"/>
      <c r="P44" s="7"/>
      <c r="Q44" s="7"/>
      <c r="R44" s="7"/>
      <c r="S44" s="6">
        <v>0</v>
      </c>
      <c r="T44" s="48"/>
      <c r="W44" s="213" t="s">
        <v>95</v>
      </c>
      <c r="X44" s="221"/>
      <c r="Y44" s="207"/>
      <c r="AD44" s="338"/>
      <c r="AE44" s="338"/>
      <c r="AF44" s="389"/>
      <c r="AG44" s="338">
        <f>SUM(AG37:AG43)</f>
        <v>3443047.96</v>
      </c>
    </row>
    <row r="45" spans="1:33" ht="16.149999999999999" customHeight="1" thickBot="1" x14ac:dyDescent="0.35">
      <c r="A45" s="34"/>
      <c r="B45" s="146">
        <v>44439</v>
      </c>
      <c r="C45" s="71">
        <v>24237.45</v>
      </c>
      <c r="D45" s="242" t="s">
        <v>341</v>
      </c>
      <c r="E45" s="136"/>
      <c r="F45" s="151"/>
      <c r="G45" s="137"/>
      <c r="H45" s="138"/>
      <c r="I45" s="69"/>
      <c r="J45" s="233" t="s">
        <v>822</v>
      </c>
      <c r="K45" s="362" t="s">
        <v>827</v>
      </c>
      <c r="L45" s="66">
        <v>55555.55</v>
      </c>
      <c r="M45" s="514">
        <v>330120</v>
      </c>
      <c r="N45" s="472">
        <v>44417</v>
      </c>
      <c r="P45" s="7"/>
      <c r="Q45" s="7"/>
      <c r="R45" s="7"/>
      <c r="S45" s="6">
        <v>0</v>
      </c>
      <c r="T45" s="48"/>
      <c r="W45" s="213" t="s">
        <v>96</v>
      </c>
      <c r="X45" s="221"/>
      <c r="Y45" s="207"/>
      <c r="AD45" s="338"/>
      <c r="AE45" s="338"/>
      <c r="AF45" s="389"/>
      <c r="AG45" s="338"/>
    </row>
    <row r="46" spans="1:33" ht="16.149999999999999" customHeight="1" thickBot="1" x14ac:dyDescent="0.35">
      <c r="A46" s="34"/>
      <c r="B46" s="146"/>
      <c r="C46" s="71"/>
      <c r="D46" s="242"/>
      <c r="E46" s="136"/>
      <c r="F46" s="151"/>
      <c r="G46" s="137"/>
      <c r="H46" s="138"/>
      <c r="I46" s="69"/>
      <c r="J46" s="233" t="s">
        <v>822</v>
      </c>
      <c r="K46" s="459" t="s">
        <v>828</v>
      </c>
      <c r="L46" s="458">
        <v>12148.56</v>
      </c>
      <c r="M46" s="515">
        <v>300000</v>
      </c>
      <c r="N46" s="472">
        <v>44419</v>
      </c>
      <c r="P46" s="7"/>
      <c r="Q46" s="7"/>
      <c r="R46" s="7"/>
      <c r="S46" s="6">
        <v>0</v>
      </c>
      <c r="T46" s="48"/>
      <c r="W46" s="213" t="s">
        <v>97</v>
      </c>
      <c r="X46" s="221"/>
      <c r="Y46" s="207"/>
      <c r="AD46" s="338"/>
      <c r="AE46" s="338"/>
      <c r="AF46" s="389"/>
      <c r="AG46" s="338"/>
    </row>
    <row r="47" spans="1:33" ht="16.149999999999999" customHeight="1" thickBot="1" x14ac:dyDescent="0.35">
      <c r="A47" s="34"/>
      <c r="B47" s="146"/>
      <c r="C47" s="71"/>
      <c r="D47" s="242"/>
      <c r="E47" s="136"/>
      <c r="F47" s="151"/>
      <c r="G47" s="137"/>
      <c r="H47" s="138"/>
      <c r="I47" s="69"/>
      <c r="J47" s="233" t="s">
        <v>822</v>
      </c>
      <c r="K47" s="144" t="s">
        <v>829</v>
      </c>
      <c r="L47" s="66">
        <v>2080</v>
      </c>
      <c r="M47" s="515">
        <v>324890</v>
      </c>
      <c r="N47" s="472">
        <v>44421</v>
      </c>
      <c r="P47" s="7"/>
      <c r="Q47" s="7"/>
      <c r="R47" s="7"/>
      <c r="T47" s="48"/>
      <c r="W47" s="213" t="s">
        <v>98</v>
      </c>
      <c r="X47" s="221"/>
      <c r="Y47" s="207"/>
      <c r="AD47" s="338"/>
      <c r="AE47" s="338"/>
      <c r="AF47" s="389"/>
      <c r="AG47" s="338"/>
    </row>
    <row r="48" spans="1:33" ht="21.75" customHeight="1" thickBot="1" x14ac:dyDescent="0.3">
      <c r="A48" s="34"/>
      <c r="B48" s="146"/>
      <c r="C48" s="71"/>
      <c r="D48" s="242"/>
      <c r="E48" s="150"/>
      <c r="F48" s="74"/>
      <c r="G48" s="137"/>
      <c r="H48" s="138"/>
      <c r="I48" s="69"/>
      <c r="J48" s="233" t="s">
        <v>822</v>
      </c>
      <c r="K48" s="144" t="s">
        <v>830</v>
      </c>
      <c r="L48" s="66">
        <v>67711</v>
      </c>
      <c r="M48" s="516">
        <v>159870</v>
      </c>
      <c r="N48" s="473">
        <v>44424</v>
      </c>
      <c r="P48" s="7"/>
      <c r="Q48" s="7"/>
      <c r="R48" s="7"/>
      <c r="T48" s="48"/>
      <c r="W48" s="213" t="s">
        <v>99</v>
      </c>
      <c r="X48" s="221"/>
      <c r="Y48" s="207"/>
      <c r="AD48" s="341"/>
      <c r="AE48" s="341"/>
      <c r="AF48" s="390"/>
      <c r="AG48" s="341"/>
    </row>
    <row r="49" spans="1:33" ht="15.75" customHeight="1" thickBot="1" x14ac:dyDescent="0.3">
      <c r="A49" s="34"/>
      <c r="B49" s="146"/>
      <c r="C49" s="71"/>
      <c r="D49" s="242"/>
      <c r="E49" s="150"/>
      <c r="F49" s="74"/>
      <c r="G49" s="137"/>
      <c r="H49" s="138"/>
      <c r="I49" s="69"/>
      <c r="J49" s="233" t="s">
        <v>822</v>
      </c>
      <c r="K49" s="144" t="s">
        <v>225</v>
      </c>
      <c r="L49" s="66">
        <v>10000</v>
      </c>
      <c r="M49" s="517">
        <v>384800</v>
      </c>
      <c r="N49" s="473">
        <v>44426</v>
      </c>
      <c r="P49" s="7"/>
      <c r="Q49" s="7"/>
      <c r="R49" s="7"/>
      <c r="S49" s="7"/>
      <c r="T49" s="48"/>
      <c r="W49" s="213" t="s">
        <v>100</v>
      </c>
      <c r="X49" s="221"/>
      <c r="Y49" s="207"/>
      <c r="AD49" s="341"/>
      <c r="AE49" s="341"/>
      <c r="AF49" s="390"/>
      <c r="AG49" s="341"/>
    </row>
    <row r="50" spans="1:33" ht="16.5" customHeight="1" thickBot="1" x14ac:dyDescent="0.3">
      <c r="A50" s="34"/>
      <c r="B50" s="146"/>
      <c r="C50" s="71"/>
      <c r="D50" s="242"/>
      <c r="E50" s="149"/>
      <c r="F50" s="74"/>
      <c r="G50" s="137"/>
      <c r="H50" s="138"/>
      <c r="I50" s="69"/>
      <c r="J50" s="233" t="s">
        <v>822</v>
      </c>
      <c r="K50" s="144" t="s">
        <v>831</v>
      </c>
      <c r="L50" s="66">
        <v>8928.69</v>
      </c>
      <c r="M50" s="517">
        <v>177370</v>
      </c>
      <c r="N50" s="472">
        <v>44427</v>
      </c>
      <c r="P50" s="7"/>
      <c r="Q50" s="7"/>
      <c r="R50" s="7"/>
      <c r="S50" s="7"/>
      <c r="T50" s="48"/>
      <c r="W50" s="213" t="s">
        <v>101</v>
      </c>
      <c r="X50" s="221"/>
      <c r="Y50" s="207"/>
      <c r="AD50" s="99"/>
      <c r="AE50" s="99"/>
      <c r="AF50" s="99"/>
      <c r="AG50" s="99"/>
    </row>
    <row r="51" spans="1:33" ht="16.5" customHeight="1" thickBot="1" x14ac:dyDescent="0.3">
      <c r="A51" s="34"/>
      <c r="B51" s="146"/>
      <c r="C51" s="71"/>
      <c r="D51" s="242"/>
      <c r="E51" s="149"/>
      <c r="F51" s="74"/>
      <c r="G51" s="137"/>
      <c r="H51" s="138"/>
      <c r="I51" s="69"/>
      <c r="J51" s="233" t="s">
        <v>822</v>
      </c>
      <c r="K51" s="144" t="s">
        <v>832</v>
      </c>
      <c r="L51" s="66">
        <f>2990+478.4</f>
        <v>3468.4</v>
      </c>
      <c r="M51" s="518">
        <v>375140</v>
      </c>
      <c r="N51" s="472">
        <v>44431</v>
      </c>
      <c r="P51" s="7"/>
      <c r="Q51" s="7"/>
      <c r="R51" s="7"/>
      <c r="S51" s="7"/>
      <c r="T51" s="48"/>
      <c r="W51" s="213" t="s">
        <v>102</v>
      </c>
      <c r="X51" s="221"/>
      <c r="Y51" s="207"/>
      <c r="AB51" s="323"/>
      <c r="AC51" s="99"/>
      <c r="AD51" s="99"/>
      <c r="AE51" s="99"/>
      <c r="AF51" s="99"/>
      <c r="AG51" s="99"/>
    </row>
    <row r="52" spans="1:33" ht="16.5" customHeight="1" thickBot="1" x14ac:dyDescent="0.3">
      <c r="A52" s="34"/>
      <c r="B52" s="146"/>
      <c r="C52" s="71"/>
      <c r="D52" s="242"/>
      <c r="E52" s="136"/>
      <c r="F52" s="71"/>
      <c r="G52" s="137"/>
      <c r="H52" s="138"/>
      <c r="I52" s="69"/>
      <c r="J52" s="233" t="s">
        <v>822</v>
      </c>
      <c r="K52" s="362"/>
      <c r="L52" s="66">
        <v>3016</v>
      </c>
      <c r="M52" s="517">
        <v>100000</v>
      </c>
      <c r="N52" s="472">
        <v>44433</v>
      </c>
      <c r="P52" s="7"/>
      <c r="Q52" s="7"/>
      <c r="R52" s="7"/>
      <c r="S52" s="7"/>
      <c r="T52" s="48"/>
      <c r="W52" s="213" t="s">
        <v>103</v>
      </c>
      <c r="X52" s="221"/>
      <c r="Y52" s="207"/>
      <c r="AB52" s="29"/>
      <c r="AC52" s="99"/>
      <c r="AD52" s="99"/>
      <c r="AE52" s="99"/>
      <c r="AF52" s="99"/>
      <c r="AG52" s="99"/>
    </row>
    <row r="53" spans="1:33" ht="15.75" customHeight="1" thickBot="1" x14ac:dyDescent="0.35">
      <c r="A53" s="34"/>
      <c r="B53" s="146"/>
      <c r="C53" s="71"/>
      <c r="D53" s="153"/>
      <c r="E53" s="136"/>
      <c r="F53" s="71"/>
      <c r="G53" s="137"/>
      <c r="H53" s="138"/>
      <c r="I53" s="69" t="s">
        <v>11</v>
      </c>
      <c r="J53" s="233" t="s">
        <v>822</v>
      </c>
      <c r="K53" s="523"/>
      <c r="L53" s="66">
        <v>3480</v>
      </c>
      <c r="M53" s="517">
        <v>77570</v>
      </c>
      <c r="N53" s="472">
        <v>44433</v>
      </c>
      <c r="P53" s="7"/>
      <c r="Q53" s="7"/>
      <c r="R53" s="7"/>
      <c r="S53" s="7"/>
      <c r="T53" s="48"/>
      <c r="W53" s="213" t="s">
        <v>104</v>
      </c>
      <c r="X53" s="221"/>
      <c r="Y53" s="207"/>
      <c r="AB53" s="29"/>
      <c r="AC53" s="99"/>
      <c r="AD53" s="99"/>
      <c r="AE53" s="99"/>
      <c r="AF53" s="99"/>
      <c r="AG53" s="99"/>
    </row>
    <row r="54" spans="1:33" ht="15.75" customHeight="1" thickBot="1" x14ac:dyDescent="0.35">
      <c r="A54" s="34"/>
      <c r="B54" s="146"/>
      <c r="C54" s="71"/>
      <c r="D54" s="153"/>
      <c r="E54" s="136"/>
      <c r="F54" s="71"/>
      <c r="G54" s="137"/>
      <c r="H54" s="138"/>
      <c r="I54" s="69"/>
      <c r="J54" s="233" t="s">
        <v>822</v>
      </c>
      <c r="K54" s="524"/>
      <c r="L54" s="66">
        <v>31064</v>
      </c>
      <c r="M54" s="517">
        <v>95470</v>
      </c>
      <c r="N54" s="472">
        <v>44435</v>
      </c>
      <c r="P54" s="7"/>
      <c r="Q54" s="7"/>
      <c r="R54" s="7"/>
      <c r="S54" s="7"/>
      <c r="T54" s="48"/>
      <c r="W54" s="213" t="s">
        <v>105</v>
      </c>
      <c r="X54" s="221"/>
      <c r="Y54" s="207"/>
      <c r="AB54" s="29"/>
      <c r="AC54" s="99"/>
      <c r="AD54" s="99"/>
      <c r="AE54" s="99"/>
      <c r="AF54" s="99"/>
      <c r="AG54" s="99"/>
    </row>
    <row r="55" spans="1:33" ht="15.75" customHeight="1" thickBot="1" x14ac:dyDescent="0.35">
      <c r="A55" s="34"/>
      <c r="B55" s="146"/>
      <c r="C55" s="71"/>
      <c r="D55" s="153"/>
      <c r="E55" s="136"/>
      <c r="F55" s="71"/>
      <c r="G55" s="137"/>
      <c r="H55" s="138"/>
      <c r="I55" s="69"/>
      <c r="J55" s="233" t="s">
        <v>822</v>
      </c>
      <c r="K55" s="362"/>
      <c r="L55" s="66">
        <v>5046</v>
      </c>
      <c r="M55" s="519">
        <v>162900</v>
      </c>
      <c r="N55" s="474">
        <v>44435</v>
      </c>
      <c r="O55" s="392"/>
      <c r="P55" s="7"/>
      <c r="Q55" s="7"/>
      <c r="R55" s="7"/>
      <c r="S55" s="7"/>
      <c r="T55" s="48"/>
      <c r="W55" s="212"/>
      <c r="X55" s="222"/>
      <c r="Y55" s="207"/>
      <c r="AB55" s="29"/>
      <c r="AC55" s="99"/>
      <c r="AD55" s="99"/>
      <c r="AE55" s="99"/>
      <c r="AF55" s="99"/>
      <c r="AG55" s="99"/>
    </row>
    <row r="56" spans="1:33" ht="15.75" customHeight="1" thickBot="1" x14ac:dyDescent="0.35">
      <c r="A56" s="34"/>
      <c r="B56" s="146"/>
      <c r="C56" s="71"/>
      <c r="D56" s="153"/>
      <c r="E56" s="154"/>
      <c r="F56" s="79"/>
      <c r="G56" s="137"/>
      <c r="H56" s="145"/>
      <c r="I56" s="80"/>
      <c r="J56" s="233" t="s">
        <v>822</v>
      </c>
      <c r="K56" s="359" t="s">
        <v>830</v>
      </c>
      <c r="L56" s="458">
        <v>11205.93</v>
      </c>
      <c r="M56" s="520">
        <v>316990</v>
      </c>
      <c r="N56" s="472">
        <v>44439</v>
      </c>
      <c r="O56" s="392"/>
      <c r="P56" s="7"/>
      <c r="Q56" s="7"/>
      <c r="R56" s="7"/>
      <c r="S56" s="7"/>
      <c r="T56" s="48"/>
      <c r="W56" s="212"/>
      <c r="X56" s="222"/>
      <c r="Y56" s="207"/>
      <c r="AB56" s="29"/>
      <c r="AC56" s="99"/>
      <c r="AD56" s="99"/>
      <c r="AE56" s="99"/>
      <c r="AF56" s="99"/>
      <c r="AG56" s="99"/>
    </row>
    <row r="57" spans="1:33" ht="15.75" customHeight="1" thickBot="1" x14ac:dyDescent="0.3">
      <c r="A57" s="34"/>
      <c r="B57" s="146"/>
      <c r="C57" s="71"/>
      <c r="D57" s="155"/>
      <c r="E57" s="154"/>
      <c r="F57" s="79"/>
      <c r="G57" s="137"/>
      <c r="H57" s="145"/>
      <c r="I57" s="80"/>
      <c r="J57" s="325" t="s">
        <v>822</v>
      </c>
      <c r="K57" s="359" t="s">
        <v>833</v>
      </c>
      <c r="L57" s="458">
        <v>1229</v>
      </c>
      <c r="M57" s="476">
        <v>0</v>
      </c>
      <c r="N57" s="475"/>
      <c r="O57" s="392"/>
      <c r="P57" s="7"/>
      <c r="Q57" s="7"/>
      <c r="R57" s="7"/>
      <c r="S57" s="7"/>
      <c r="T57" s="48"/>
      <c r="W57" s="212"/>
      <c r="X57" s="222"/>
      <c r="Y57" s="207"/>
      <c r="AB57" s="29"/>
      <c r="AC57" s="99"/>
      <c r="AD57" s="99"/>
      <c r="AE57" s="99"/>
      <c r="AF57" s="99"/>
      <c r="AG57" s="99"/>
    </row>
    <row r="58" spans="1:33" ht="15.75" customHeight="1" thickBot="1" x14ac:dyDescent="0.3">
      <c r="A58" s="34"/>
      <c r="B58" s="146"/>
      <c r="C58" s="71"/>
      <c r="D58" s="155"/>
      <c r="E58" s="154"/>
      <c r="F58" s="79"/>
      <c r="G58" s="137"/>
      <c r="H58" s="145"/>
      <c r="I58" s="80"/>
      <c r="J58" s="325" t="s">
        <v>822</v>
      </c>
      <c r="K58" s="462" t="s">
        <v>834</v>
      </c>
      <c r="L58" s="458">
        <f>968.75+155</f>
        <v>1123.75</v>
      </c>
      <c r="M58" s="535">
        <f>SUM(M45:M57)</f>
        <v>2805120</v>
      </c>
      <c r="N58" s="475"/>
      <c r="O58" s="392"/>
      <c r="P58" s="7"/>
      <c r="Q58" s="7"/>
      <c r="R58" s="7"/>
      <c r="S58" s="7"/>
      <c r="T58" s="48"/>
      <c r="W58" s="212"/>
      <c r="X58" s="222"/>
      <c r="Y58" s="207"/>
      <c r="AB58" s="29"/>
      <c r="AC58" s="99"/>
      <c r="AD58" s="99"/>
      <c r="AE58" s="99"/>
      <c r="AF58" s="99"/>
      <c r="AG58" s="99"/>
    </row>
    <row r="59" spans="1:33" ht="15.75" customHeight="1" thickBot="1" x14ac:dyDescent="0.3">
      <c r="A59" s="34"/>
      <c r="B59" s="146"/>
      <c r="C59" s="71"/>
      <c r="D59" s="155"/>
      <c r="E59" s="154"/>
      <c r="F59" s="79"/>
      <c r="G59" s="137"/>
      <c r="H59" s="145"/>
      <c r="I59" s="80"/>
      <c r="J59" s="325" t="s">
        <v>822</v>
      </c>
      <c r="K59" s="459"/>
      <c r="L59" s="458">
        <v>1480.06</v>
      </c>
      <c r="M59" s="536"/>
      <c r="N59" s="42"/>
      <c r="O59" s="392"/>
      <c r="P59" s="7"/>
      <c r="Q59" s="7"/>
      <c r="R59" s="7"/>
      <c r="S59" s="7"/>
      <c r="T59" s="48"/>
      <c r="W59" s="212"/>
      <c r="X59" s="222"/>
      <c r="Y59" s="207"/>
      <c r="AB59" s="29"/>
      <c r="AC59" s="99"/>
      <c r="AD59" s="99"/>
      <c r="AE59" s="99"/>
      <c r="AF59" s="99"/>
      <c r="AG59" s="99"/>
    </row>
    <row r="60" spans="1:33" ht="24" customHeight="1" thickBot="1" x14ac:dyDescent="0.35">
      <c r="A60" s="34"/>
      <c r="B60" s="283"/>
      <c r="C60" s="71"/>
      <c r="D60" s="155"/>
      <c r="E60" s="154"/>
      <c r="F60" s="79"/>
      <c r="G60" s="137"/>
      <c r="H60" s="145"/>
      <c r="I60" s="80"/>
      <c r="J60" s="325" t="s">
        <v>822</v>
      </c>
      <c r="K60" s="525"/>
      <c r="L60" s="458">
        <v>2479.5</v>
      </c>
      <c r="M60" s="623" t="s">
        <v>719</v>
      </c>
      <c r="N60" s="624"/>
      <c r="O60" s="392"/>
      <c r="P60" s="7"/>
      <c r="Q60" s="7"/>
      <c r="R60" s="7"/>
      <c r="S60" s="7"/>
      <c r="T60" s="48"/>
      <c r="W60" s="212"/>
      <c r="X60" s="222"/>
      <c r="Y60" s="207"/>
      <c r="AB60" s="29"/>
      <c r="AC60" s="99"/>
      <c r="AD60" s="99"/>
      <c r="AE60" s="99"/>
      <c r="AF60" s="99"/>
      <c r="AG60" s="99"/>
    </row>
    <row r="61" spans="1:33" ht="15.75" customHeight="1" thickBot="1" x14ac:dyDescent="0.3">
      <c r="A61" s="34"/>
      <c r="B61" s="283"/>
      <c r="C61" s="71"/>
      <c r="D61" s="155"/>
      <c r="E61" s="154"/>
      <c r="F61" s="79"/>
      <c r="G61" s="137"/>
      <c r="H61" s="145"/>
      <c r="I61" s="80"/>
      <c r="J61" s="325" t="s">
        <v>822</v>
      </c>
      <c r="K61" s="468" t="s">
        <v>583</v>
      </c>
      <c r="L61" s="6">
        <v>7623.83</v>
      </c>
      <c r="M61" s="41"/>
      <c r="N61" s="42"/>
      <c r="O61" s="392"/>
      <c r="P61" s="7"/>
      <c r="Q61" s="7"/>
      <c r="R61" s="7"/>
      <c r="S61" s="7"/>
      <c r="T61" s="48"/>
      <c r="W61" s="212"/>
      <c r="X61" s="222"/>
      <c r="Y61" s="207"/>
      <c r="AB61" s="29"/>
      <c r="AC61" s="99"/>
      <c r="AD61" s="99"/>
      <c r="AE61" s="99"/>
      <c r="AF61" s="99"/>
      <c r="AG61" s="99"/>
    </row>
    <row r="62" spans="1:33" ht="15.75" customHeight="1" thickBot="1" x14ac:dyDescent="0.3">
      <c r="A62" s="34"/>
      <c r="B62" s="283"/>
      <c r="C62" s="71"/>
      <c r="D62" s="155"/>
      <c r="E62" s="154"/>
      <c r="F62" s="79"/>
      <c r="G62" s="137"/>
      <c r="H62" s="145"/>
      <c r="I62" s="80"/>
      <c r="J62" s="325"/>
      <c r="K62" s="359"/>
      <c r="L62" s="458"/>
      <c r="M62" s="642">
        <f>M39-M58</f>
        <v>37331</v>
      </c>
      <c r="N62" s="643"/>
      <c r="O62" s="392"/>
      <c r="P62" s="7"/>
      <c r="Q62" s="7"/>
      <c r="R62" s="7"/>
      <c r="S62" s="7"/>
      <c r="T62" s="48"/>
      <c r="W62" s="212"/>
      <c r="X62" s="222"/>
      <c r="Y62" s="207"/>
      <c r="AB62" s="29"/>
      <c r="AC62" s="99"/>
      <c r="AD62" s="99"/>
      <c r="AE62" s="99"/>
      <c r="AF62" s="99"/>
      <c r="AG62" s="99"/>
    </row>
    <row r="63" spans="1:33" ht="15.75" customHeight="1" thickBot="1" x14ac:dyDescent="0.3">
      <c r="A63" s="34"/>
      <c r="B63" s="283"/>
      <c r="C63" s="71"/>
      <c r="D63" s="155"/>
      <c r="E63" s="154"/>
      <c r="F63" s="79"/>
      <c r="G63" s="137"/>
      <c r="H63" s="145"/>
      <c r="I63" s="80"/>
      <c r="J63" s="325"/>
      <c r="K63" s="359"/>
      <c r="L63" s="50" t="s">
        <v>820</v>
      </c>
      <c r="M63" s="644"/>
      <c r="N63" s="645"/>
      <c r="O63" s="392"/>
      <c r="P63" s="7"/>
      <c r="Q63" s="7"/>
      <c r="R63" s="7"/>
      <c r="S63" s="7"/>
      <c r="T63" s="48"/>
      <c r="W63" s="212"/>
      <c r="X63" s="222"/>
      <c r="Y63" s="207"/>
      <c r="AB63" s="29"/>
      <c r="AC63" s="99"/>
      <c r="AD63" s="99"/>
      <c r="AE63" s="99"/>
      <c r="AF63" s="99"/>
      <c r="AG63" s="99"/>
    </row>
    <row r="64" spans="1:33" ht="22.5" customHeight="1" thickBot="1" x14ac:dyDescent="0.35">
      <c r="A64" s="34"/>
      <c r="B64" s="283"/>
      <c r="C64" s="71"/>
      <c r="D64" s="155"/>
      <c r="E64" s="154"/>
      <c r="F64" s="79"/>
      <c r="G64" s="137"/>
      <c r="H64" s="145"/>
      <c r="I64" s="80"/>
      <c r="J64" s="325"/>
      <c r="K64" s="359"/>
      <c r="L64" s="521" t="s">
        <v>818</v>
      </c>
      <c r="M64" s="648">
        <v>-382722.22</v>
      </c>
      <c r="N64" s="649"/>
      <c r="O64" s="392"/>
      <c r="P64" s="7"/>
      <c r="Q64" s="7"/>
      <c r="R64" s="7"/>
      <c r="S64" s="7"/>
      <c r="T64" s="48"/>
      <c r="W64" s="212"/>
      <c r="X64" s="222"/>
      <c r="Y64" s="207"/>
      <c r="AB64" s="29"/>
      <c r="AC64" s="99"/>
      <c r="AD64" s="99"/>
      <c r="AE64" s="99"/>
      <c r="AF64" s="99"/>
      <c r="AG64" s="99"/>
    </row>
    <row r="65" spans="1:33" ht="27" customHeight="1" thickBot="1" x14ac:dyDescent="0.35">
      <c r="A65" s="34"/>
      <c r="B65" s="35"/>
      <c r="C65" s="71"/>
      <c r="D65" s="82"/>
      <c r="E65" s="78"/>
      <c r="F65" s="79"/>
      <c r="H65" s="73"/>
      <c r="I65" s="80"/>
      <c r="J65" s="325"/>
      <c r="K65" s="467"/>
      <c r="L65" s="521" t="s">
        <v>819</v>
      </c>
      <c r="M65" s="650">
        <v>-163726</v>
      </c>
      <c r="N65" s="651"/>
      <c r="O65" s="392"/>
      <c r="P65" s="7"/>
      <c r="Q65" s="7"/>
      <c r="R65" s="7"/>
      <c r="S65" s="7"/>
      <c r="T65" s="48"/>
      <c r="W65" s="212"/>
      <c r="X65" s="222"/>
      <c r="Y65" s="207"/>
      <c r="AB65" s="29"/>
      <c r="AC65" s="99"/>
      <c r="AD65" s="99"/>
      <c r="AE65" s="99"/>
      <c r="AF65" s="99"/>
      <c r="AG65" s="99"/>
    </row>
    <row r="66" spans="1:33" ht="17.25" thickTop="1" thickBot="1" x14ac:dyDescent="0.3">
      <c r="A66" s="34"/>
      <c r="B66" s="35"/>
      <c r="C66" s="36">
        <v>0</v>
      </c>
      <c r="D66" s="82"/>
      <c r="E66" s="78"/>
      <c r="F66" s="79"/>
      <c r="H66" s="73"/>
      <c r="I66" s="80"/>
      <c r="J66" s="325"/>
      <c r="K66" s="468"/>
      <c r="L66" s="6"/>
      <c r="M66" s="652">
        <f>SUM(M65+M64+M62)</f>
        <v>-509117.22</v>
      </c>
      <c r="N66" s="653"/>
      <c r="O66" s="646" t="s">
        <v>821</v>
      </c>
      <c r="P66" s="7"/>
      <c r="Q66" s="7"/>
      <c r="R66" s="84">
        <v>0</v>
      </c>
      <c r="S66" s="84">
        <v>0</v>
      </c>
      <c r="T66" s="48"/>
      <c r="W66" s="210"/>
      <c r="X66" s="222"/>
      <c r="Y66" s="207"/>
      <c r="AB66" s="29"/>
      <c r="AC66" s="99"/>
      <c r="AD66" s="99"/>
      <c r="AE66" s="99"/>
      <c r="AF66" s="99"/>
      <c r="AG66" s="99"/>
    </row>
    <row r="67" spans="1:33" ht="16.5" thickBot="1" x14ac:dyDescent="0.3">
      <c r="B67" s="85" t="s">
        <v>13</v>
      </c>
      <c r="C67" s="86">
        <f>SUM(C5:C66)</f>
        <v>462061.34000000008</v>
      </c>
      <c r="D67" s="87"/>
      <c r="E67" s="88" t="s">
        <v>13</v>
      </c>
      <c r="F67" s="89">
        <f>SUM(F5:F66)</f>
        <v>3520129</v>
      </c>
      <c r="G67" s="87"/>
      <c r="H67" s="90" t="s">
        <v>14</v>
      </c>
      <c r="I67" s="91">
        <f>SUM(I5:I66)</f>
        <v>36146</v>
      </c>
      <c r="J67" s="92"/>
      <c r="K67" s="93" t="s">
        <v>15</v>
      </c>
      <c r="L67" s="522">
        <f>SUM(L5:L66)</f>
        <v>482695.31000000006</v>
      </c>
      <c r="M67" s="654"/>
      <c r="N67" s="655"/>
      <c r="O67" s="647"/>
      <c r="P67" s="366"/>
      <c r="Q67" s="366"/>
      <c r="R67" s="7">
        <f>SUM(R5:R66)</f>
        <v>7316251.5199999996</v>
      </c>
      <c r="S67" s="7">
        <f>SUM(S5:S66)</f>
        <v>62688.140000000014</v>
      </c>
      <c r="T67" s="97"/>
      <c r="W67" s="210"/>
      <c r="X67" s="222"/>
      <c r="Y67" s="207"/>
    </row>
    <row r="68" spans="1:33" ht="20.25" thickTop="1" thickBot="1" x14ac:dyDescent="0.3">
      <c r="C68" s="8" t="s">
        <v>11</v>
      </c>
      <c r="R68" s="7"/>
      <c r="S68" s="7"/>
      <c r="T68" s="98"/>
      <c r="U68" s="99"/>
      <c r="W68" s="211"/>
      <c r="X68" s="223"/>
      <c r="Y68" s="208"/>
    </row>
    <row r="69" spans="1:33" ht="17.25" customHeight="1" thickBot="1" x14ac:dyDescent="0.3">
      <c r="A69" s="60"/>
      <c r="B69" s="100"/>
      <c r="C69" s="4"/>
      <c r="H69" s="548" t="s">
        <v>16</v>
      </c>
      <c r="I69" s="549"/>
      <c r="J69" s="101"/>
      <c r="K69" s="550">
        <f>I67+L67</f>
        <v>518841.31000000006</v>
      </c>
      <c r="L69" s="551"/>
      <c r="M69" s="470"/>
      <c r="N69" s="471"/>
      <c r="O69" s="489"/>
      <c r="P69" s="367"/>
      <c r="Q69" s="367"/>
      <c r="R69" s="99"/>
      <c r="S69" s="99"/>
      <c r="U69" s="174"/>
      <c r="AB69" s="320"/>
      <c r="AC69" s="327"/>
      <c r="AD69" s="327"/>
      <c r="AE69" s="327"/>
      <c r="AF69" s="327"/>
      <c r="AG69" s="327"/>
    </row>
    <row r="70" spans="1:33" ht="19.5" customHeight="1" thickBot="1" x14ac:dyDescent="0.3">
      <c r="D70" s="560" t="s">
        <v>17</v>
      </c>
      <c r="E70" s="560"/>
      <c r="F70" s="103">
        <f>F67-K69-C67</f>
        <v>2539226.3499999996</v>
      </c>
      <c r="I70" s="104"/>
      <c r="J70" s="105"/>
      <c r="R70" s="561">
        <f>R67+S67</f>
        <v>7378939.6599999992</v>
      </c>
      <c r="S70" s="562"/>
      <c r="U70" s="50"/>
    </row>
    <row r="71" spans="1:33" ht="15.75" customHeight="1" x14ac:dyDescent="0.3">
      <c r="D71" s="563" t="s">
        <v>502</v>
      </c>
      <c r="E71" s="563"/>
      <c r="F71" s="95">
        <v>-2380713.08</v>
      </c>
      <c r="I71" s="564" t="s">
        <v>19</v>
      </c>
      <c r="J71" s="565"/>
      <c r="K71" s="566">
        <f>F73+F74+F75</f>
        <v>536310.85999999964</v>
      </c>
      <c r="L71" s="567"/>
      <c r="R71" s="50"/>
      <c r="U71" s="107"/>
    </row>
    <row r="72" spans="1:33" ht="19.5" thickBot="1" x14ac:dyDescent="0.35">
      <c r="D72" s="108"/>
      <c r="E72" s="60"/>
      <c r="F72" s="109">
        <v>0</v>
      </c>
      <c r="I72" s="110"/>
      <c r="J72" s="111"/>
      <c r="K72" s="112"/>
      <c r="L72" s="113"/>
      <c r="R72" s="107"/>
      <c r="S72" s="7"/>
      <c r="U72" s="50"/>
    </row>
    <row r="73" spans="1:33" ht="18.75" customHeight="1" thickTop="1" x14ac:dyDescent="0.3">
      <c r="C73" s="9" t="s">
        <v>11</v>
      </c>
      <c r="E73" s="60" t="s">
        <v>20</v>
      </c>
      <c r="F73" s="95">
        <f>SUM(F70:F72)</f>
        <v>158513.26999999955</v>
      </c>
      <c r="H73" s="34"/>
      <c r="I73" s="114" t="s">
        <v>21</v>
      </c>
      <c r="J73" s="115"/>
      <c r="K73" s="568">
        <f>-C4</f>
        <v>-250140.85</v>
      </c>
      <c r="L73" s="612"/>
      <c r="R73" s="50"/>
      <c r="S73" s="7"/>
      <c r="U73" s="50"/>
    </row>
    <row r="74" spans="1:33" ht="16.5" thickBot="1" x14ac:dyDescent="0.3">
      <c r="D74" s="117" t="s">
        <v>22</v>
      </c>
      <c r="E74" s="60" t="s">
        <v>23</v>
      </c>
      <c r="F74" s="118">
        <v>12186</v>
      </c>
      <c r="R74" s="50"/>
      <c r="S74" s="7"/>
      <c r="U74" s="50"/>
    </row>
    <row r="75" spans="1:33" ht="20.25" thickTop="1" thickBot="1" x14ac:dyDescent="0.35">
      <c r="C75" s="119">
        <v>44439</v>
      </c>
      <c r="D75" s="554" t="s">
        <v>24</v>
      </c>
      <c r="E75" s="555"/>
      <c r="F75" s="120">
        <v>365611.59</v>
      </c>
      <c r="I75" s="556" t="s">
        <v>25</v>
      </c>
      <c r="J75" s="557"/>
      <c r="K75" s="558">
        <f>K71+K73</f>
        <v>286170.00999999966</v>
      </c>
      <c r="L75" s="558"/>
      <c r="R75" s="50"/>
      <c r="S75" s="7"/>
      <c r="U75" s="121"/>
    </row>
    <row r="76" spans="1:33" ht="18" thickBot="1" x14ac:dyDescent="0.35">
      <c r="C76" s="122"/>
      <c r="D76" s="123"/>
      <c r="E76" s="57"/>
      <c r="F76" s="124"/>
      <c r="J76" s="125"/>
      <c r="R76" s="121"/>
      <c r="S76" s="7"/>
    </row>
    <row r="77" spans="1:33" ht="15.75" customHeight="1" x14ac:dyDescent="0.25">
      <c r="I77" s="638" t="s">
        <v>610</v>
      </c>
      <c r="J77" s="639"/>
      <c r="K77" s="642">
        <v>37331</v>
      </c>
      <c r="L77" s="643"/>
      <c r="R77" s="7"/>
      <c r="S77" s="7"/>
    </row>
    <row r="78" spans="1:33" ht="16.5" customHeight="1" thickBot="1" x14ac:dyDescent="0.3">
      <c r="B78" s="127"/>
      <c r="C78" s="128"/>
      <c r="D78" s="129"/>
      <c r="E78" s="7"/>
      <c r="I78" s="640"/>
      <c r="J78" s="641"/>
      <c r="K78" s="644"/>
      <c r="L78" s="645"/>
      <c r="M78" s="2"/>
      <c r="N78" s="60"/>
      <c r="O78" s="490"/>
      <c r="P78" s="165"/>
      <c r="Q78" s="165"/>
      <c r="R78" s="7"/>
      <c r="S78" s="7"/>
      <c r="T78" s="165"/>
      <c r="U78" s="173"/>
    </row>
    <row r="79" spans="1:33" x14ac:dyDescent="0.25">
      <c r="B79" s="127"/>
      <c r="C79" s="130"/>
      <c r="E79" s="7"/>
      <c r="M79" s="2"/>
      <c r="N79" s="60"/>
      <c r="O79" s="490"/>
      <c r="P79" s="165"/>
      <c r="Q79" s="165"/>
      <c r="R79" s="173"/>
      <c r="S79" s="165"/>
      <c r="T79" s="165"/>
      <c r="U79" s="165"/>
      <c r="AB79" s="248"/>
      <c r="AC79" s="322"/>
      <c r="AD79" s="322"/>
      <c r="AE79" s="322"/>
      <c r="AF79" s="322"/>
      <c r="AG79" s="322"/>
    </row>
    <row r="80" spans="1:33" x14ac:dyDescent="0.25">
      <c r="B80" s="127"/>
      <c r="C80" s="130"/>
      <c r="E80" s="7"/>
      <c r="F80" s="132"/>
      <c r="L80" s="133"/>
      <c r="M80" s="4"/>
      <c r="R80" s="165"/>
      <c r="S80" s="165"/>
      <c r="AB80" s="248"/>
      <c r="AC80" s="322"/>
      <c r="AD80" s="322"/>
      <c r="AE80" s="322"/>
      <c r="AF80" s="322"/>
      <c r="AG80" s="322"/>
    </row>
    <row r="81" spans="2:33" ht="21" x14ac:dyDescent="0.25">
      <c r="B81" s="127"/>
      <c r="C81" s="130"/>
      <c r="E81" s="7"/>
      <c r="M81" s="4"/>
      <c r="AC81" s="585"/>
      <c r="AD81" s="486"/>
      <c r="AE81" s="486"/>
      <c r="AF81" s="486"/>
      <c r="AG81" s="486"/>
    </row>
    <row r="82" spans="2:33" ht="21" x14ac:dyDescent="0.25">
      <c r="B82" s="127"/>
      <c r="C82" s="130"/>
      <c r="D82" s="272"/>
      <c r="E82" s="7"/>
      <c r="F82" s="273"/>
      <c r="M82" s="4"/>
      <c r="AC82" s="585"/>
      <c r="AD82" s="486"/>
      <c r="AE82" s="486"/>
      <c r="AF82" s="486"/>
      <c r="AG82" s="486"/>
    </row>
    <row r="83" spans="2:33" x14ac:dyDescent="0.25">
      <c r="D83" s="272"/>
      <c r="E83" s="274"/>
      <c r="F83" s="7"/>
      <c r="M83" s="4"/>
    </row>
    <row r="84" spans="2:33" x14ac:dyDescent="0.25">
      <c r="D84" s="272"/>
      <c r="E84" s="274"/>
      <c r="F84" s="7"/>
      <c r="M84" s="4"/>
    </row>
    <row r="85" spans="2:33" x14ac:dyDescent="0.25">
      <c r="D85" s="272"/>
      <c r="E85" s="274"/>
      <c r="F85" s="7"/>
      <c r="M85" s="4"/>
    </row>
    <row r="86" spans="2:33" x14ac:dyDescent="0.25">
      <c r="D86" s="272"/>
      <c r="E86" s="274"/>
      <c r="F86" s="7"/>
      <c r="M86" s="4"/>
    </row>
    <row r="87" spans="2:33" x14ac:dyDescent="0.25">
      <c r="D87" s="272"/>
      <c r="E87" s="274"/>
      <c r="F87" s="7"/>
      <c r="M87" s="4"/>
    </row>
    <row r="88" spans="2:33" x14ac:dyDescent="0.25">
      <c r="D88" s="272"/>
      <c r="E88" s="274"/>
      <c r="F88" s="7"/>
      <c r="M88" s="4"/>
    </row>
    <row r="89" spans="2:33" x14ac:dyDescent="0.25">
      <c r="D89" s="272"/>
      <c r="E89" s="274"/>
      <c r="F89" s="7"/>
      <c r="M89" s="4"/>
    </row>
    <row r="90" spans="2:33" x14ac:dyDescent="0.25">
      <c r="D90" s="272"/>
      <c r="E90" s="274"/>
      <c r="F90" s="7"/>
      <c r="M90" s="4"/>
    </row>
    <row r="91" spans="2:33" x14ac:dyDescent="0.25">
      <c r="D91" s="272"/>
      <c r="E91" s="274"/>
      <c r="F91" s="7"/>
      <c r="M91" s="4"/>
    </row>
    <row r="92" spans="2:33" x14ac:dyDescent="0.25">
      <c r="D92" s="272"/>
      <c r="E92" s="274"/>
      <c r="F92" s="7"/>
      <c r="M92" s="4"/>
    </row>
    <row r="93" spans="2:33" x14ac:dyDescent="0.25">
      <c r="D93" s="272"/>
      <c r="E93" s="274"/>
      <c r="F93" s="7"/>
      <c r="M93" s="4"/>
    </row>
    <row r="94" spans="2:33" x14ac:dyDescent="0.25">
      <c r="D94" s="272"/>
      <c r="E94" s="274"/>
      <c r="F94" s="7"/>
    </row>
    <row r="95" spans="2:33" x14ac:dyDescent="0.25">
      <c r="D95" s="272"/>
      <c r="E95" s="272"/>
      <c r="F95" s="273"/>
    </row>
    <row r="96" spans="2:33" x14ac:dyDescent="0.25">
      <c r="D96" s="272"/>
      <c r="E96" s="272"/>
      <c r="F96" s="273"/>
    </row>
    <row r="97" spans="4:6" x14ac:dyDescent="0.25">
      <c r="D97" s="272"/>
      <c r="E97" s="272"/>
      <c r="F97" s="273"/>
    </row>
  </sheetData>
  <sortState ref="M45:N55">
    <sortCondition ref="N45:N55"/>
  </sortState>
  <mergeCells count="39">
    <mergeCell ref="AE23:AF23"/>
    <mergeCell ref="AE25:AF26"/>
    <mergeCell ref="AG25:AG26"/>
    <mergeCell ref="B1:B2"/>
    <mergeCell ref="C1:K1"/>
    <mergeCell ref="AB2:AG3"/>
    <mergeCell ref="B3:C3"/>
    <mergeCell ref="H3:I3"/>
    <mergeCell ref="P3:P4"/>
    <mergeCell ref="Q3:Q4"/>
    <mergeCell ref="S3:S4"/>
    <mergeCell ref="E4:F4"/>
    <mergeCell ref="H4:I4"/>
    <mergeCell ref="AB4:AC4"/>
    <mergeCell ref="AE4:AG4"/>
    <mergeCell ref="AC29:AC30"/>
    <mergeCell ref="N39:N40"/>
    <mergeCell ref="D70:E70"/>
    <mergeCell ref="R70:S70"/>
    <mergeCell ref="O66:O67"/>
    <mergeCell ref="M62:N63"/>
    <mergeCell ref="M60:N60"/>
    <mergeCell ref="AB29:AB30"/>
    <mergeCell ref="H69:I69"/>
    <mergeCell ref="K69:L69"/>
    <mergeCell ref="M64:N64"/>
    <mergeCell ref="M65:N65"/>
    <mergeCell ref="M66:N67"/>
    <mergeCell ref="M44:N44"/>
    <mergeCell ref="D71:E71"/>
    <mergeCell ref="I71:J71"/>
    <mergeCell ref="K71:L71"/>
    <mergeCell ref="AC81:AC82"/>
    <mergeCell ref="K73:L73"/>
    <mergeCell ref="D75:E75"/>
    <mergeCell ref="I75:J75"/>
    <mergeCell ref="K75:L75"/>
    <mergeCell ref="I77:J78"/>
    <mergeCell ref="K77:L78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00000"/>
  </sheetPr>
  <dimension ref="A1:G133"/>
  <sheetViews>
    <sheetView topLeftCell="A31" workbookViewId="0">
      <selection activeCell="E35" sqref="E35"/>
    </sheetView>
  </sheetViews>
  <sheetFormatPr baseColWidth="10" defaultRowHeight="15" x14ac:dyDescent="0.25"/>
  <cols>
    <col min="1" max="1" width="13.42578125" style="60" bestFit="1" customWidth="1"/>
    <col min="2" max="2" width="12.85546875" bestFit="1" customWidth="1"/>
    <col min="3" max="3" width="15.85546875" style="9" bestFit="1" customWidth="1"/>
    <col min="4" max="4" width="12.42578125" bestFit="1" customWidth="1"/>
    <col min="5" max="5" width="15.140625" style="9" bestFit="1" customWidth="1"/>
    <col min="6" max="6" width="19.5703125" style="8" bestFit="1" customWidth="1"/>
  </cols>
  <sheetData>
    <row r="1" spans="1:7" ht="36.75" customHeight="1" thickBot="1" x14ac:dyDescent="0.4">
      <c r="A1" s="324" t="s">
        <v>529</v>
      </c>
      <c r="B1" s="175" t="s">
        <v>31</v>
      </c>
      <c r="C1" s="176"/>
      <c r="D1" s="177"/>
      <c r="E1" s="176"/>
      <c r="F1" s="178"/>
    </row>
    <row r="2" spans="1:7" ht="16.5" thickBot="1" x14ac:dyDescent="0.3">
      <c r="A2" s="179" t="s">
        <v>5</v>
      </c>
      <c r="B2" s="179" t="s">
        <v>27</v>
      </c>
      <c r="C2" s="180" t="s">
        <v>28</v>
      </c>
      <c r="D2" s="179" t="s">
        <v>29</v>
      </c>
      <c r="E2" s="180" t="s">
        <v>30</v>
      </c>
      <c r="F2" s="180" t="s">
        <v>28</v>
      </c>
    </row>
    <row r="3" spans="1:7" ht="18.75" x14ac:dyDescent="0.3">
      <c r="A3" s="192">
        <v>44407</v>
      </c>
      <c r="B3" s="193" t="s">
        <v>778</v>
      </c>
      <c r="C3" s="71">
        <v>39311.300000000003</v>
      </c>
      <c r="D3" s="194"/>
      <c r="E3" s="6"/>
      <c r="F3" s="182">
        <f>C3-E3</f>
        <v>39311.300000000003</v>
      </c>
    </row>
    <row r="4" spans="1:7" ht="18.75" x14ac:dyDescent="0.3">
      <c r="A4" s="192">
        <v>44407</v>
      </c>
      <c r="B4" s="193" t="s">
        <v>779</v>
      </c>
      <c r="C4" s="71">
        <v>11549.6</v>
      </c>
      <c r="D4" s="195"/>
      <c r="E4" s="71"/>
      <c r="F4" s="183">
        <f>F3+C4-E4</f>
        <v>50860.9</v>
      </c>
      <c r="G4" s="184"/>
    </row>
    <row r="5" spans="1:7" ht="15.75" x14ac:dyDescent="0.25">
      <c r="A5" s="195">
        <v>44410</v>
      </c>
      <c r="B5" s="193" t="s">
        <v>780</v>
      </c>
      <c r="C5" s="71">
        <v>22024.92</v>
      </c>
      <c r="D5" s="195"/>
      <c r="E5" s="71"/>
      <c r="F5" s="183">
        <f t="shared" ref="F5:F67" si="0">F4+C5-E5</f>
        <v>72885.820000000007</v>
      </c>
    </row>
    <row r="6" spans="1:7" ht="15.75" x14ac:dyDescent="0.25">
      <c r="A6" s="195">
        <v>44411</v>
      </c>
      <c r="B6" s="193" t="s">
        <v>781</v>
      </c>
      <c r="C6" s="71">
        <v>46313.1</v>
      </c>
      <c r="D6" s="195"/>
      <c r="E6" s="71"/>
      <c r="F6" s="183">
        <f t="shared" si="0"/>
        <v>119198.92000000001</v>
      </c>
    </row>
    <row r="7" spans="1:7" ht="15.75" x14ac:dyDescent="0.25">
      <c r="A7" s="195">
        <v>44412</v>
      </c>
      <c r="B7" s="193" t="s">
        <v>782</v>
      </c>
      <c r="C7" s="71">
        <v>98552.6</v>
      </c>
      <c r="D7" s="195"/>
      <c r="E7" s="71"/>
      <c r="F7" s="183">
        <f t="shared" si="0"/>
        <v>217751.52000000002</v>
      </c>
    </row>
    <row r="8" spans="1:7" ht="15.75" x14ac:dyDescent="0.25">
      <c r="A8" s="195">
        <v>44412</v>
      </c>
      <c r="B8" s="193" t="s">
        <v>783</v>
      </c>
      <c r="C8" s="71">
        <v>34220.800000000003</v>
      </c>
      <c r="D8" s="195"/>
      <c r="E8" s="71"/>
      <c r="F8" s="183">
        <f t="shared" si="0"/>
        <v>251972.32</v>
      </c>
    </row>
    <row r="9" spans="1:7" ht="15.75" x14ac:dyDescent="0.25">
      <c r="A9" s="195">
        <v>44413</v>
      </c>
      <c r="B9" s="193" t="s">
        <v>784</v>
      </c>
      <c r="C9" s="71">
        <v>83774</v>
      </c>
      <c r="D9" s="195"/>
      <c r="E9" s="71"/>
      <c r="F9" s="183">
        <f t="shared" si="0"/>
        <v>335746.32</v>
      </c>
    </row>
    <row r="10" spans="1:7" ht="18.75" x14ac:dyDescent="0.3">
      <c r="A10" s="195">
        <v>44413</v>
      </c>
      <c r="B10" s="193" t="s">
        <v>785</v>
      </c>
      <c r="C10" s="71">
        <v>11114.4</v>
      </c>
      <c r="D10" s="195"/>
      <c r="E10" s="71"/>
      <c r="F10" s="183">
        <f t="shared" si="0"/>
        <v>346860.72000000003</v>
      </c>
      <c r="G10" s="184"/>
    </row>
    <row r="11" spans="1:7" ht="15.75" x14ac:dyDescent="0.25">
      <c r="A11" s="192">
        <v>44414</v>
      </c>
      <c r="B11" s="193" t="s">
        <v>786</v>
      </c>
      <c r="C11" s="71">
        <v>26168</v>
      </c>
      <c r="D11" s="195"/>
      <c r="E11" s="71"/>
      <c r="F11" s="183">
        <f t="shared" si="0"/>
        <v>373028.72000000003</v>
      </c>
    </row>
    <row r="12" spans="1:7" ht="15.75" x14ac:dyDescent="0.25">
      <c r="A12" s="195">
        <v>44415</v>
      </c>
      <c r="B12" s="193" t="s">
        <v>787</v>
      </c>
      <c r="C12" s="71">
        <v>29328.5</v>
      </c>
      <c r="D12" s="195"/>
      <c r="E12" s="71"/>
      <c r="F12" s="183">
        <f t="shared" si="0"/>
        <v>402357.22000000003</v>
      </c>
    </row>
    <row r="13" spans="1:7" ht="15.75" x14ac:dyDescent="0.25">
      <c r="A13" s="195">
        <v>44417</v>
      </c>
      <c r="B13" s="193" t="s">
        <v>788</v>
      </c>
      <c r="C13" s="71">
        <v>11509.3</v>
      </c>
      <c r="D13" s="195"/>
      <c r="E13" s="71"/>
      <c r="F13" s="183">
        <f t="shared" si="0"/>
        <v>413866.52</v>
      </c>
    </row>
    <row r="14" spans="1:7" ht="15.75" x14ac:dyDescent="0.25">
      <c r="A14" s="195">
        <v>44418</v>
      </c>
      <c r="B14" s="193" t="s">
        <v>789</v>
      </c>
      <c r="C14" s="71">
        <v>37508.9</v>
      </c>
      <c r="D14" s="195"/>
      <c r="E14" s="71"/>
      <c r="F14" s="183">
        <f t="shared" si="0"/>
        <v>451375.42000000004</v>
      </c>
    </row>
    <row r="15" spans="1:7" ht="15.75" x14ac:dyDescent="0.25">
      <c r="A15" s="195">
        <v>44418</v>
      </c>
      <c r="B15" s="193" t="s">
        <v>790</v>
      </c>
      <c r="C15" s="71">
        <v>8601.6</v>
      </c>
      <c r="D15" s="195"/>
      <c r="E15" s="71"/>
      <c r="F15" s="183">
        <f t="shared" si="0"/>
        <v>459977.02</v>
      </c>
    </row>
    <row r="16" spans="1:7" ht="15.75" x14ac:dyDescent="0.25">
      <c r="A16" s="195">
        <v>44418</v>
      </c>
      <c r="B16" s="193" t="s">
        <v>791</v>
      </c>
      <c r="C16" s="71">
        <v>17148.599999999999</v>
      </c>
      <c r="D16" s="195"/>
      <c r="E16" s="71"/>
      <c r="F16" s="183">
        <f t="shared" si="0"/>
        <v>477125.62</v>
      </c>
    </row>
    <row r="17" spans="1:7" ht="15.75" x14ac:dyDescent="0.25">
      <c r="A17" s="195">
        <v>44419</v>
      </c>
      <c r="B17" s="193" t="s">
        <v>792</v>
      </c>
      <c r="C17" s="71">
        <v>85969.2</v>
      </c>
      <c r="D17" s="195">
        <v>44420</v>
      </c>
      <c r="E17" s="71">
        <v>550000</v>
      </c>
      <c r="F17" s="183">
        <f t="shared" si="0"/>
        <v>13094.819999999949</v>
      </c>
    </row>
    <row r="18" spans="1:7" ht="15.75" x14ac:dyDescent="0.25">
      <c r="A18" s="195">
        <v>44420</v>
      </c>
      <c r="B18" s="193" t="s">
        <v>793</v>
      </c>
      <c r="C18" s="71">
        <v>138341.66</v>
      </c>
      <c r="D18" s="195"/>
      <c r="E18" s="71"/>
      <c r="F18" s="183">
        <f t="shared" si="0"/>
        <v>151436.47999999995</v>
      </c>
    </row>
    <row r="19" spans="1:7" ht="15.75" x14ac:dyDescent="0.25">
      <c r="A19" s="195">
        <v>44421</v>
      </c>
      <c r="B19" s="193" t="s">
        <v>794</v>
      </c>
      <c r="C19" s="71">
        <v>132674.09</v>
      </c>
      <c r="D19" s="195"/>
      <c r="E19" s="71"/>
      <c r="F19" s="183">
        <f t="shared" si="0"/>
        <v>284110.56999999995</v>
      </c>
    </row>
    <row r="20" spans="1:7" ht="15.75" x14ac:dyDescent="0.25">
      <c r="A20" s="195">
        <v>44422</v>
      </c>
      <c r="B20" s="193" t="s">
        <v>795</v>
      </c>
      <c r="C20" s="71">
        <v>90825.97</v>
      </c>
      <c r="D20" s="195">
        <v>44424</v>
      </c>
      <c r="E20" s="71">
        <v>300000</v>
      </c>
      <c r="F20" s="183">
        <f t="shared" si="0"/>
        <v>74936.539999999921</v>
      </c>
    </row>
    <row r="21" spans="1:7" ht="18.75" x14ac:dyDescent="0.3">
      <c r="A21" s="195">
        <v>44422</v>
      </c>
      <c r="B21" s="193" t="s">
        <v>796</v>
      </c>
      <c r="C21" s="71">
        <v>39418.1</v>
      </c>
      <c r="D21" s="195"/>
      <c r="E21" s="71"/>
      <c r="F21" s="183">
        <f t="shared" si="0"/>
        <v>114354.63999999993</v>
      </c>
      <c r="G21" s="184"/>
    </row>
    <row r="22" spans="1:7" ht="15.75" x14ac:dyDescent="0.25">
      <c r="A22" s="195">
        <v>44424</v>
      </c>
      <c r="B22" s="193" t="s">
        <v>797</v>
      </c>
      <c r="C22" s="71">
        <v>76845.3</v>
      </c>
      <c r="D22" s="195"/>
      <c r="E22" s="71"/>
      <c r="F22" s="183">
        <f t="shared" si="0"/>
        <v>191199.93999999994</v>
      </c>
    </row>
    <row r="23" spans="1:7" ht="15.75" x14ac:dyDescent="0.25">
      <c r="A23" s="195">
        <v>44425</v>
      </c>
      <c r="B23" s="193" t="s">
        <v>798</v>
      </c>
      <c r="C23" s="71">
        <v>129480.9</v>
      </c>
      <c r="D23" s="195"/>
      <c r="E23" s="71"/>
      <c r="F23" s="183">
        <f t="shared" si="0"/>
        <v>320680.83999999997</v>
      </c>
    </row>
    <row r="24" spans="1:7" ht="15.75" x14ac:dyDescent="0.25">
      <c r="A24" s="195">
        <v>44425</v>
      </c>
      <c r="B24" s="193" t="s">
        <v>799</v>
      </c>
      <c r="C24" s="71">
        <v>48435.55</v>
      </c>
      <c r="D24" s="195"/>
      <c r="E24" s="71"/>
      <c r="F24" s="183">
        <f t="shared" si="0"/>
        <v>369116.38999999996</v>
      </c>
    </row>
    <row r="25" spans="1:7" ht="15.75" x14ac:dyDescent="0.25">
      <c r="A25" s="195">
        <v>44426</v>
      </c>
      <c r="B25" s="193" t="s">
        <v>800</v>
      </c>
      <c r="C25" s="71">
        <v>10287.5</v>
      </c>
      <c r="D25" s="195"/>
      <c r="E25" s="71"/>
      <c r="F25" s="183">
        <f t="shared" si="0"/>
        <v>379403.88999999996</v>
      </c>
    </row>
    <row r="26" spans="1:7" ht="15.75" x14ac:dyDescent="0.25">
      <c r="A26" s="195">
        <v>44427</v>
      </c>
      <c r="B26" s="193" t="s">
        <v>801</v>
      </c>
      <c r="C26" s="71">
        <v>142888.70000000001</v>
      </c>
      <c r="D26" s="195">
        <v>44428</v>
      </c>
      <c r="E26" s="71">
        <v>522292.59</v>
      </c>
      <c r="F26" s="183">
        <f t="shared" si="0"/>
        <v>0</v>
      </c>
    </row>
    <row r="27" spans="1:7" ht="15.75" x14ac:dyDescent="0.25">
      <c r="A27" s="195">
        <v>44429</v>
      </c>
      <c r="B27" s="193" t="s">
        <v>809</v>
      </c>
      <c r="C27" s="71">
        <v>213314.83</v>
      </c>
      <c r="D27" s="195"/>
      <c r="E27" s="71"/>
      <c r="F27" s="183">
        <f t="shared" si="0"/>
        <v>213314.83</v>
      </c>
    </row>
    <row r="28" spans="1:7" ht="15.75" x14ac:dyDescent="0.25">
      <c r="A28" s="195">
        <v>44431</v>
      </c>
      <c r="B28" s="193" t="s">
        <v>810</v>
      </c>
      <c r="C28" s="71">
        <v>68751.3</v>
      </c>
      <c r="D28" s="195"/>
      <c r="E28" s="71"/>
      <c r="F28" s="183">
        <f t="shared" si="0"/>
        <v>282066.13</v>
      </c>
    </row>
    <row r="29" spans="1:7" ht="18.75" x14ac:dyDescent="0.3">
      <c r="A29" s="195">
        <v>44431</v>
      </c>
      <c r="B29" s="193" t="s">
        <v>811</v>
      </c>
      <c r="C29" s="71">
        <v>4814.3999999999996</v>
      </c>
      <c r="D29" s="195"/>
      <c r="E29" s="71"/>
      <c r="F29" s="183">
        <f t="shared" si="0"/>
        <v>286880.53000000003</v>
      </c>
      <c r="G29" s="184"/>
    </row>
    <row r="30" spans="1:7" ht="15.75" x14ac:dyDescent="0.25">
      <c r="A30" s="195">
        <v>44432</v>
      </c>
      <c r="B30" s="193" t="s">
        <v>812</v>
      </c>
      <c r="C30" s="71">
        <v>81436.600000000006</v>
      </c>
      <c r="D30" s="195"/>
      <c r="E30" s="71"/>
      <c r="F30" s="183">
        <f t="shared" si="0"/>
        <v>368317.13</v>
      </c>
    </row>
    <row r="31" spans="1:7" ht="15.75" x14ac:dyDescent="0.25">
      <c r="A31" s="195">
        <v>44433</v>
      </c>
      <c r="B31" s="193" t="s">
        <v>813</v>
      </c>
      <c r="C31" s="71">
        <v>122078.3</v>
      </c>
      <c r="D31" s="195"/>
      <c r="E31" s="71"/>
      <c r="F31" s="183">
        <f t="shared" si="0"/>
        <v>490395.43</v>
      </c>
    </row>
    <row r="32" spans="1:7" ht="15.75" x14ac:dyDescent="0.25">
      <c r="A32" s="195">
        <v>44434</v>
      </c>
      <c r="B32" s="193" t="s">
        <v>814</v>
      </c>
      <c r="C32" s="71">
        <v>175490.53</v>
      </c>
      <c r="D32" s="195">
        <v>44435</v>
      </c>
      <c r="E32" s="71">
        <v>665885.96</v>
      </c>
      <c r="F32" s="183">
        <f t="shared" si="0"/>
        <v>0</v>
      </c>
    </row>
    <row r="33" spans="1:6" ht="15.75" x14ac:dyDescent="0.25">
      <c r="A33" s="195">
        <v>44436</v>
      </c>
      <c r="B33" s="193" t="s">
        <v>815</v>
      </c>
      <c r="C33" s="71">
        <v>152252.57999999999</v>
      </c>
      <c r="D33" s="195"/>
      <c r="E33" s="71"/>
      <c r="F33" s="183">
        <f t="shared" si="0"/>
        <v>152252.57999999999</v>
      </c>
    </row>
    <row r="34" spans="1:6" ht="15.75" x14ac:dyDescent="0.25">
      <c r="A34" s="195">
        <v>44438</v>
      </c>
      <c r="B34" s="193" t="s">
        <v>816</v>
      </c>
      <c r="C34" s="71">
        <v>110800.95</v>
      </c>
      <c r="D34" s="195"/>
      <c r="E34" s="71"/>
      <c r="F34" s="183">
        <f t="shared" si="0"/>
        <v>263053.52999999997</v>
      </c>
    </row>
    <row r="35" spans="1:6" ht="15.75" x14ac:dyDescent="0.25">
      <c r="A35" s="195">
        <v>44439</v>
      </c>
      <c r="B35" s="193" t="s">
        <v>817</v>
      </c>
      <c r="C35" s="71">
        <v>79481</v>
      </c>
      <c r="D35" s="195">
        <v>44442</v>
      </c>
      <c r="E35" s="71">
        <v>342534.53</v>
      </c>
      <c r="F35" s="183">
        <f t="shared" si="0"/>
        <v>0</v>
      </c>
    </row>
    <row r="36" spans="1:6" ht="15.75" x14ac:dyDescent="0.25">
      <c r="A36" s="195"/>
      <c r="B36" s="193"/>
      <c r="C36" s="71"/>
      <c r="D36" s="195"/>
      <c r="E36" s="71"/>
      <c r="F36" s="183">
        <f t="shared" si="0"/>
        <v>0</v>
      </c>
    </row>
    <row r="37" spans="1:6" ht="15.75" x14ac:dyDescent="0.25">
      <c r="A37" s="195"/>
      <c r="B37" s="193"/>
      <c r="C37" s="71"/>
      <c r="D37" s="195"/>
      <c r="E37" s="71"/>
      <c r="F37" s="183">
        <f t="shared" si="0"/>
        <v>0</v>
      </c>
    </row>
    <row r="38" spans="1:6" ht="15.75" x14ac:dyDescent="0.25">
      <c r="A38" s="195"/>
      <c r="B38" s="193"/>
      <c r="C38" s="71"/>
      <c r="D38" s="195"/>
      <c r="E38" s="71"/>
      <c r="F38" s="183">
        <f t="shared" si="0"/>
        <v>0</v>
      </c>
    </row>
    <row r="39" spans="1:6" ht="15.75" x14ac:dyDescent="0.25">
      <c r="A39" s="195"/>
      <c r="B39" s="193"/>
      <c r="C39" s="71"/>
      <c r="D39" s="195"/>
      <c r="E39" s="71"/>
      <c r="F39" s="183">
        <f t="shared" si="0"/>
        <v>0</v>
      </c>
    </row>
    <row r="40" spans="1:6" ht="15.75" x14ac:dyDescent="0.25">
      <c r="A40" s="195"/>
      <c r="B40" s="193"/>
      <c r="C40" s="71"/>
      <c r="D40" s="195"/>
      <c r="E40" s="71"/>
      <c r="F40" s="183">
        <f t="shared" si="0"/>
        <v>0</v>
      </c>
    </row>
    <row r="41" spans="1:6" ht="15.75" x14ac:dyDescent="0.25">
      <c r="A41" s="195"/>
      <c r="B41" s="193"/>
      <c r="C41" s="71"/>
      <c r="D41" s="195"/>
      <c r="E41" s="71"/>
      <c r="F41" s="183">
        <f t="shared" si="0"/>
        <v>0</v>
      </c>
    </row>
    <row r="42" spans="1:6" ht="15.75" x14ac:dyDescent="0.25">
      <c r="A42" s="195"/>
      <c r="B42" s="193"/>
      <c r="C42" s="71"/>
      <c r="D42" s="195"/>
      <c r="E42" s="71"/>
      <c r="F42" s="183">
        <f t="shared" si="0"/>
        <v>0</v>
      </c>
    </row>
    <row r="43" spans="1:6" ht="15.75" x14ac:dyDescent="0.25">
      <c r="A43" s="195"/>
      <c r="B43" s="193"/>
      <c r="C43" s="71"/>
      <c r="D43" s="195"/>
      <c r="E43" s="71"/>
      <c r="F43" s="183">
        <f t="shared" si="0"/>
        <v>0</v>
      </c>
    </row>
    <row r="44" spans="1:6" ht="15.75" x14ac:dyDescent="0.25">
      <c r="A44" s="195"/>
      <c r="B44" s="193"/>
      <c r="C44" s="71"/>
      <c r="D44" s="195"/>
      <c r="E44" s="71"/>
      <c r="F44" s="183">
        <f t="shared" si="0"/>
        <v>0</v>
      </c>
    </row>
    <row r="45" spans="1:6" ht="15.75" x14ac:dyDescent="0.25">
      <c r="A45" s="195"/>
      <c r="B45" s="193"/>
      <c r="C45" s="71"/>
      <c r="D45" s="195"/>
      <c r="E45" s="71"/>
      <c r="F45" s="183">
        <f t="shared" si="0"/>
        <v>0</v>
      </c>
    </row>
    <row r="46" spans="1:6" ht="15.75" x14ac:dyDescent="0.25">
      <c r="A46" s="195"/>
      <c r="B46" s="193"/>
      <c r="C46" s="71"/>
      <c r="D46" s="195"/>
      <c r="E46" s="71"/>
      <c r="F46" s="183">
        <f t="shared" si="0"/>
        <v>0</v>
      </c>
    </row>
    <row r="47" spans="1:6" ht="15.75" x14ac:dyDescent="0.25">
      <c r="A47" s="195"/>
      <c r="B47" s="193"/>
      <c r="C47" s="71"/>
      <c r="D47" s="195"/>
      <c r="E47" s="71"/>
      <c r="F47" s="183">
        <f t="shared" si="0"/>
        <v>0</v>
      </c>
    </row>
    <row r="48" spans="1:6" ht="15.75" x14ac:dyDescent="0.25">
      <c r="A48" s="195"/>
      <c r="B48" s="193"/>
      <c r="C48" s="71"/>
      <c r="D48" s="195"/>
      <c r="E48" s="71"/>
      <c r="F48" s="183">
        <f t="shared" si="0"/>
        <v>0</v>
      </c>
    </row>
    <row r="49" spans="1:6" ht="15.75" x14ac:dyDescent="0.25">
      <c r="A49" s="195"/>
      <c r="B49" s="193"/>
      <c r="C49" s="71"/>
      <c r="D49" s="195"/>
      <c r="E49" s="71"/>
      <c r="F49" s="183">
        <f t="shared" si="0"/>
        <v>0</v>
      </c>
    </row>
    <row r="50" spans="1:6" ht="15.75" x14ac:dyDescent="0.25">
      <c r="A50" s="195"/>
      <c r="B50" s="193"/>
      <c r="C50" s="71"/>
      <c r="D50" s="195"/>
      <c r="E50" s="71"/>
      <c r="F50" s="183">
        <f t="shared" si="0"/>
        <v>0</v>
      </c>
    </row>
    <row r="51" spans="1:6" ht="15.75" x14ac:dyDescent="0.25">
      <c r="A51" s="195"/>
      <c r="B51" s="193"/>
      <c r="C51" s="71"/>
      <c r="D51" s="195"/>
      <c r="E51" s="71"/>
      <c r="F51" s="183">
        <f t="shared" si="0"/>
        <v>0</v>
      </c>
    </row>
    <row r="52" spans="1:6" ht="15.75" x14ac:dyDescent="0.25">
      <c r="A52" s="195"/>
      <c r="B52" s="193"/>
      <c r="C52" s="71"/>
      <c r="D52" s="195"/>
      <c r="E52" s="71"/>
      <c r="F52" s="183">
        <f t="shared" si="0"/>
        <v>0</v>
      </c>
    </row>
    <row r="53" spans="1:6" ht="15.75" hidden="1" x14ac:dyDescent="0.25">
      <c r="A53" s="192"/>
      <c r="B53" s="193"/>
      <c r="C53" s="71"/>
      <c r="D53" s="195"/>
      <c r="E53" s="71"/>
      <c r="F53" s="183">
        <f t="shared" si="0"/>
        <v>0</v>
      </c>
    </row>
    <row r="54" spans="1:6" ht="15.75" hidden="1" x14ac:dyDescent="0.25">
      <c r="A54" s="192"/>
      <c r="B54" s="193"/>
      <c r="C54" s="71"/>
      <c r="D54" s="195"/>
      <c r="E54" s="71"/>
      <c r="F54" s="183">
        <f t="shared" si="0"/>
        <v>0</v>
      </c>
    </row>
    <row r="55" spans="1:6" ht="15.75" hidden="1" x14ac:dyDescent="0.25">
      <c r="A55" s="192"/>
      <c r="B55" s="193"/>
      <c r="C55" s="71"/>
      <c r="D55" s="195"/>
      <c r="E55" s="71"/>
      <c r="F55" s="183">
        <f t="shared" si="0"/>
        <v>0</v>
      </c>
    </row>
    <row r="56" spans="1:6" ht="15.75" hidden="1" x14ac:dyDescent="0.25">
      <c r="A56" s="195"/>
      <c r="B56" s="193"/>
      <c r="C56" s="71"/>
      <c r="D56" s="195"/>
      <c r="E56" s="71"/>
      <c r="F56" s="183">
        <f t="shared" si="0"/>
        <v>0</v>
      </c>
    </row>
    <row r="57" spans="1:6" ht="15.75" hidden="1" x14ac:dyDescent="0.25">
      <c r="A57" s="195"/>
      <c r="B57" s="193"/>
      <c r="C57" s="71"/>
      <c r="D57" s="195"/>
      <c r="E57" s="71"/>
      <c r="F57" s="183">
        <f t="shared" si="0"/>
        <v>0</v>
      </c>
    </row>
    <row r="58" spans="1:6" ht="15.75" hidden="1" x14ac:dyDescent="0.25">
      <c r="A58" s="195"/>
      <c r="B58" s="193"/>
      <c r="C58" s="71"/>
      <c r="D58" s="195"/>
      <c r="E58" s="71"/>
      <c r="F58" s="183">
        <f t="shared" si="0"/>
        <v>0</v>
      </c>
    </row>
    <row r="59" spans="1:6" ht="15.75" hidden="1" x14ac:dyDescent="0.25">
      <c r="A59" s="192"/>
      <c r="B59" s="193"/>
      <c r="C59" s="71"/>
      <c r="D59" s="195"/>
      <c r="E59" s="71"/>
      <c r="F59" s="183">
        <f t="shared" si="0"/>
        <v>0</v>
      </c>
    </row>
    <row r="60" spans="1:6" ht="15.75" hidden="1" x14ac:dyDescent="0.25">
      <c r="A60" s="192"/>
      <c r="B60" s="193"/>
      <c r="C60" s="71"/>
      <c r="D60" s="195"/>
      <c r="E60" s="71"/>
      <c r="F60" s="183">
        <f t="shared" si="0"/>
        <v>0</v>
      </c>
    </row>
    <row r="61" spans="1:6" ht="15.75" hidden="1" x14ac:dyDescent="0.25">
      <c r="A61" s="192"/>
      <c r="B61" s="193"/>
      <c r="C61" s="71"/>
      <c r="D61" s="195"/>
      <c r="E61" s="71"/>
      <c r="F61" s="183">
        <f t="shared" si="0"/>
        <v>0</v>
      </c>
    </row>
    <row r="62" spans="1:6" ht="15.75" hidden="1" x14ac:dyDescent="0.25">
      <c r="A62" s="192"/>
      <c r="B62" s="193"/>
      <c r="C62" s="71"/>
      <c r="D62" s="195"/>
      <c r="E62" s="71"/>
      <c r="F62" s="183">
        <f t="shared" si="0"/>
        <v>0</v>
      </c>
    </row>
    <row r="63" spans="1:6" ht="15.75" hidden="1" x14ac:dyDescent="0.25">
      <c r="A63" s="192"/>
      <c r="B63" s="193"/>
      <c r="C63" s="71"/>
      <c r="D63" s="195"/>
      <c r="E63" s="71"/>
      <c r="F63" s="183">
        <f t="shared" si="0"/>
        <v>0</v>
      </c>
    </row>
    <row r="64" spans="1:6" ht="15.75" hidden="1" x14ac:dyDescent="0.25">
      <c r="A64" s="192"/>
      <c r="B64" s="193"/>
      <c r="C64" s="71"/>
      <c r="D64" s="195"/>
      <c r="E64" s="71"/>
      <c r="F64" s="183">
        <f t="shared" si="0"/>
        <v>0</v>
      </c>
    </row>
    <row r="65" spans="1:6" ht="15.75" hidden="1" x14ac:dyDescent="0.25">
      <c r="A65" s="192"/>
      <c r="B65" s="193"/>
      <c r="C65" s="71"/>
      <c r="D65" s="195"/>
      <c r="E65" s="71"/>
      <c r="F65" s="183">
        <f t="shared" si="0"/>
        <v>0</v>
      </c>
    </row>
    <row r="66" spans="1:6" ht="15.75" hidden="1" x14ac:dyDescent="0.25">
      <c r="A66" s="192"/>
      <c r="B66" s="193"/>
      <c r="C66" s="71"/>
      <c r="D66" s="195"/>
      <c r="E66" s="71"/>
      <c r="F66" s="183">
        <f t="shared" si="0"/>
        <v>0</v>
      </c>
    </row>
    <row r="67" spans="1:6" ht="15.75" hidden="1" x14ac:dyDescent="0.25">
      <c r="A67" s="192"/>
      <c r="B67" s="193"/>
      <c r="C67" s="71"/>
      <c r="D67" s="195"/>
      <c r="E67" s="71"/>
      <c r="F67" s="183">
        <f t="shared" si="0"/>
        <v>0</v>
      </c>
    </row>
    <row r="68" spans="1:6" ht="15.75" hidden="1" x14ac:dyDescent="0.25">
      <c r="A68" s="192"/>
      <c r="B68" s="193"/>
      <c r="C68" s="71"/>
      <c r="D68" s="195"/>
      <c r="E68" s="71"/>
      <c r="F68" s="183">
        <f t="shared" ref="F68:F96" si="1">F67+C68-E68</f>
        <v>0</v>
      </c>
    </row>
    <row r="69" spans="1:6" ht="15.75" hidden="1" x14ac:dyDescent="0.25">
      <c r="A69" s="192"/>
      <c r="B69" s="193"/>
      <c r="C69" s="71"/>
      <c r="D69" s="195"/>
      <c r="E69" s="71"/>
      <c r="F69" s="183">
        <f t="shared" si="1"/>
        <v>0</v>
      </c>
    </row>
    <row r="70" spans="1:6" ht="15.75" hidden="1" x14ac:dyDescent="0.25">
      <c r="A70" s="192"/>
      <c r="B70" s="193"/>
      <c r="C70" s="71"/>
      <c r="D70" s="195"/>
      <c r="E70" s="71"/>
      <c r="F70" s="183">
        <f t="shared" si="1"/>
        <v>0</v>
      </c>
    </row>
    <row r="71" spans="1:6" ht="15.75" hidden="1" x14ac:dyDescent="0.25">
      <c r="A71" s="192"/>
      <c r="B71" s="193"/>
      <c r="C71" s="71"/>
      <c r="D71" s="195"/>
      <c r="E71" s="71"/>
      <c r="F71" s="183">
        <f t="shared" si="1"/>
        <v>0</v>
      </c>
    </row>
    <row r="72" spans="1:6" ht="15.75" hidden="1" x14ac:dyDescent="0.25">
      <c r="A72" s="192"/>
      <c r="B72" s="193"/>
      <c r="C72" s="71"/>
      <c r="D72" s="195"/>
      <c r="E72" s="71"/>
      <c r="F72" s="183">
        <f t="shared" si="1"/>
        <v>0</v>
      </c>
    </row>
    <row r="73" spans="1:6" ht="15.75" hidden="1" x14ac:dyDescent="0.25">
      <c r="A73" s="192"/>
      <c r="B73" s="193"/>
      <c r="C73" s="71"/>
      <c r="D73" s="195"/>
      <c r="E73" s="71"/>
      <c r="F73" s="183">
        <f t="shared" si="1"/>
        <v>0</v>
      </c>
    </row>
    <row r="74" spans="1:6" ht="15.75" hidden="1" x14ac:dyDescent="0.25">
      <c r="A74" s="192"/>
      <c r="B74" s="193"/>
      <c r="C74" s="71"/>
      <c r="D74" s="195"/>
      <c r="E74" s="71"/>
      <c r="F74" s="183">
        <f t="shared" si="1"/>
        <v>0</v>
      </c>
    </row>
    <row r="75" spans="1:6" ht="15.75" hidden="1" x14ac:dyDescent="0.25">
      <c r="A75" s="192"/>
      <c r="B75" s="193"/>
      <c r="C75" s="71"/>
      <c r="D75" s="195"/>
      <c r="E75" s="71"/>
      <c r="F75" s="183">
        <f t="shared" si="1"/>
        <v>0</v>
      </c>
    </row>
    <row r="76" spans="1:6" ht="15.75" hidden="1" x14ac:dyDescent="0.25">
      <c r="A76" s="192"/>
      <c r="B76" s="193"/>
      <c r="C76" s="71"/>
      <c r="D76" s="195"/>
      <c r="E76" s="71"/>
      <c r="F76" s="183">
        <f t="shared" si="1"/>
        <v>0</v>
      </c>
    </row>
    <row r="77" spans="1:6" ht="15.75" hidden="1" x14ac:dyDescent="0.25">
      <c r="A77" s="192"/>
      <c r="B77" s="193"/>
      <c r="C77" s="71"/>
      <c r="D77" s="195"/>
      <c r="E77" s="71"/>
      <c r="F77" s="183">
        <f t="shared" si="1"/>
        <v>0</v>
      </c>
    </row>
    <row r="78" spans="1:6" ht="15.75" hidden="1" x14ac:dyDescent="0.25">
      <c r="A78" s="192"/>
      <c r="B78" s="193"/>
      <c r="C78" s="71"/>
      <c r="D78" s="195"/>
      <c r="E78" s="71"/>
      <c r="F78" s="183">
        <f t="shared" si="1"/>
        <v>0</v>
      </c>
    </row>
    <row r="79" spans="1:6" ht="15.75" hidden="1" x14ac:dyDescent="0.25">
      <c r="A79" s="192"/>
      <c r="B79" s="193"/>
      <c r="C79" s="71"/>
      <c r="D79" s="195"/>
      <c r="E79" s="71"/>
      <c r="F79" s="183">
        <f t="shared" si="1"/>
        <v>0</v>
      </c>
    </row>
    <row r="80" spans="1:6" ht="15.75" hidden="1" x14ac:dyDescent="0.25">
      <c r="A80" s="186"/>
      <c r="B80" s="187"/>
      <c r="C80" s="7"/>
      <c r="D80" s="181"/>
      <c r="E80" s="7"/>
      <c r="F80" s="183">
        <f t="shared" si="1"/>
        <v>0</v>
      </c>
    </row>
    <row r="81" spans="1:6" ht="15.75" hidden="1" x14ac:dyDescent="0.25">
      <c r="A81" s="186"/>
      <c r="B81" s="187"/>
      <c r="C81" s="7"/>
      <c r="D81" s="181"/>
      <c r="E81" s="7"/>
      <c r="F81" s="183">
        <f t="shared" si="1"/>
        <v>0</v>
      </c>
    </row>
    <row r="82" spans="1:6" ht="15.75" hidden="1" x14ac:dyDescent="0.25">
      <c r="A82" s="186"/>
      <c r="B82" s="187"/>
      <c r="C82" s="7"/>
      <c r="D82" s="181"/>
      <c r="E82" s="7"/>
      <c r="F82" s="183">
        <f t="shared" si="1"/>
        <v>0</v>
      </c>
    </row>
    <row r="83" spans="1:6" ht="15.75" hidden="1" x14ac:dyDescent="0.25">
      <c r="A83" s="186"/>
      <c r="B83" s="187"/>
      <c r="C83" s="7"/>
      <c r="D83" s="181"/>
      <c r="E83" s="7"/>
      <c r="F83" s="183">
        <f t="shared" si="1"/>
        <v>0</v>
      </c>
    </row>
    <row r="84" spans="1:6" ht="15.75" hidden="1" x14ac:dyDescent="0.25">
      <c r="A84" s="186"/>
      <c r="B84" s="187"/>
      <c r="C84" s="7"/>
      <c r="D84" s="181"/>
      <c r="E84" s="7"/>
      <c r="F84" s="183">
        <f t="shared" si="1"/>
        <v>0</v>
      </c>
    </row>
    <row r="85" spans="1:6" ht="15.75" hidden="1" x14ac:dyDescent="0.25">
      <c r="A85" s="186"/>
      <c r="B85" s="187"/>
      <c r="C85" s="7"/>
      <c r="D85" s="181"/>
      <c r="E85" s="7"/>
      <c r="F85" s="183">
        <f t="shared" si="1"/>
        <v>0</v>
      </c>
    </row>
    <row r="86" spans="1:6" ht="15.75" hidden="1" x14ac:dyDescent="0.25">
      <c r="A86" s="270"/>
      <c r="B86" s="268"/>
      <c r="C86" s="71"/>
      <c r="D86" s="269"/>
      <c r="E86" s="71"/>
      <c r="F86" s="183">
        <f t="shared" si="1"/>
        <v>0</v>
      </c>
    </row>
    <row r="87" spans="1:6" ht="15.75" hidden="1" x14ac:dyDescent="0.25">
      <c r="A87" s="270"/>
      <c r="B87" s="268"/>
      <c r="C87" s="71"/>
      <c r="D87" s="269"/>
      <c r="E87" s="71"/>
      <c r="F87" s="183">
        <f t="shared" si="1"/>
        <v>0</v>
      </c>
    </row>
    <row r="88" spans="1:6" ht="15.75" hidden="1" x14ac:dyDescent="0.25">
      <c r="A88" s="270"/>
      <c r="B88" s="268"/>
      <c r="C88" s="71"/>
      <c r="D88" s="269"/>
      <c r="E88" s="71"/>
      <c r="F88" s="183">
        <f t="shared" si="1"/>
        <v>0</v>
      </c>
    </row>
    <row r="89" spans="1:6" ht="15.75" hidden="1" x14ac:dyDescent="0.25">
      <c r="A89" s="270"/>
      <c r="B89" s="268"/>
      <c r="C89" s="71"/>
      <c r="D89" s="269"/>
      <c r="E89" s="71"/>
      <c r="F89" s="183">
        <f t="shared" si="1"/>
        <v>0</v>
      </c>
    </row>
    <row r="90" spans="1:6" ht="15.75" hidden="1" x14ac:dyDescent="0.25">
      <c r="A90" s="270"/>
      <c r="B90" s="268"/>
      <c r="C90" s="71"/>
      <c r="D90" s="269"/>
      <c r="E90" s="71"/>
      <c r="F90" s="183">
        <f t="shared" si="1"/>
        <v>0</v>
      </c>
    </row>
    <row r="91" spans="1:6" ht="15.75" hidden="1" x14ac:dyDescent="0.25">
      <c r="A91" s="270"/>
      <c r="B91" s="268"/>
      <c r="C91" s="71"/>
      <c r="D91" s="269"/>
      <c r="E91" s="71"/>
      <c r="F91" s="183">
        <f t="shared" si="1"/>
        <v>0</v>
      </c>
    </row>
    <row r="92" spans="1:6" ht="15.75" hidden="1" x14ac:dyDescent="0.25">
      <c r="A92" s="270"/>
      <c r="B92" s="268"/>
      <c r="C92" s="71"/>
      <c r="D92" s="269"/>
      <c r="E92" s="71"/>
      <c r="F92" s="183">
        <f t="shared" si="1"/>
        <v>0</v>
      </c>
    </row>
    <row r="93" spans="1:6" ht="15.75" hidden="1" x14ac:dyDescent="0.25">
      <c r="A93" s="270"/>
      <c r="B93" s="268"/>
      <c r="C93" s="71"/>
      <c r="D93" s="269"/>
      <c r="E93" s="71"/>
      <c r="F93" s="183">
        <f t="shared" si="1"/>
        <v>0</v>
      </c>
    </row>
    <row r="94" spans="1:6" ht="15.75" hidden="1" x14ac:dyDescent="0.25">
      <c r="A94" s="270"/>
      <c r="B94" s="268"/>
      <c r="C94" s="71"/>
      <c r="D94" s="269"/>
      <c r="E94" s="71"/>
      <c r="F94" s="183">
        <f t="shared" si="1"/>
        <v>0</v>
      </c>
    </row>
    <row r="95" spans="1:6" ht="15.75" x14ac:dyDescent="0.25">
      <c r="A95" s="270"/>
      <c r="B95" s="268"/>
      <c r="C95" s="71"/>
      <c r="D95" s="269"/>
      <c r="E95" s="71"/>
      <c r="F95" s="183">
        <f t="shared" si="1"/>
        <v>0</v>
      </c>
    </row>
    <row r="96" spans="1:6" ht="16.5" thickBot="1" x14ac:dyDescent="0.3">
      <c r="A96" s="188"/>
      <c r="B96" s="189"/>
      <c r="C96" s="84">
        <v>0</v>
      </c>
      <c r="D96" s="190"/>
      <c r="E96" s="84"/>
      <c r="F96" s="183">
        <f t="shared" si="1"/>
        <v>0</v>
      </c>
    </row>
    <row r="97" spans="1:6" ht="19.5" thickTop="1" x14ac:dyDescent="0.3">
      <c r="B97" s="60"/>
      <c r="C97" s="4">
        <f>SUM(C3:C96)</f>
        <v>2380713.08</v>
      </c>
      <c r="D97" s="1"/>
      <c r="E97" s="4">
        <f>SUM(E3:E96)</f>
        <v>2380713.08</v>
      </c>
      <c r="F97" s="191">
        <f>F96</f>
        <v>0</v>
      </c>
    </row>
    <row r="98" spans="1:6" x14ac:dyDescent="0.25">
      <c r="B98" s="60"/>
      <c r="C98" s="4"/>
      <c r="D98" s="1"/>
      <c r="E98" s="8"/>
      <c r="F98" s="4"/>
    </row>
    <row r="99" spans="1:6" x14ac:dyDescent="0.25">
      <c r="B99" s="60"/>
      <c r="C99" s="4"/>
      <c r="D99" s="1"/>
      <c r="E99" s="8"/>
      <c r="F99" s="4"/>
    </row>
    <row r="100" spans="1:6" x14ac:dyDescent="0.25">
      <c r="A100"/>
      <c r="B100" s="34"/>
      <c r="D100" s="34"/>
    </row>
    <row r="101" spans="1:6" x14ac:dyDescent="0.25">
      <c r="A101"/>
      <c r="B101" s="34"/>
      <c r="D101" s="34"/>
    </row>
    <row r="102" spans="1:6" x14ac:dyDescent="0.25">
      <c r="A102"/>
      <c r="B102" s="34"/>
      <c r="D102" s="34"/>
    </row>
    <row r="103" spans="1:6" x14ac:dyDescent="0.25">
      <c r="A103"/>
      <c r="B103" s="34"/>
      <c r="D103" s="34"/>
      <c r="F103"/>
    </row>
    <row r="104" spans="1:6" x14ac:dyDescent="0.25">
      <c r="A104"/>
      <c r="B104" s="34"/>
      <c r="D104" s="34"/>
      <c r="F104"/>
    </row>
    <row r="105" spans="1:6" x14ac:dyDescent="0.25">
      <c r="A105"/>
      <c r="B105" s="34"/>
      <c r="D105" s="34"/>
      <c r="F105"/>
    </row>
    <row r="106" spans="1:6" x14ac:dyDescent="0.25">
      <c r="A106"/>
      <c r="B106" s="34"/>
      <c r="D106" s="34"/>
      <c r="F106"/>
    </row>
    <row r="107" spans="1:6" x14ac:dyDescent="0.25">
      <c r="A107"/>
      <c r="B107" s="34"/>
      <c r="D107" s="34"/>
      <c r="F107"/>
    </row>
    <row r="108" spans="1:6" x14ac:dyDescent="0.25">
      <c r="A108"/>
      <c r="B108" s="34"/>
      <c r="D108" s="34"/>
      <c r="F108"/>
    </row>
    <row r="109" spans="1:6" x14ac:dyDescent="0.25">
      <c r="A109"/>
      <c r="B109" s="34"/>
      <c r="D109" s="34"/>
      <c r="F109"/>
    </row>
    <row r="110" spans="1:6" x14ac:dyDescent="0.25">
      <c r="A110"/>
      <c r="B110" s="34"/>
      <c r="D110" s="34"/>
      <c r="F110"/>
    </row>
    <row r="111" spans="1:6" x14ac:dyDescent="0.25">
      <c r="A111"/>
      <c r="B111" s="34"/>
      <c r="D111" s="34"/>
      <c r="F111"/>
    </row>
    <row r="112" spans="1:6" x14ac:dyDescent="0.25">
      <c r="A112"/>
      <c r="B112" s="34"/>
      <c r="D112" s="34"/>
      <c r="E112"/>
      <c r="F112"/>
    </row>
    <row r="113" spans="1:6" x14ac:dyDescent="0.25">
      <c r="A113"/>
      <c r="B113" s="34"/>
      <c r="D113" s="34"/>
      <c r="E113"/>
      <c r="F113"/>
    </row>
    <row r="114" spans="1:6" x14ac:dyDescent="0.25">
      <c r="A114"/>
      <c r="B114" s="34"/>
      <c r="D114" s="34"/>
      <c r="E114"/>
      <c r="F114"/>
    </row>
    <row r="115" spans="1:6" x14ac:dyDescent="0.25">
      <c r="A115"/>
      <c r="B115" s="34"/>
      <c r="D115" s="34"/>
      <c r="E115"/>
      <c r="F115"/>
    </row>
    <row r="116" spans="1:6" x14ac:dyDescent="0.25">
      <c r="A116"/>
      <c r="B116" s="34"/>
      <c r="D116" s="34"/>
      <c r="E116"/>
      <c r="F116"/>
    </row>
    <row r="117" spans="1:6" x14ac:dyDescent="0.25">
      <c r="A117"/>
      <c r="B117" s="34"/>
      <c r="D117" s="34"/>
      <c r="E117"/>
      <c r="F117"/>
    </row>
    <row r="118" spans="1:6" x14ac:dyDescent="0.25">
      <c r="B118" s="34"/>
      <c r="D118" s="34"/>
      <c r="E118"/>
    </row>
    <row r="119" spans="1:6" x14ac:dyDescent="0.25">
      <c r="B119" s="34"/>
      <c r="D119" s="34"/>
      <c r="E119"/>
    </row>
    <row r="120" spans="1:6" x14ac:dyDescent="0.25">
      <c r="B120" s="34"/>
      <c r="D120" s="34"/>
      <c r="E120"/>
    </row>
    <row r="121" spans="1:6" x14ac:dyDescent="0.25">
      <c r="B121" s="34"/>
      <c r="D121" s="34"/>
      <c r="E121"/>
    </row>
    <row r="122" spans="1:6" x14ac:dyDescent="0.25">
      <c r="B122" s="34"/>
      <c r="D122" s="34"/>
      <c r="E122"/>
    </row>
    <row r="123" spans="1:6" x14ac:dyDescent="0.25">
      <c r="B123" s="34"/>
      <c r="D123" s="34"/>
      <c r="E123"/>
    </row>
    <row r="124" spans="1:6" x14ac:dyDescent="0.25">
      <c r="B124" s="34"/>
      <c r="D124" s="34"/>
      <c r="E124"/>
    </row>
    <row r="125" spans="1:6" x14ac:dyDescent="0.25">
      <c r="B125" s="34"/>
      <c r="D125" s="34"/>
      <c r="E125"/>
    </row>
    <row r="126" spans="1:6" x14ac:dyDescent="0.25">
      <c r="B126" s="34"/>
      <c r="D126" s="34"/>
      <c r="E126"/>
    </row>
    <row r="127" spans="1:6" x14ac:dyDescent="0.25">
      <c r="B127" s="34"/>
    </row>
    <row r="128" spans="1:6" x14ac:dyDescent="0.25">
      <c r="B128" s="34"/>
    </row>
    <row r="129" spans="2:4" x14ac:dyDescent="0.25">
      <c r="B129" s="34"/>
      <c r="D129" s="34"/>
    </row>
    <row r="130" spans="2:4" x14ac:dyDescent="0.25">
      <c r="B130" s="34"/>
    </row>
    <row r="131" spans="2:4" x14ac:dyDescent="0.25">
      <c r="B131" s="34"/>
    </row>
    <row r="132" spans="2:4" x14ac:dyDescent="0.25">
      <c r="B132" s="34"/>
    </row>
    <row r="133" spans="2:4" ht="18.75" x14ac:dyDescent="0.3">
      <c r="C133" s="126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AG97"/>
  <sheetViews>
    <sheetView tabSelected="1" topLeftCell="A10" workbookViewId="0">
      <selection activeCell="S23" sqref="S23"/>
    </sheetView>
  </sheetViews>
  <sheetFormatPr baseColWidth="10" defaultRowHeight="15.75" x14ac:dyDescent="0.25"/>
  <cols>
    <col min="1" max="1" width="2.5703125" customWidth="1"/>
    <col min="2" max="2" width="12.42578125" style="1" customWidth="1"/>
    <col min="3" max="3" width="16.42578125" style="9" customWidth="1"/>
    <col min="4" max="4" width="15.28515625" customWidth="1"/>
    <col min="6" max="6" width="17.85546875" style="9" customWidth="1"/>
    <col min="7" max="7" width="2.85546875" customWidth="1"/>
    <col min="9" max="9" width="14.140625" style="9" customWidth="1"/>
    <col min="10" max="10" width="11.7109375" style="443" customWidth="1"/>
    <col min="11" max="11" width="14.42578125" customWidth="1"/>
    <col min="12" max="12" width="14.5703125" style="8" customWidth="1"/>
    <col min="13" max="13" width="18.140625" style="9" customWidth="1"/>
    <col min="14" max="14" width="16.140625" style="4" customWidth="1"/>
    <col min="15" max="15" width="11.42578125" style="366" customWidth="1"/>
    <col min="16" max="16" width="20" style="6" customWidth="1"/>
    <col min="17" max="17" width="15.85546875" style="6" customWidth="1"/>
    <col min="18" max="18" width="15.5703125" style="6" bestFit="1" customWidth="1"/>
    <col min="19" max="19" width="18.7109375" style="6" customWidth="1"/>
    <col min="20" max="20" width="11.5703125" style="6" bestFit="1" customWidth="1"/>
    <col min="21" max="21" width="15.5703125" style="7" bestFit="1" customWidth="1"/>
    <col min="23" max="24" width="11.42578125" style="204"/>
    <col min="25" max="25" width="11.42578125" style="8"/>
    <col min="28" max="28" width="15" style="13" customWidth="1"/>
    <col min="29" max="29" width="22.7109375" style="321" customWidth="1"/>
    <col min="30" max="30" width="6.28515625" style="321" customWidth="1"/>
    <col min="31" max="31" width="11.140625" style="321" customWidth="1"/>
    <col min="32" max="32" width="12.85546875" style="321" customWidth="1"/>
    <col min="33" max="33" width="22.7109375" style="321" customWidth="1"/>
  </cols>
  <sheetData>
    <row r="1" spans="1:33" ht="20.25" customHeight="1" thickBot="1" x14ac:dyDescent="0.4">
      <c r="B1" s="583" t="s">
        <v>529</v>
      </c>
      <c r="C1" s="540" t="s">
        <v>836</v>
      </c>
      <c r="D1" s="540"/>
      <c r="E1" s="540"/>
      <c r="F1" s="540"/>
      <c r="G1" s="540"/>
      <c r="H1" s="540"/>
      <c r="I1" s="540"/>
      <c r="J1" s="540"/>
      <c r="K1" s="540"/>
      <c r="L1" s="2"/>
      <c r="M1" s="3"/>
      <c r="W1" s="209"/>
      <c r="X1" s="527" t="s">
        <v>52</v>
      </c>
      <c r="Y1" s="206"/>
    </row>
    <row r="2" spans="1:33" ht="15" customHeight="1" thickBot="1" x14ac:dyDescent="0.3">
      <c r="B2" s="584"/>
      <c r="C2" s="8"/>
      <c r="H2" s="10" t="s">
        <v>0</v>
      </c>
      <c r="I2" s="3"/>
      <c r="J2" s="442"/>
      <c r="L2" s="12"/>
      <c r="M2" s="3"/>
      <c r="N2" s="6"/>
      <c r="W2" s="214" t="s">
        <v>53</v>
      </c>
      <c r="X2" s="215" t="s">
        <v>5</v>
      </c>
      <c r="Y2" s="216" t="s">
        <v>28</v>
      </c>
      <c r="AB2" s="596" t="s">
        <v>596</v>
      </c>
      <c r="AC2" s="596"/>
      <c r="AD2" s="596"/>
      <c r="AE2" s="596"/>
      <c r="AF2" s="596"/>
      <c r="AG2" s="596"/>
    </row>
    <row r="3" spans="1:33" ht="18" customHeight="1" thickBot="1" x14ac:dyDescent="0.35">
      <c r="B3" s="541" t="s">
        <v>1</v>
      </c>
      <c r="C3" s="542"/>
      <c r="D3" s="14"/>
      <c r="E3" s="15"/>
      <c r="F3" s="15"/>
      <c r="H3" s="543" t="s">
        <v>2</v>
      </c>
      <c r="I3" s="543"/>
      <c r="K3" s="17" t="s">
        <v>3</v>
      </c>
      <c r="L3" s="17" t="s">
        <v>4</v>
      </c>
      <c r="M3" s="18"/>
      <c r="P3" s="634" t="s">
        <v>663</v>
      </c>
      <c r="Q3" s="636" t="s">
        <v>665</v>
      </c>
      <c r="S3" s="637" t="s">
        <v>868</v>
      </c>
      <c r="W3" s="213" t="s">
        <v>54</v>
      </c>
      <c r="X3" s="219">
        <v>44201</v>
      </c>
      <c r="Y3" s="198">
        <v>2000</v>
      </c>
      <c r="AB3" s="596"/>
      <c r="AC3" s="596"/>
      <c r="AD3" s="596"/>
      <c r="AE3" s="596"/>
      <c r="AF3" s="596"/>
      <c r="AG3" s="596"/>
    </row>
    <row r="4" spans="1:33" ht="20.25" thickTop="1" thickBot="1" x14ac:dyDescent="0.35">
      <c r="A4" s="20" t="s">
        <v>6</v>
      </c>
      <c r="B4" s="21"/>
      <c r="C4" s="22">
        <v>365611.59</v>
      </c>
      <c r="D4" s="23">
        <v>44439</v>
      </c>
      <c r="E4" s="544" t="s">
        <v>7</v>
      </c>
      <c r="F4" s="545"/>
      <c r="H4" s="635" t="s">
        <v>8</v>
      </c>
      <c r="I4" s="547"/>
      <c r="J4" s="24"/>
      <c r="K4" s="25"/>
      <c r="L4" s="26"/>
      <c r="M4" s="27" t="s">
        <v>716</v>
      </c>
      <c r="N4" s="28" t="s">
        <v>11</v>
      </c>
      <c r="O4" s="99"/>
      <c r="P4" s="634"/>
      <c r="Q4" s="636"/>
      <c r="R4" s="30"/>
      <c r="S4" s="637"/>
      <c r="T4" s="30"/>
      <c r="U4" s="30"/>
      <c r="W4" s="213" t="s">
        <v>55</v>
      </c>
      <c r="X4" s="219">
        <v>44209</v>
      </c>
      <c r="Y4" s="217">
        <v>2000</v>
      </c>
      <c r="AB4" s="597" t="s">
        <v>527</v>
      </c>
      <c r="AC4" s="598"/>
      <c r="AD4" s="99"/>
      <c r="AE4" s="599" t="s">
        <v>567</v>
      </c>
      <c r="AF4" s="599"/>
      <c r="AG4" s="599"/>
    </row>
    <row r="5" spans="1:33" ht="18" thickBot="1" x14ac:dyDescent="0.35">
      <c r="A5" s="34" t="s">
        <v>11</v>
      </c>
      <c r="B5" s="134">
        <v>44440</v>
      </c>
      <c r="C5" s="36">
        <v>12151</v>
      </c>
      <c r="D5" s="135" t="s">
        <v>867</v>
      </c>
      <c r="E5" s="136">
        <v>44440</v>
      </c>
      <c r="F5" s="37">
        <v>88272</v>
      </c>
      <c r="G5" s="137"/>
      <c r="H5" s="441">
        <v>44440</v>
      </c>
      <c r="I5" s="38">
        <v>863</v>
      </c>
      <c r="J5" s="442"/>
      <c r="K5" s="157"/>
      <c r="L5" s="6"/>
      <c r="M5" s="444">
        <v>71361</v>
      </c>
      <c r="N5" s="334">
        <v>5514</v>
      </c>
      <c r="O5" s="491"/>
      <c r="P5" s="389">
        <v>1617</v>
      </c>
      <c r="Q5" s="446">
        <v>0</v>
      </c>
      <c r="R5" s="7">
        <f>C5+I5+M5+N5+L5</f>
        <v>89889</v>
      </c>
      <c r="S5" s="201">
        <f t="shared" ref="S5:S35" si="0">R5-F5</f>
        <v>1617</v>
      </c>
      <c r="T5" s="7"/>
      <c r="W5" s="213" t="s">
        <v>56</v>
      </c>
      <c r="X5" s="220">
        <v>44216</v>
      </c>
      <c r="Y5" s="218">
        <v>2000</v>
      </c>
      <c r="AB5" s="347">
        <v>44354</v>
      </c>
      <c r="AC5" s="348">
        <v>79419</v>
      </c>
      <c r="AD5" s="99"/>
      <c r="AE5" s="99"/>
      <c r="AF5" s="99"/>
      <c r="AG5" s="99"/>
    </row>
    <row r="6" spans="1:33" ht="18" thickBot="1" x14ac:dyDescent="0.35">
      <c r="A6" s="34"/>
      <c r="B6" s="134">
        <v>44441</v>
      </c>
      <c r="C6" s="36">
        <v>10925</v>
      </c>
      <c r="D6" s="139" t="s">
        <v>869</v>
      </c>
      <c r="E6" s="136">
        <v>44441</v>
      </c>
      <c r="F6" s="37">
        <v>85722</v>
      </c>
      <c r="G6" s="137"/>
      <c r="H6" s="138">
        <v>44441</v>
      </c>
      <c r="I6" s="38">
        <v>495</v>
      </c>
      <c r="J6" s="52"/>
      <c r="K6" s="151"/>
      <c r="L6" s="46"/>
      <c r="M6" s="444">
        <v>76120</v>
      </c>
      <c r="N6" s="334">
        <v>3711</v>
      </c>
      <c r="O6" s="491"/>
      <c r="P6" s="389">
        <v>5529</v>
      </c>
      <c r="Q6" s="447">
        <v>0</v>
      </c>
      <c r="R6" s="7">
        <f>C6+I6+M6+N6+L6</f>
        <v>91251</v>
      </c>
      <c r="S6" s="201">
        <f t="shared" si="0"/>
        <v>5529</v>
      </c>
      <c r="T6" s="48"/>
      <c r="W6" s="213" t="s">
        <v>57</v>
      </c>
      <c r="X6" s="220">
        <v>44222</v>
      </c>
      <c r="Y6" s="218">
        <v>2000</v>
      </c>
      <c r="AB6" s="349">
        <v>44355</v>
      </c>
      <c r="AC6" s="350">
        <v>122143</v>
      </c>
      <c r="AD6" s="99"/>
      <c r="AE6" s="343" t="s">
        <v>566</v>
      </c>
      <c r="AF6" s="299">
        <v>44356</v>
      </c>
      <c r="AG6" s="344">
        <v>120000</v>
      </c>
    </row>
    <row r="7" spans="1:33" ht="18" thickBot="1" x14ac:dyDescent="0.35">
      <c r="A7" s="34"/>
      <c r="B7" s="134">
        <v>44442</v>
      </c>
      <c r="C7" s="36">
        <v>11325.79</v>
      </c>
      <c r="D7" s="140" t="s">
        <v>870</v>
      </c>
      <c r="E7" s="136">
        <v>44442</v>
      </c>
      <c r="F7" s="37">
        <v>159846</v>
      </c>
      <c r="G7" s="137"/>
      <c r="H7" s="138">
        <v>44442</v>
      </c>
      <c r="I7" s="38">
        <v>590</v>
      </c>
      <c r="J7" s="52">
        <v>44442</v>
      </c>
      <c r="K7" s="509" t="s">
        <v>871</v>
      </c>
      <c r="L7" s="46">
        <v>20000</v>
      </c>
      <c r="M7" s="444">
        <v>117690</v>
      </c>
      <c r="N7" s="334">
        <v>10240</v>
      </c>
      <c r="O7" s="491"/>
      <c r="P7" s="389">
        <v>0</v>
      </c>
      <c r="Q7" s="447">
        <v>0</v>
      </c>
      <c r="R7" s="7">
        <f>C7+I7+M7+N7+L7</f>
        <v>159845.79</v>
      </c>
      <c r="S7" s="6">
        <f t="shared" si="0"/>
        <v>-0.20999999999185093</v>
      </c>
      <c r="T7" s="50" t="s">
        <v>11</v>
      </c>
      <c r="W7" s="213" t="s">
        <v>58</v>
      </c>
      <c r="X7" s="220">
        <v>44230</v>
      </c>
      <c r="Y7" s="218">
        <v>2000</v>
      </c>
      <c r="AB7" s="349">
        <v>44356</v>
      </c>
      <c r="AC7" s="350">
        <v>84241</v>
      </c>
      <c r="AD7" s="99"/>
      <c r="AE7" s="343" t="s">
        <v>566</v>
      </c>
      <c r="AF7" s="299">
        <v>44357</v>
      </c>
      <c r="AG7" s="344">
        <v>75440</v>
      </c>
    </row>
    <row r="8" spans="1:33" ht="18" thickBot="1" x14ac:dyDescent="0.35">
      <c r="A8" s="34"/>
      <c r="B8" s="134">
        <v>44443</v>
      </c>
      <c r="C8" s="36">
        <v>4195</v>
      </c>
      <c r="D8" s="141" t="s">
        <v>872</v>
      </c>
      <c r="E8" s="136">
        <v>44443</v>
      </c>
      <c r="F8" s="37">
        <v>132263</v>
      </c>
      <c r="G8" s="137"/>
      <c r="H8" s="138">
        <v>44443</v>
      </c>
      <c r="I8" s="38">
        <v>683</v>
      </c>
      <c r="J8" s="292">
        <v>44443</v>
      </c>
      <c r="K8" s="158" t="s">
        <v>873</v>
      </c>
      <c r="L8" s="46">
        <f>24584.13+400</f>
        <v>24984.13</v>
      </c>
      <c r="M8" s="444">
        <v>98852</v>
      </c>
      <c r="N8" s="334">
        <v>10462</v>
      </c>
      <c r="O8" s="491"/>
      <c r="P8" s="389">
        <v>0</v>
      </c>
      <c r="Q8" s="447">
        <v>6913</v>
      </c>
      <c r="R8" s="7">
        <f t="shared" ref="R8:R38" si="1">C8+I8+M8+N8+L8</f>
        <v>139176.13</v>
      </c>
      <c r="S8" s="202">
        <f t="shared" si="0"/>
        <v>6913.1300000000047</v>
      </c>
      <c r="T8" s="58"/>
      <c r="W8" s="213" t="s">
        <v>59</v>
      </c>
      <c r="X8" s="220">
        <v>44239</v>
      </c>
      <c r="Y8" s="218">
        <v>2000</v>
      </c>
      <c r="AB8" s="349">
        <v>44357</v>
      </c>
      <c r="AC8" s="350">
        <v>121552</v>
      </c>
      <c r="AD8" s="99"/>
      <c r="AE8" s="343" t="s">
        <v>566</v>
      </c>
      <c r="AF8" s="299">
        <v>44368</v>
      </c>
      <c r="AG8" s="344">
        <v>120000</v>
      </c>
    </row>
    <row r="9" spans="1:33" ht="18" thickBot="1" x14ac:dyDescent="0.35">
      <c r="A9" s="34"/>
      <c r="B9" s="134">
        <v>44444</v>
      </c>
      <c r="C9" s="36">
        <f>16396+80</f>
        <v>16476</v>
      </c>
      <c r="D9" s="141" t="s">
        <v>874</v>
      </c>
      <c r="E9" s="136">
        <v>44444</v>
      </c>
      <c r="F9" s="37">
        <v>151604</v>
      </c>
      <c r="G9" s="137"/>
      <c r="H9" s="138">
        <v>44444</v>
      </c>
      <c r="I9" s="38">
        <v>700</v>
      </c>
      <c r="J9" s="52"/>
      <c r="K9" s="159"/>
      <c r="L9" s="46"/>
      <c r="M9" s="444">
        <v>124399</v>
      </c>
      <c r="N9" s="334">
        <v>10029</v>
      </c>
      <c r="O9" s="491"/>
      <c r="P9" s="389">
        <v>0</v>
      </c>
      <c r="Q9" s="447">
        <v>0</v>
      </c>
      <c r="R9" s="7">
        <f>C9+I9+M9+N9+L9</f>
        <v>151604</v>
      </c>
      <c r="S9" s="6">
        <f t="shared" si="0"/>
        <v>0</v>
      </c>
      <c r="T9" s="48"/>
      <c r="W9" s="213" t="s">
        <v>60</v>
      </c>
      <c r="X9" s="220">
        <v>44253</v>
      </c>
      <c r="Y9" s="218">
        <v>2000</v>
      </c>
      <c r="AB9" s="349">
        <v>44358</v>
      </c>
      <c r="AC9" s="350">
        <v>177695</v>
      </c>
      <c r="AD9" s="99"/>
      <c r="AE9" s="343" t="s">
        <v>566</v>
      </c>
      <c r="AF9" s="299">
        <v>44369</v>
      </c>
      <c r="AG9" s="344">
        <v>164450</v>
      </c>
    </row>
    <row r="10" spans="1:33" ht="18" thickBot="1" x14ac:dyDescent="0.35">
      <c r="A10" s="34"/>
      <c r="B10" s="134">
        <v>44445</v>
      </c>
      <c r="C10" s="36">
        <v>1428</v>
      </c>
      <c r="D10" s="140" t="s">
        <v>875</v>
      </c>
      <c r="E10" s="136">
        <v>44445</v>
      </c>
      <c r="F10" s="37">
        <v>114440</v>
      </c>
      <c r="G10" s="137"/>
      <c r="H10" s="138">
        <v>44445</v>
      </c>
      <c r="I10" s="38">
        <v>2640</v>
      </c>
      <c r="J10" s="52">
        <v>44445</v>
      </c>
      <c r="K10" s="531" t="s">
        <v>876</v>
      </c>
      <c r="L10" s="53">
        <v>3850</v>
      </c>
      <c r="M10" s="444">
        <v>104650</v>
      </c>
      <c r="N10" s="456">
        <f>4918+60</f>
        <v>4978</v>
      </c>
      <c r="O10" s="491"/>
      <c r="P10" s="389">
        <v>3106</v>
      </c>
      <c r="Q10" s="447">
        <v>0</v>
      </c>
      <c r="R10" s="7">
        <f t="shared" si="1"/>
        <v>117546</v>
      </c>
      <c r="S10" s="201">
        <f t="shared" si="0"/>
        <v>3106</v>
      </c>
      <c r="T10" s="54"/>
      <c r="W10" s="213" t="s">
        <v>61</v>
      </c>
      <c r="X10" s="220">
        <v>44253</v>
      </c>
      <c r="Y10" s="218">
        <v>2000</v>
      </c>
      <c r="AB10" s="349">
        <v>44359</v>
      </c>
      <c r="AC10" s="350">
        <v>147683</v>
      </c>
      <c r="AD10" s="99"/>
      <c r="AE10" s="343" t="s">
        <v>566</v>
      </c>
      <c r="AF10" s="299">
        <v>44370</v>
      </c>
      <c r="AG10" s="344">
        <v>274260</v>
      </c>
    </row>
    <row r="11" spans="1:33" ht="18" thickBot="1" x14ac:dyDescent="0.35">
      <c r="A11" s="34"/>
      <c r="B11" s="134">
        <v>44446</v>
      </c>
      <c r="C11" s="36">
        <v>12110</v>
      </c>
      <c r="D11" s="139" t="s">
        <v>877</v>
      </c>
      <c r="E11" s="136">
        <v>44446</v>
      </c>
      <c r="F11" s="37">
        <v>82272</v>
      </c>
      <c r="G11" s="137"/>
      <c r="H11" s="138">
        <v>44446</v>
      </c>
      <c r="I11" s="38">
        <v>2188</v>
      </c>
      <c r="J11" s="292">
        <v>44446</v>
      </c>
      <c r="K11" s="533" t="s">
        <v>878</v>
      </c>
      <c r="L11" s="46">
        <v>8000</v>
      </c>
      <c r="M11" s="444">
        <v>50319</v>
      </c>
      <c r="N11" s="456">
        <f>9435+220</f>
        <v>9655</v>
      </c>
      <c r="O11" s="491"/>
      <c r="P11" s="389">
        <v>0</v>
      </c>
      <c r="Q11" s="447">
        <v>0</v>
      </c>
      <c r="R11" s="7">
        <f t="shared" si="1"/>
        <v>82272</v>
      </c>
      <c r="S11" s="6">
        <f t="shared" si="0"/>
        <v>0</v>
      </c>
      <c r="T11" s="48"/>
      <c r="W11" s="213" t="s">
        <v>62</v>
      </c>
      <c r="X11" s="220">
        <v>44258</v>
      </c>
      <c r="Y11" s="218">
        <v>2000</v>
      </c>
      <c r="AB11" s="349">
        <v>44360</v>
      </c>
      <c r="AC11" s="350">
        <v>88369</v>
      </c>
      <c r="AD11" s="99"/>
      <c r="AE11" s="345" t="s">
        <v>563</v>
      </c>
      <c r="AF11" s="299">
        <v>44358</v>
      </c>
      <c r="AG11" s="346">
        <v>181550</v>
      </c>
    </row>
    <row r="12" spans="1:33" ht="18" thickBot="1" x14ac:dyDescent="0.35">
      <c r="A12" s="34"/>
      <c r="B12" s="134">
        <v>44447</v>
      </c>
      <c r="C12" s="36">
        <v>8170</v>
      </c>
      <c r="D12" s="139" t="s">
        <v>879</v>
      </c>
      <c r="E12" s="136">
        <v>44447</v>
      </c>
      <c r="F12" s="37">
        <v>142225</v>
      </c>
      <c r="G12" s="137"/>
      <c r="H12" s="138">
        <v>44447</v>
      </c>
      <c r="I12" s="38">
        <v>4495</v>
      </c>
      <c r="J12" s="52"/>
      <c r="K12" s="532"/>
      <c r="L12" s="46"/>
      <c r="M12" s="444">
        <v>124239</v>
      </c>
      <c r="N12" s="334">
        <v>5321</v>
      </c>
      <c r="O12" s="491"/>
      <c r="P12" s="389">
        <v>0</v>
      </c>
      <c r="Q12" s="447">
        <v>0</v>
      </c>
      <c r="R12" s="7">
        <f>C12+M12+N12+I12</f>
        <v>142225</v>
      </c>
      <c r="S12" s="6">
        <f t="shared" si="0"/>
        <v>0</v>
      </c>
      <c r="T12" s="56"/>
      <c r="W12" s="213" t="s">
        <v>63</v>
      </c>
      <c r="X12" s="220">
        <v>44265</v>
      </c>
      <c r="Y12" s="218">
        <v>2000</v>
      </c>
      <c r="AB12" s="349">
        <v>44361</v>
      </c>
      <c r="AC12" s="350">
        <v>141097</v>
      </c>
      <c r="AD12" s="99"/>
      <c r="AE12" s="345" t="s">
        <v>563</v>
      </c>
      <c r="AF12" s="299">
        <v>44361</v>
      </c>
      <c r="AG12" s="346">
        <v>325340</v>
      </c>
    </row>
    <row r="13" spans="1:33" ht="18" thickBot="1" x14ac:dyDescent="0.35">
      <c r="A13" s="34"/>
      <c r="B13" s="134">
        <v>44448</v>
      </c>
      <c r="C13" s="36">
        <v>3518</v>
      </c>
      <c r="D13" s="141" t="s">
        <v>880</v>
      </c>
      <c r="E13" s="136">
        <v>44448</v>
      </c>
      <c r="F13" s="37">
        <v>98134</v>
      </c>
      <c r="G13" s="137"/>
      <c r="H13" s="138">
        <v>44448</v>
      </c>
      <c r="I13" s="38">
        <v>545</v>
      </c>
      <c r="J13" s="52">
        <v>44448</v>
      </c>
      <c r="K13" s="171" t="s">
        <v>881</v>
      </c>
      <c r="L13" s="46">
        <v>8000</v>
      </c>
      <c r="M13" s="444">
        <v>74741</v>
      </c>
      <c r="N13" s="334">
        <v>11330</v>
      </c>
      <c r="O13" s="491"/>
      <c r="P13" s="389">
        <v>0</v>
      </c>
      <c r="Q13" s="447">
        <v>0</v>
      </c>
      <c r="R13" s="7">
        <f>C13+I13+M13+N13+L13</f>
        <v>98134</v>
      </c>
      <c r="S13" s="6">
        <f t="shared" si="0"/>
        <v>0</v>
      </c>
      <c r="T13" s="48"/>
      <c r="W13" s="213" t="s">
        <v>64</v>
      </c>
      <c r="X13" s="220">
        <v>44272</v>
      </c>
      <c r="Y13" s="218">
        <v>2000</v>
      </c>
      <c r="AB13" s="349">
        <v>44362</v>
      </c>
      <c r="AC13" s="350">
        <v>84946</v>
      </c>
      <c r="AD13" s="99"/>
      <c r="AE13" s="345" t="s">
        <v>563</v>
      </c>
      <c r="AF13" s="299">
        <v>44362</v>
      </c>
      <c r="AG13" s="346">
        <v>82350</v>
      </c>
    </row>
    <row r="14" spans="1:33" ht="18" thickBot="1" x14ac:dyDescent="0.35">
      <c r="A14" s="34"/>
      <c r="B14" s="134">
        <v>44449</v>
      </c>
      <c r="C14" s="36">
        <v>7865</v>
      </c>
      <c r="D14" s="140" t="s">
        <v>882</v>
      </c>
      <c r="E14" s="136">
        <v>44449</v>
      </c>
      <c r="F14" s="37">
        <v>141083</v>
      </c>
      <c r="G14" s="137"/>
      <c r="H14" s="138">
        <v>44449</v>
      </c>
      <c r="I14" s="38">
        <v>999</v>
      </c>
      <c r="J14" s="52">
        <v>44449</v>
      </c>
      <c r="K14" s="171" t="s">
        <v>563</v>
      </c>
      <c r="L14" s="46">
        <v>10000</v>
      </c>
      <c r="M14" s="444">
        <v>110524</v>
      </c>
      <c r="N14" s="334">
        <v>11695</v>
      </c>
      <c r="O14" s="491"/>
      <c r="P14" s="389">
        <v>0</v>
      </c>
      <c r="Q14" s="447">
        <v>0</v>
      </c>
      <c r="R14" s="7">
        <f>C14+I14+M14+N14+L14</f>
        <v>141083</v>
      </c>
      <c r="S14" s="6">
        <f t="shared" si="0"/>
        <v>0</v>
      </c>
      <c r="T14" s="54"/>
      <c r="W14" s="213" t="s">
        <v>65</v>
      </c>
      <c r="X14" s="220">
        <v>44281</v>
      </c>
      <c r="Y14" s="218">
        <v>2000</v>
      </c>
      <c r="AB14" s="349">
        <v>44363</v>
      </c>
      <c r="AC14" s="350">
        <v>96593</v>
      </c>
      <c r="AD14" s="99"/>
      <c r="AE14" s="345" t="s">
        <v>563</v>
      </c>
      <c r="AF14" s="299">
        <v>44363</v>
      </c>
      <c r="AG14" s="346">
        <v>132090</v>
      </c>
    </row>
    <row r="15" spans="1:33" ht="18" thickBot="1" x14ac:dyDescent="0.35">
      <c r="A15" s="34"/>
      <c r="B15" s="134">
        <v>44450</v>
      </c>
      <c r="C15" s="36">
        <v>18579</v>
      </c>
      <c r="D15" s="139" t="s">
        <v>883</v>
      </c>
      <c r="E15" s="136">
        <v>44450</v>
      </c>
      <c r="F15" s="37">
        <v>162172</v>
      </c>
      <c r="G15" s="137"/>
      <c r="H15" s="138">
        <v>44450</v>
      </c>
      <c r="I15" s="38">
        <v>550</v>
      </c>
      <c r="J15" s="52">
        <v>44450</v>
      </c>
      <c r="K15" s="158" t="s">
        <v>884</v>
      </c>
      <c r="L15" s="534">
        <f>23427+400</f>
        <v>23827</v>
      </c>
      <c r="M15" s="444">
        <v>109704</v>
      </c>
      <c r="N15" s="456">
        <f>9028+349+135</f>
        <v>9512</v>
      </c>
      <c r="O15" s="491"/>
      <c r="P15" s="389">
        <v>0</v>
      </c>
      <c r="Q15" s="447">
        <v>0</v>
      </c>
      <c r="R15" s="7">
        <f t="shared" si="1"/>
        <v>162172</v>
      </c>
      <c r="S15" s="6">
        <f t="shared" si="0"/>
        <v>0</v>
      </c>
      <c r="T15" s="58"/>
      <c r="W15" s="213" t="s">
        <v>66</v>
      </c>
      <c r="X15" s="220"/>
      <c r="Y15" s="218"/>
      <c r="AB15" s="349">
        <v>44364</v>
      </c>
      <c r="AC15" s="350">
        <v>137820</v>
      </c>
      <c r="AD15" s="99"/>
      <c r="AE15" s="345" t="s">
        <v>563</v>
      </c>
      <c r="AF15" s="299">
        <v>44364</v>
      </c>
      <c r="AG15" s="346">
        <v>176440</v>
      </c>
    </row>
    <row r="16" spans="1:33" ht="18" thickBot="1" x14ac:dyDescent="0.35">
      <c r="A16" s="34"/>
      <c r="B16" s="134">
        <v>44451</v>
      </c>
      <c r="C16" s="36">
        <v>29731</v>
      </c>
      <c r="D16" s="139" t="s">
        <v>886</v>
      </c>
      <c r="E16" s="136">
        <v>44451</v>
      </c>
      <c r="F16" s="37">
        <v>143478</v>
      </c>
      <c r="G16" s="137"/>
      <c r="H16" s="138">
        <v>44451</v>
      </c>
      <c r="I16" s="38">
        <v>700</v>
      </c>
      <c r="J16" s="52"/>
      <c r="K16" s="158"/>
      <c r="L16" s="6"/>
      <c r="M16" s="444">
        <v>105634</v>
      </c>
      <c r="N16" s="334">
        <v>7413</v>
      </c>
      <c r="O16" s="491"/>
      <c r="P16" s="389">
        <v>0</v>
      </c>
      <c r="Q16" s="447">
        <v>0</v>
      </c>
      <c r="R16" s="7">
        <f t="shared" si="1"/>
        <v>143478</v>
      </c>
      <c r="S16" s="6">
        <f t="shared" si="0"/>
        <v>0</v>
      </c>
      <c r="T16" s="58"/>
      <c r="W16" s="213" t="s">
        <v>67</v>
      </c>
      <c r="X16" s="220">
        <v>44300</v>
      </c>
      <c r="Y16" s="218">
        <v>2000</v>
      </c>
      <c r="AB16" s="349">
        <v>44365</v>
      </c>
      <c r="AC16" s="350">
        <v>131648</v>
      </c>
      <c r="AD16" s="99"/>
      <c r="AE16" s="345" t="s">
        <v>563</v>
      </c>
      <c r="AF16" s="299">
        <v>44365</v>
      </c>
      <c r="AG16" s="346">
        <v>137820</v>
      </c>
    </row>
    <row r="17" spans="1:33" ht="18" thickBot="1" x14ac:dyDescent="0.35">
      <c r="A17" s="34"/>
      <c r="B17" s="134">
        <v>44452</v>
      </c>
      <c r="C17" s="36">
        <v>8641</v>
      </c>
      <c r="D17" s="141" t="s">
        <v>804</v>
      </c>
      <c r="E17" s="136">
        <v>44452</v>
      </c>
      <c r="F17" s="37">
        <v>138908</v>
      </c>
      <c r="G17" s="137"/>
      <c r="H17" s="138">
        <v>44452</v>
      </c>
      <c r="I17" s="38">
        <v>7440</v>
      </c>
      <c r="J17" s="52"/>
      <c r="K17" s="158"/>
      <c r="L17" s="53"/>
      <c r="M17" s="444">
        <v>114973</v>
      </c>
      <c r="N17" s="334">
        <v>7854</v>
      </c>
      <c r="O17" s="491"/>
      <c r="P17" s="389">
        <v>0</v>
      </c>
      <c r="Q17" s="447">
        <v>0</v>
      </c>
      <c r="R17" s="7">
        <f t="shared" si="1"/>
        <v>138908</v>
      </c>
      <c r="S17" s="6">
        <f t="shared" si="0"/>
        <v>0</v>
      </c>
      <c r="T17" s="48" t="s">
        <v>887</v>
      </c>
      <c r="W17" s="213" t="s">
        <v>68</v>
      </c>
      <c r="X17" s="220">
        <v>44300</v>
      </c>
      <c r="Y17" s="218">
        <v>2000</v>
      </c>
      <c r="AB17" s="349">
        <v>44366</v>
      </c>
      <c r="AC17" s="350">
        <v>217420</v>
      </c>
      <c r="AD17" s="99"/>
      <c r="AE17" s="345" t="s">
        <v>563</v>
      </c>
      <c r="AF17" s="299">
        <v>44371</v>
      </c>
      <c r="AG17" s="346">
        <v>81200</v>
      </c>
    </row>
    <row r="18" spans="1:33" ht="18" thickBot="1" x14ac:dyDescent="0.35">
      <c r="A18" s="34"/>
      <c r="B18" s="134">
        <v>44453</v>
      </c>
      <c r="C18" s="36">
        <v>2167.5</v>
      </c>
      <c r="D18" s="139" t="s">
        <v>888</v>
      </c>
      <c r="E18" s="136">
        <v>44453</v>
      </c>
      <c r="F18" s="37">
        <v>194262</v>
      </c>
      <c r="G18" s="137"/>
      <c r="H18" s="138">
        <v>44453</v>
      </c>
      <c r="I18" s="38">
        <v>660</v>
      </c>
      <c r="J18" s="52"/>
      <c r="K18" s="452"/>
      <c r="L18" s="46"/>
      <c r="M18" s="444">
        <v>166499.5</v>
      </c>
      <c r="N18" s="456">
        <f>24860+75</f>
        <v>24935</v>
      </c>
      <c r="O18" s="491"/>
      <c r="P18" s="389">
        <v>0</v>
      </c>
      <c r="Q18" s="447">
        <v>0</v>
      </c>
      <c r="R18" s="7">
        <f t="shared" si="1"/>
        <v>194262</v>
      </c>
      <c r="S18" s="6" t="s">
        <v>889</v>
      </c>
      <c r="T18" s="48"/>
      <c r="W18" s="213" t="s">
        <v>69</v>
      </c>
      <c r="X18" s="220">
        <v>44309</v>
      </c>
      <c r="Y18" s="218">
        <v>2000</v>
      </c>
      <c r="AB18" s="349">
        <v>44367</v>
      </c>
      <c r="AC18" s="350">
        <v>190885</v>
      </c>
      <c r="AD18" s="99"/>
      <c r="AE18" s="345" t="s">
        <v>563</v>
      </c>
      <c r="AF18" s="299">
        <v>44372</v>
      </c>
      <c r="AG18" s="346">
        <v>167190</v>
      </c>
    </row>
    <row r="19" spans="1:33" ht="18" thickBot="1" x14ac:dyDescent="0.35">
      <c r="A19" s="34"/>
      <c r="B19" s="134">
        <v>44454</v>
      </c>
      <c r="C19" s="36">
        <v>22237</v>
      </c>
      <c r="D19" s="139" t="s">
        <v>890</v>
      </c>
      <c r="E19" s="136">
        <v>44454</v>
      </c>
      <c r="F19" s="37">
        <v>209399</v>
      </c>
      <c r="G19" s="137"/>
      <c r="H19" s="138">
        <v>44454</v>
      </c>
      <c r="I19" s="38">
        <v>550</v>
      </c>
      <c r="J19" s="52"/>
      <c r="K19" s="163"/>
      <c r="L19" s="59"/>
      <c r="M19" s="444">
        <v>168182</v>
      </c>
      <c r="N19" s="456">
        <f>18355+75</f>
        <v>18430</v>
      </c>
      <c r="O19" s="491"/>
      <c r="P19" s="389">
        <v>0</v>
      </c>
      <c r="Q19" s="447">
        <v>0</v>
      </c>
      <c r="R19" s="7">
        <f t="shared" si="1"/>
        <v>209399</v>
      </c>
      <c r="S19" s="6">
        <f t="shared" si="0"/>
        <v>0</v>
      </c>
      <c r="T19" s="58"/>
      <c r="W19" s="213" t="s">
        <v>70</v>
      </c>
      <c r="X19" s="220">
        <v>44320</v>
      </c>
      <c r="Y19" s="218">
        <v>2000</v>
      </c>
      <c r="AB19" s="349">
        <v>44368</v>
      </c>
      <c r="AC19" s="350">
        <v>83398</v>
      </c>
      <c r="AD19" s="99"/>
      <c r="AE19" s="345" t="s">
        <v>563</v>
      </c>
      <c r="AF19" s="299">
        <v>44376</v>
      </c>
      <c r="AG19" s="346">
        <v>209600</v>
      </c>
    </row>
    <row r="20" spans="1:33" ht="18" thickBot="1" x14ac:dyDescent="0.35">
      <c r="A20" s="34"/>
      <c r="B20" s="134">
        <v>44455</v>
      </c>
      <c r="C20" s="36">
        <v>0</v>
      </c>
      <c r="D20" s="139"/>
      <c r="E20" s="136">
        <v>44455</v>
      </c>
      <c r="F20" s="37">
        <v>110045</v>
      </c>
      <c r="G20" s="137"/>
      <c r="H20" s="138">
        <v>44455</v>
      </c>
      <c r="I20" s="38">
        <v>590</v>
      </c>
      <c r="J20" s="52">
        <v>44455</v>
      </c>
      <c r="K20" s="164" t="s">
        <v>563</v>
      </c>
      <c r="L20" s="53">
        <v>10000</v>
      </c>
      <c r="M20" s="444">
        <v>97198</v>
      </c>
      <c r="N20" s="334">
        <v>2257</v>
      </c>
      <c r="O20" s="491"/>
      <c r="P20" s="389">
        <v>0</v>
      </c>
      <c r="Q20" s="447">
        <v>0</v>
      </c>
      <c r="R20" s="7">
        <f t="shared" si="1"/>
        <v>110045</v>
      </c>
      <c r="S20" s="6">
        <f t="shared" si="0"/>
        <v>0</v>
      </c>
      <c r="T20" s="58"/>
      <c r="W20" s="213" t="s">
        <v>71</v>
      </c>
      <c r="X20" s="220">
        <v>44320</v>
      </c>
      <c r="Y20" s="218">
        <v>2000</v>
      </c>
      <c r="AB20" s="349">
        <v>44369</v>
      </c>
      <c r="AC20" s="350">
        <v>91227</v>
      </c>
      <c r="AD20" s="99"/>
      <c r="AE20" s="345" t="s">
        <v>563</v>
      </c>
      <c r="AF20" s="299">
        <v>44378</v>
      </c>
      <c r="AG20" s="346">
        <v>75870</v>
      </c>
    </row>
    <row r="21" spans="1:33" ht="18" thickBot="1" x14ac:dyDescent="0.35">
      <c r="A21" s="34"/>
      <c r="B21" s="134">
        <v>44456</v>
      </c>
      <c r="C21" s="36">
        <v>12109</v>
      </c>
      <c r="D21" s="139" t="s">
        <v>891</v>
      </c>
      <c r="E21" s="136">
        <v>44456</v>
      </c>
      <c r="F21" s="37">
        <v>148536</v>
      </c>
      <c r="G21" s="137"/>
      <c r="H21" s="138">
        <v>44456</v>
      </c>
      <c r="I21" s="38">
        <v>2590</v>
      </c>
      <c r="J21" s="52">
        <v>44455</v>
      </c>
      <c r="K21" s="162" t="s">
        <v>892</v>
      </c>
      <c r="L21" s="53">
        <v>10000</v>
      </c>
      <c r="M21" s="444">
        <v>117332</v>
      </c>
      <c r="N21" s="334">
        <v>6505</v>
      </c>
      <c r="O21" s="491"/>
      <c r="P21" s="389">
        <v>0</v>
      </c>
      <c r="Q21" s="447">
        <v>0</v>
      </c>
      <c r="R21" s="7">
        <f>C21+I21+M21+N21+L21</f>
        <v>148536</v>
      </c>
      <c r="S21" s="6">
        <f t="shared" si="0"/>
        <v>0</v>
      </c>
      <c r="T21" s="58"/>
      <c r="W21" s="213" t="s">
        <v>72</v>
      </c>
      <c r="X21" s="220">
        <v>44330</v>
      </c>
      <c r="Y21" s="218">
        <v>2000</v>
      </c>
      <c r="AB21" s="349">
        <v>44370</v>
      </c>
      <c r="AC21" s="350">
        <v>87086</v>
      </c>
      <c r="AD21" s="99"/>
      <c r="AE21" s="345"/>
      <c r="AF21" s="299"/>
      <c r="AG21" s="346">
        <v>0</v>
      </c>
    </row>
    <row r="22" spans="1:33" ht="24" thickBot="1" x14ac:dyDescent="0.35">
      <c r="A22" s="34"/>
      <c r="B22" s="134">
        <v>44457</v>
      </c>
      <c r="C22" s="672"/>
      <c r="D22" s="673"/>
      <c r="E22" s="674">
        <v>44457</v>
      </c>
      <c r="F22" s="675">
        <v>0</v>
      </c>
      <c r="G22" s="676"/>
      <c r="H22" s="677">
        <v>44457</v>
      </c>
      <c r="I22" s="678"/>
      <c r="J22" s="52"/>
      <c r="K22" s="165"/>
      <c r="L22" s="61"/>
      <c r="M22" s="444">
        <v>0</v>
      </c>
      <c r="N22" s="334">
        <v>0</v>
      </c>
      <c r="O22" s="491"/>
      <c r="P22" s="389">
        <v>0</v>
      </c>
      <c r="Q22" s="447">
        <v>0</v>
      </c>
      <c r="R22" s="7">
        <f>C22+I22+M22+N22+L22</f>
        <v>0</v>
      </c>
      <c r="S22" s="6">
        <f t="shared" si="0"/>
        <v>0</v>
      </c>
      <c r="T22" s="58"/>
      <c r="W22" s="213" t="s">
        <v>73</v>
      </c>
      <c r="X22" s="220">
        <v>44337</v>
      </c>
      <c r="Y22" s="218">
        <v>2000</v>
      </c>
      <c r="AB22" s="349">
        <v>44371</v>
      </c>
      <c r="AC22" s="350">
        <v>80123</v>
      </c>
      <c r="AD22" s="99"/>
      <c r="AE22" s="375"/>
      <c r="AF22" s="376"/>
      <c r="AG22" s="377">
        <v>0</v>
      </c>
    </row>
    <row r="23" spans="1:33" ht="18" thickBot="1" x14ac:dyDescent="0.35">
      <c r="A23" s="34"/>
      <c r="B23" s="134">
        <v>44458</v>
      </c>
      <c r="C23" s="36">
        <v>1865</v>
      </c>
      <c r="D23" s="140" t="s">
        <v>45</v>
      </c>
      <c r="E23" s="136">
        <v>44458</v>
      </c>
      <c r="F23" s="37">
        <v>146078</v>
      </c>
      <c r="G23" s="137"/>
      <c r="H23" s="138">
        <v>44458</v>
      </c>
      <c r="I23" s="38">
        <v>780</v>
      </c>
      <c r="J23" s="293">
        <v>44457</v>
      </c>
      <c r="K23" s="279" t="s">
        <v>897</v>
      </c>
      <c r="L23" s="53">
        <f>27198.44+400</f>
        <v>27598.44</v>
      </c>
      <c r="M23" s="444">
        <v>113054.52</v>
      </c>
      <c r="N23" s="334">
        <v>9693</v>
      </c>
      <c r="O23" s="491"/>
      <c r="P23" s="389">
        <v>0</v>
      </c>
      <c r="Q23" s="447">
        <v>0</v>
      </c>
      <c r="R23" s="7">
        <f t="shared" si="1"/>
        <v>152990.96</v>
      </c>
      <c r="S23" s="202">
        <f t="shared" si="0"/>
        <v>6912.9599999999919</v>
      </c>
      <c r="T23" s="54"/>
      <c r="W23" s="213" t="s">
        <v>74</v>
      </c>
      <c r="X23" s="220">
        <v>44342</v>
      </c>
      <c r="Y23" s="218">
        <v>2000</v>
      </c>
      <c r="AB23" s="349">
        <v>44372</v>
      </c>
      <c r="AC23" s="350">
        <v>0</v>
      </c>
      <c r="AD23" s="99"/>
      <c r="AE23" s="604" t="s">
        <v>564</v>
      </c>
      <c r="AF23" s="605"/>
      <c r="AG23" s="339">
        <f>SUM(AG6:AG22)</f>
        <v>2323600</v>
      </c>
    </row>
    <row r="24" spans="1:33" ht="18" thickBot="1" x14ac:dyDescent="0.35">
      <c r="A24" s="34"/>
      <c r="B24" s="134">
        <v>44459</v>
      </c>
      <c r="C24" s="36"/>
      <c r="D24" s="139"/>
      <c r="E24" s="136">
        <v>44459</v>
      </c>
      <c r="F24" s="37"/>
      <c r="G24" s="137"/>
      <c r="H24" s="138">
        <v>44459</v>
      </c>
      <c r="I24" s="38"/>
      <c r="J24" s="294"/>
      <c r="K24" s="295"/>
      <c r="L24" s="296"/>
      <c r="M24" s="444">
        <v>0</v>
      </c>
      <c r="N24" s="334">
        <v>0</v>
      </c>
      <c r="O24" s="491"/>
      <c r="P24" s="389">
        <v>0</v>
      </c>
      <c r="Q24" s="447">
        <v>0</v>
      </c>
      <c r="R24" s="7">
        <f t="shared" si="1"/>
        <v>0</v>
      </c>
      <c r="S24" s="6">
        <f t="shared" si="0"/>
        <v>0</v>
      </c>
      <c r="T24" s="48"/>
      <c r="W24" s="213" t="s">
        <v>75</v>
      </c>
      <c r="X24" s="220"/>
      <c r="Y24" s="218"/>
      <c r="AB24" s="349">
        <v>44373</v>
      </c>
      <c r="AC24" s="350">
        <v>0</v>
      </c>
      <c r="AD24" s="99"/>
      <c r="AE24" s="47"/>
      <c r="AF24" s="323"/>
      <c r="AG24" s="99"/>
    </row>
    <row r="25" spans="1:33" ht="24" customHeight="1" thickBot="1" x14ac:dyDescent="0.35">
      <c r="A25" s="34"/>
      <c r="B25" s="134">
        <v>44460</v>
      </c>
      <c r="C25" s="36"/>
      <c r="D25" s="139"/>
      <c r="E25" s="136">
        <v>44460</v>
      </c>
      <c r="F25" s="37"/>
      <c r="G25" s="137"/>
      <c r="H25" s="138">
        <v>44460</v>
      </c>
      <c r="I25" s="38"/>
      <c r="J25" s="297"/>
      <c r="K25" s="172"/>
      <c r="L25" s="75"/>
      <c r="M25" s="444">
        <v>0</v>
      </c>
      <c r="N25" s="334">
        <v>0</v>
      </c>
      <c r="O25" s="491"/>
      <c r="P25" s="389">
        <v>0</v>
      </c>
      <c r="Q25" s="447">
        <v>0</v>
      </c>
      <c r="R25" s="7">
        <f t="shared" si="1"/>
        <v>0</v>
      </c>
      <c r="S25" s="6">
        <f t="shared" si="0"/>
        <v>0</v>
      </c>
      <c r="T25" s="48"/>
      <c r="W25" s="213" t="s">
        <v>76</v>
      </c>
      <c r="X25" s="220">
        <v>44358</v>
      </c>
      <c r="Y25" s="218">
        <v>2000</v>
      </c>
      <c r="AB25" s="349">
        <v>44374</v>
      </c>
      <c r="AC25" s="350">
        <v>138607</v>
      </c>
      <c r="AD25" s="99"/>
      <c r="AE25" s="606" t="s">
        <v>565</v>
      </c>
      <c r="AF25" s="607"/>
      <c r="AG25" s="610">
        <f>AC29-AG23</f>
        <v>163726</v>
      </c>
    </row>
    <row r="26" spans="1:33" ht="18" thickBot="1" x14ac:dyDescent="0.35">
      <c r="A26" s="34"/>
      <c r="B26" s="134">
        <v>44461</v>
      </c>
      <c r="C26" s="36"/>
      <c r="D26" s="139"/>
      <c r="E26" s="136">
        <v>44461</v>
      </c>
      <c r="F26" s="37"/>
      <c r="G26" s="137"/>
      <c r="H26" s="138">
        <v>44461</v>
      </c>
      <c r="I26" s="38"/>
      <c r="J26" s="52"/>
      <c r="K26" s="295"/>
      <c r="L26" s="53"/>
      <c r="M26" s="444">
        <v>0</v>
      </c>
      <c r="N26" s="334">
        <v>0</v>
      </c>
      <c r="O26" s="491"/>
      <c r="P26" s="389">
        <v>0</v>
      </c>
      <c r="Q26" s="447">
        <v>0</v>
      </c>
      <c r="R26" s="7">
        <f t="shared" si="1"/>
        <v>0</v>
      </c>
      <c r="S26" s="6">
        <f t="shared" si="0"/>
        <v>0</v>
      </c>
      <c r="T26" s="48"/>
      <c r="W26" s="213" t="s">
        <v>77</v>
      </c>
      <c r="X26" s="220">
        <v>44363</v>
      </c>
      <c r="Y26" s="218">
        <v>2000</v>
      </c>
      <c r="AB26" s="349">
        <v>44375</v>
      </c>
      <c r="AC26" s="350">
        <v>107480</v>
      </c>
      <c r="AD26" s="99"/>
      <c r="AE26" s="608"/>
      <c r="AF26" s="609"/>
      <c r="AG26" s="611"/>
    </row>
    <row r="27" spans="1:33" ht="21.75" customHeight="1" thickBot="1" x14ac:dyDescent="0.35">
      <c r="A27" s="34"/>
      <c r="B27" s="134">
        <v>44462</v>
      </c>
      <c r="C27" s="36"/>
      <c r="D27" s="141"/>
      <c r="E27" s="136">
        <v>44462</v>
      </c>
      <c r="F27" s="37"/>
      <c r="G27" s="137"/>
      <c r="H27" s="138">
        <v>44462</v>
      </c>
      <c r="I27" s="38"/>
      <c r="J27" s="298"/>
      <c r="K27" s="282"/>
      <c r="L27" s="75"/>
      <c r="M27" s="444">
        <v>0</v>
      </c>
      <c r="N27" s="334">
        <v>0</v>
      </c>
      <c r="O27" s="491"/>
      <c r="P27" s="389">
        <v>0</v>
      </c>
      <c r="Q27" s="447">
        <v>0</v>
      </c>
      <c r="R27" s="7">
        <f t="shared" si="1"/>
        <v>0</v>
      </c>
      <c r="S27" s="6">
        <f t="shared" si="0"/>
        <v>0</v>
      </c>
      <c r="T27" s="48"/>
      <c r="W27" s="213" t="s">
        <v>78</v>
      </c>
      <c r="X27" s="220">
        <v>44370</v>
      </c>
      <c r="Y27" s="218">
        <v>2000</v>
      </c>
      <c r="AB27" s="349">
        <v>44376</v>
      </c>
      <c r="AC27" s="350">
        <v>77894</v>
      </c>
      <c r="AD27" s="99"/>
      <c r="AE27" s="99"/>
      <c r="AF27" s="99"/>
      <c r="AG27" s="99"/>
    </row>
    <row r="28" spans="1:33" ht="18" thickBot="1" x14ac:dyDescent="0.35">
      <c r="A28" s="34"/>
      <c r="B28" s="134">
        <v>44463</v>
      </c>
      <c r="C28" s="36"/>
      <c r="D28" s="141"/>
      <c r="E28" s="136">
        <v>44463</v>
      </c>
      <c r="F28" s="37"/>
      <c r="G28" s="137"/>
      <c r="H28" s="138">
        <v>44463</v>
      </c>
      <c r="I28" s="38"/>
      <c r="J28" s="299"/>
      <c r="K28" s="151"/>
      <c r="L28" s="75"/>
      <c r="M28" s="444">
        <v>0</v>
      </c>
      <c r="N28" s="334">
        <v>0</v>
      </c>
      <c r="O28" s="491"/>
      <c r="P28" s="389">
        <v>0</v>
      </c>
      <c r="Q28" s="447">
        <v>0</v>
      </c>
      <c r="R28" s="7">
        <f t="shared" si="1"/>
        <v>0</v>
      </c>
      <c r="S28" s="6">
        <f t="shared" si="0"/>
        <v>0</v>
      </c>
      <c r="T28" s="48"/>
      <c r="W28" s="213" t="s">
        <v>79</v>
      </c>
      <c r="X28" s="220"/>
      <c r="Y28" s="218"/>
      <c r="AB28" s="351">
        <v>44377</v>
      </c>
      <c r="AC28" s="352">
        <v>0</v>
      </c>
      <c r="AD28" s="99"/>
      <c r="AE28" s="99"/>
      <c r="AF28" s="99"/>
      <c r="AG28" s="99"/>
    </row>
    <row r="29" spans="1:33" ht="15.75" customHeight="1" thickBot="1" x14ac:dyDescent="0.35">
      <c r="A29" s="34"/>
      <c r="B29" s="134">
        <v>44464</v>
      </c>
      <c r="C29" s="36"/>
      <c r="D29" s="143"/>
      <c r="E29" s="136">
        <v>44464</v>
      </c>
      <c r="F29" s="37"/>
      <c r="G29" s="137"/>
      <c r="H29" s="138">
        <v>44464</v>
      </c>
      <c r="I29" s="38"/>
      <c r="J29" s="300"/>
      <c r="K29" s="169"/>
      <c r="L29" s="75"/>
      <c r="M29" s="444">
        <v>0</v>
      </c>
      <c r="N29" s="334">
        <v>0</v>
      </c>
      <c r="O29" s="491"/>
      <c r="P29" s="389">
        <v>0</v>
      </c>
      <c r="Q29" s="447">
        <v>0</v>
      </c>
      <c r="R29" s="7">
        <f t="shared" si="1"/>
        <v>0</v>
      </c>
      <c r="S29" s="6">
        <f t="shared" si="0"/>
        <v>0</v>
      </c>
      <c r="T29" s="58"/>
      <c r="W29" s="213" t="s">
        <v>80</v>
      </c>
      <c r="X29" s="220"/>
      <c r="Y29" s="218"/>
      <c r="AB29" s="600" t="s">
        <v>562</v>
      </c>
      <c r="AC29" s="602">
        <f>SUM(AC5:AC28)</f>
        <v>2487326</v>
      </c>
      <c r="AD29" s="340"/>
      <c r="AE29" s="340"/>
      <c r="AF29" s="340"/>
      <c r="AG29" s="340"/>
    </row>
    <row r="30" spans="1:33" ht="18" thickBot="1" x14ac:dyDescent="0.35">
      <c r="A30" s="34"/>
      <c r="B30" s="134">
        <v>44465</v>
      </c>
      <c r="C30" s="36"/>
      <c r="D30" s="143"/>
      <c r="E30" s="136">
        <v>44465</v>
      </c>
      <c r="F30" s="37"/>
      <c r="G30" s="137"/>
      <c r="H30" s="138">
        <v>44465</v>
      </c>
      <c r="I30" s="38"/>
      <c r="J30" s="233"/>
      <c r="K30" s="356"/>
      <c r="L30" s="357"/>
      <c r="M30" s="444">
        <v>0</v>
      </c>
      <c r="N30" s="334">
        <v>0</v>
      </c>
      <c r="O30" s="491"/>
      <c r="P30" s="389">
        <v>0</v>
      </c>
      <c r="Q30" s="447">
        <v>0</v>
      </c>
      <c r="R30" s="7">
        <f t="shared" si="1"/>
        <v>0</v>
      </c>
      <c r="S30" s="6">
        <f t="shared" si="0"/>
        <v>0</v>
      </c>
      <c r="T30" s="48"/>
      <c r="W30" s="213" t="s">
        <v>81</v>
      </c>
      <c r="X30" s="221"/>
      <c r="Y30" s="207"/>
      <c r="AB30" s="601"/>
      <c r="AC30" s="603"/>
      <c r="AD30" s="99"/>
      <c r="AE30" s="99"/>
      <c r="AF30" s="99"/>
      <c r="AG30" s="99"/>
    </row>
    <row r="31" spans="1:33" ht="18" thickBot="1" x14ac:dyDescent="0.35">
      <c r="A31" s="34"/>
      <c r="B31" s="134">
        <v>44466</v>
      </c>
      <c r="C31" s="36"/>
      <c r="D31" s="266"/>
      <c r="E31" s="136">
        <v>44466</v>
      </c>
      <c r="F31" s="37"/>
      <c r="G31" s="137"/>
      <c r="H31" s="138">
        <v>44466</v>
      </c>
      <c r="I31" s="38"/>
      <c r="J31" s="233"/>
      <c r="K31" s="144"/>
      <c r="L31" s="66"/>
      <c r="M31" s="444">
        <v>0</v>
      </c>
      <c r="N31" s="334">
        <v>0</v>
      </c>
      <c r="O31" s="491"/>
      <c r="P31" s="7"/>
      <c r="Q31" s="447">
        <v>0</v>
      </c>
      <c r="R31" s="7">
        <f t="shared" si="1"/>
        <v>0</v>
      </c>
      <c r="S31" s="6">
        <f t="shared" si="0"/>
        <v>0</v>
      </c>
      <c r="T31" s="48"/>
      <c r="W31" s="213" t="s">
        <v>82</v>
      </c>
      <c r="X31" s="221"/>
      <c r="Y31" s="207"/>
      <c r="AB31" s="323"/>
      <c r="AC31" s="99"/>
      <c r="AD31" s="99"/>
      <c r="AE31" s="99"/>
      <c r="AF31" s="99"/>
      <c r="AG31" s="99"/>
    </row>
    <row r="32" spans="1:33" ht="18" thickBot="1" x14ac:dyDescent="0.35">
      <c r="A32" s="34"/>
      <c r="B32" s="134">
        <v>44467</v>
      </c>
      <c r="C32" s="36"/>
      <c r="D32" s="453"/>
      <c r="E32" s="136">
        <v>44467</v>
      </c>
      <c r="F32" s="37"/>
      <c r="G32" s="137"/>
      <c r="H32" s="138">
        <v>44467</v>
      </c>
      <c r="I32" s="38"/>
      <c r="J32" s="233"/>
      <c r="K32" s="511"/>
      <c r="L32" s="357"/>
      <c r="M32" s="444">
        <v>0</v>
      </c>
      <c r="N32" s="334">
        <v>0</v>
      </c>
      <c r="O32" s="491"/>
      <c r="P32" s="7" t="s">
        <v>11</v>
      </c>
      <c r="Q32" s="447">
        <v>0</v>
      </c>
      <c r="R32" s="7">
        <f t="shared" si="1"/>
        <v>0</v>
      </c>
      <c r="S32" s="6">
        <f t="shared" si="0"/>
        <v>0</v>
      </c>
      <c r="T32" s="48" t="s">
        <v>808</v>
      </c>
      <c r="W32" s="213" t="s">
        <v>83</v>
      </c>
      <c r="X32" s="221"/>
      <c r="Y32" s="207"/>
      <c r="AD32" s="99"/>
      <c r="AE32" s="99"/>
      <c r="AF32" s="99"/>
      <c r="AG32" s="99"/>
    </row>
    <row r="33" spans="1:33" ht="18" thickBot="1" x14ac:dyDescent="0.35">
      <c r="A33" s="34"/>
      <c r="B33" s="134">
        <v>44468</v>
      </c>
      <c r="C33" s="36">
        <v>0</v>
      </c>
      <c r="D33" s="266"/>
      <c r="E33" s="136">
        <v>44468</v>
      </c>
      <c r="F33" s="37">
        <v>0</v>
      </c>
      <c r="G33" s="137"/>
      <c r="H33" s="138">
        <v>44468</v>
      </c>
      <c r="I33" s="38">
        <v>0</v>
      </c>
      <c r="J33" s="233"/>
      <c r="K33" s="144"/>
      <c r="L33" s="358"/>
      <c r="M33" s="444">
        <v>0</v>
      </c>
      <c r="N33" s="334">
        <v>0</v>
      </c>
      <c r="O33" s="392"/>
      <c r="P33" s="7"/>
      <c r="Q33" s="447">
        <v>0</v>
      </c>
      <c r="R33" s="7">
        <f t="shared" si="1"/>
        <v>0</v>
      </c>
      <c r="S33" s="6">
        <f t="shared" si="0"/>
        <v>0</v>
      </c>
      <c r="T33" s="48"/>
      <c r="W33" s="213" t="s">
        <v>84</v>
      </c>
      <c r="X33" s="221"/>
      <c r="Y33" s="207"/>
      <c r="AC33" s="386" t="s">
        <v>601</v>
      </c>
      <c r="AD33" s="387"/>
      <c r="AE33" s="387"/>
      <c r="AG33" s="387">
        <v>10815.4</v>
      </c>
    </row>
    <row r="34" spans="1:33" ht="18" thickBot="1" x14ac:dyDescent="0.35">
      <c r="A34" s="34"/>
      <c r="B34" s="134">
        <v>44469</v>
      </c>
      <c r="C34" s="36">
        <v>0</v>
      </c>
      <c r="D34" s="453"/>
      <c r="E34" s="136">
        <v>44469</v>
      </c>
      <c r="F34" s="37">
        <v>0</v>
      </c>
      <c r="G34" s="137"/>
      <c r="H34" s="138">
        <v>44469</v>
      </c>
      <c r="I34" s="38">
        <v>0</v>
      </c>
      <c r="J34" s="299"/>
      <c r="K34" s="510"/>
      <c r="L34" s="6"/>
      <c r="M34" s="444">
        <v>0</v>
      </c>
      <c r="N34" s="42">
        <v>0</v>
      </c>
      <c r="O34" s="392"/>
      <c r="P34" s="7"/>
      <c r="Q34" s="447">
        <v>0</v>
      </c>
      <c r="R34" s="7">
        <f t="shared" si="1"/>
        <v>0</v>
      </c>
      <c r="S34" s="6">
        <f t="shared" si="0"/>
        <v>0</v>
      </c>
      <c r="T34" s="48"/>
      <c r="W34" s="213" t="s">
        <v>85</v>
      </c>
      <c r="X34" s="221"/>
      <c r="Y34" s="207"/>
      <c r="AC34" s="388" t="s">
        <v>602</v>
      </c>
      <c r="AD34" s="99"/>
      <c r="AE34" s="99"/>
      <c r="AG34" s="99">
        <v>26563.26</v>
      </c>
    </row>
    <row r="35" spans="1:33" ht="18" thickBot="1" x14ac:dyDescent="0.35">
      <c r="A35" s="34"/>
      <c r="B35" s="134"/>
      <c r="C35" s="36"/>
      <c r="D35" s="267"/>
      <c r="E35" s="136"/>
      <c r="F35" s="37"/>
      <c r="G35" s="137"/>
      <c r="H35" s="138"/>
      <c r="I35" s="38">
        <v>0</v>
      </c>
      <c r="J35" s="299"/>
      <c r="K35" s="172"/>
      <c r="L35" s="71"/>
      <c r="M35" s="444">
        <v>0</v>
      </c>
      <c r="N35" s="42">
        <v>0</v>
      </c>
      <c r="O35" s="392"/>
      <c r="P35" s="7"/>
      <c r="Q35" s="447">
        <v>0</v>
      </c>
      <c r="R35" s="7">
        <f t="shared" si="1"/>
        <v>0</v>
      </c>
      <c r="S35" s="6">
        <f t="shared" si="0"/>
        <v>0</v>
      </c>
      <c r="T35" s="48"/>
      <c r="W35" s="213" t="s">
        <v>86</v>
      </c>
      <c r="X35" s="221"/>
      <c r="Y35" s="207"/>
      <c r="AC35" s="385"/>
      <c r="AD35" s="99"/>
      <c r="AE35" s="99"/>
      <c r="AG35" s="99"/>
    </row>
    <row r="36" spans="1:33" ht="15" customHeight="1" thickBot="1" x14ac:dyDescent="0.35">
      <c r="A36" s="34"/>
      <c r="B36" s="146"/>
      <c r="C36" s="71"/>
      <c r="D36" s="242"/>
      <c r="E36" s="136"/>
      <c r="F36" s="37"/>
      <c r="G36" s="137"/>
      <c r="H36" s="138"/>
      <c r="I36" s="38">
        <v>0</v>
      </c>
      <c r="J36" s="299"/>
      <c r="K36" s="243"/>
      <c r="L36" s="6"/>
      <c r="M36" s="444">
        <v>0</v>
      </c>
      <c r="N36" s="42">
        <v>0</v>
      </c>
      <c r="O36" s="392"/>
      <c r="P36" s="7"/>
      <c r="Q36" s="447">
        <v>0</v>
      </c>
      <c r="R36" s="7">
        <f t="shared" si="1"/>
        <v>0</v>
      </c>
      <c r="S36" s="6">
        <v>0</v>
      </c>
      <c r="T36" s="48"/>
      <c r="W36" s="213" t="s">
        <v>87</v>
      </c>
      <c r="X36" s="221"/>
      <c r="Y36" s="207"/>
      <c r="AC36" s="388"/>
      <c r="AD36" s="99"/>
      <c r="AE36" s="99"/>
      <c r="AG36" s="99"/>
    </row>
    <row r="37" spans="1:33" ht="19.5" customHeight="1" thickBot="1" x14ac:dyDescent="0.35">
      <c r="A37" s="34"/>
      <c r="B37" s="146"/>
      <c r="C37" s="71"/>
      <c r="D37" s="242"/>
      <c r="E37" s="136"/>
      <c r="F37" s="37"/>
      <c r="G37" s="137"/>
      <c r="H37" s="138"/>
      <c r="I37" s="38">
        <v>0</v>
      </c>
      <c r="J37" s="299"/>
      <c r="K37" s="172"/>
      <c r="L37" s="71"/>
      <c r="M37" s="444">
        <v>0</v>
      </c>
      <c r="N37" s="42">
        <v>0</v>
      </c>
      <c r="O37" s="392"/>
      <c r="P37" s="7"/>
      <c r="Q37" s="449"/>
      <c r="R37" s="7">
        <f t="shared" si="1"/>
        <v>0</v>
      </c>
      <c r="S37" s="6">
        <v>0</v>
      </c>
      <c r="T37" s="48"/>
      <c r="U37" s="7" t="s">
        <v>11</v>
      </c>
      <c r="W37" s="213" t="s">
        <v>88</v>
      </c>
      <c r="X37" s="221">
        <v>44447</v>
      </c>
      <c r="Y37" s="207">
        <v>2000</v>
      </c>
      <c r="AC37" s="321" t="s">
        <v>603</v>
      </c>
      <c r="AD37" s="338"/>
      <c r="AE37" s="338"/>
      <c r="AG37" s="389">
        <v>61174.96</v>
      </c>
    </row>
    <row r="38" spans="1:33" ht="18.75" customHeight="1" thickBot="1" x14ac:dyDescent="0.35">
      <c r="A38" s="34"/>
      <c r="B38" s="146"/>
      <c r="C38" s="71"/>
      <c r="D38" s="242"/>
      <c r="E38" s="136"/>
      <c r="F38" s="37"/>
      <c r="G38" s="137"/>
      <c r="H38" s="138"/>
      <c r="I38" s="38">
        <v>0</v>
      </c>
      <c r="J38" s="299"/>
      <c r="K38" s="172"/>
      <c r="L38" s="71"/>
      <c r="M38" s="444">
        <v>0</v>
      </c>
      <c r="N38" s="42">
        <v>0</v>
      </c>
      <c r="O38" s="392"/>
      <c r="P38" s="7"/>
      <c r="Q38" s="450"/>
      <c r="R38" s="7">
        <f t="shared" si="1"/>
        <v>0</v>
      </c>
      <c r="S38" s="6">
        <v>0</v>
      </c>
      <c r="T38" s="48"/>
      <c r="W38" s="213" t="s">
        <v>89</v>
      </c>
      <c r="X38" s="221">
        <v>44447</v>
      </c>
      <c r="Y38" s="207">
        <v>2000</v>
      </c>
      <c r="AC38" s="321" t="s">
        <v>604</v>
      </c>
      <c r="AD38" s="338"/>
      <c r="AE38" s="338"/>
      <c r="AG38" s="389">
        <v>53960</v>
      </c>
    </row>
    <row r="39" spans="1:33" ht="20.25" customHeight="1" thickTop="1" thickBot="1" x14ac:dyDescent="0.35">
      <c r="A39" s="34"/>
      <c r="B39" s="512"/>
      <c r="C39" s="71"/>
      <c r="D39" s="242"/>
      <c r="E39" s="136"/>
      <c r="F39" s="239"/>
      <c r="G39" s="137"/>
      <c r="H39" s="138"/>
      <c r="I39" s="69"/>
      <c r="J39" s="299"/>
      <c r="K39" s="246"/>
      <c r="L39" s="46"/>
      <c r="M39" s="629">
        <f>SUM(M5:M38)</f>
        <v>1945472.02</v>
      </c>
      <c r="N39" s="631">
        <f>SUM(N5:N38)</f>
        <v>169534</v>
      </c>
      <c r="O39" s="392"/>
      <c r="P39" s="7"/>
      <c r="Q39" s="7"/>
      <c r="R39" s="7">
        <f>SUM(R5:R38)</f>
        <v>2472816.88</v>
      </c>
      <c r="T39" s="48"/>
      <c r="W39" s="213" t="s">
        <v>90</v>
      </c>
      <c r="X39" s="221"/>
      <c r="Y39" s="207"/>
      <c r="AC39" s="321" t="s">
        <v>605</v>
      </c>
      <c r="AD39" s="338"/>
      <c r="AE39" s="338"/>
      <c r="AG39" s="391">
        <v>174363</v>
      </c>
    </row>
    <row r="40" spans="1:33" ht="20.25" customHeight="1" thickBot="1" x14ac:dyDescent="0.35">
      <c r="A40" s="34"/>
      <c r="B40" s="512"/>
      <c r="C40" s="71"/>
      <c r="D40" s="242"/>
      <c r="E40" s="136"/>
      <c r="F40" s="239"/>
      <c r="G40" s="137"/>
      <c r="H40" s="138"/>
      <c r="I40" s="69"/>
      <c r="J40" s="299"/>
      <c r="K40" s="172"/>
      <c r="L40" s="46"/>
      <c r="M40" s="630"/>
      <c r="N40" s="632"/>
      <c r="O40" s="392"/>
      <c r="P40" s="7"/>
      <c r="Q40" s="7"/>
      <c r="R40" s="7"/>
      <c r="S40" s="6">
        <v>0</v>
      </c>
      <c r="T40" s="48"/>
      <c r="W40" s="213" t="s">
        <v>91</v>
      </c>
      <c r="X40" s="221"/>
      <c r="Y40" s="207"/>
      <c r="AC40" s="321" t="s">
        <v>606</v>
      </c>
      <c r="AD40" s="338"/>
      <c r="AE40" s="338"/>
      <c r="AG40" s="389">
        <v>829950</v>
      </c>
    </row>
    <row r="41" spans="1:33" ht="19.5" customHeight="1" thickBot="1" x14ac:dyDescent="0.35">
      <c r="A41" s="34"/>
      <c r="B41" s="512"/>
      <c r="C41" s="71"/>
      <c r="D41" s="242"/>
      <c r="E41" s="136"/>
      <c r="F41" s="240"/>
      <c r="G41" s="137"/>
      <c r="H41" s="138"/>
      <c r="I41" s="69"/>
      <c r="J41" s="299"/>
      <c r="K41" s="172"/>
      <c r="L41" s="46"/>
      <c r="M41" s="7"/>
      <c r="N41" s="7"/>
      <c r="O41" s="392"/>
      <c r="P41" s="7"/>
      <c r="Q41" s="7"/>
      <c r="R41" s="7"/>
      <c r="S41" s="6">
        <v>0</v>
      </c>
      <c r="T41" s="48"/>
      <c r="W41" s="213" t="s">
        <v>92</v>
      </c>
      <c r="X41" s="221"/>
      <c r="Y41" s="207"/>
      <c r="AC41" s="321" t="s">
        <v>607</v>
      </c>
      <c r="AD41" s="338"/>
      <c r="AE41" s="338"/>
      <c r="AF41" s="389"/>
      <c r="AG41" s="338">
        <v>2323600</v>
      </c>
    </row>
    <row r="42" spans="1:33" ht="15" customHeight="1" thickBot="1" x14ac:dyDescent="0.35">
      <c r="A42" s="34"/>
      <c r="B42" s="513"/>
      <c r="C42" s="71"/>
      <c r="D42" s="242"/>
      <c r="E42" s="136"/>
      <c r="F42" s="241"/>
      <c r="G42" s="137"/>
      <c r="H42" s="138"/>
      <c r="I42" s="69"/>
      <c r="J42" s="299"/>
      <c r="K42" s="172"/>
      <c r="L42" s="46"/>
      <c r="M42" s="7"/>
      <c r="N42" s="7"/>
      <c r="O42" s="392"/>
      <c r="P42" s="7"/>
      <c r="Q42" s="7"/>
      <c r="R42" s="7"/>
      <c r="S42" s="6">
        <v>0</v>
      </c>
      <c r="T42" s="48"/>
      <c r="W42" s="213" t="s">
        <v>93</v>
      </c>
      <c r="X42" s="221"/>
      <c r="Y42" s="207"/>
      <c r="AD42" s="338"/>
      <c r="AE42" s="338"/>
      <c r="AF42" s="389"/>
      <c r="AG42" s="338">
        <v>0</v>
      </c>
    </row>
    <row r="43" spans="1:33" ht="15.75" customHeight="1" thickBot="1" x14ac:dyDescent="0.35">
      <c r="A43" s="34"/>
      <c r="B43" s="146"/>
      <c r="C43" s="71"/>
      <c r="D43" s="242"/>
      <c r="E43" s="136"/>
      <c r="F43" s="241"/>
      <c r="G43" s="137"/>
      <c r="H43" s="138"/>
      <c r="I43" s="69"/>
      <c r="J43" s="299"/>
      <c r="K43" s="172"/>
      <c r="L43" s="46"/>
      <c r="M43" s="7"/>
      <c r="N43" s="7"/>
      <c r="O43" s="392"/>
      <c r="P43" s="7"/>
      <c r="Q43" s="7"/>
      <c r="R43" s="7"/>
      <c r="S43" s="6">
        <v>0</v>
      </c>
      <c r="T43" s="48"/>
      <c r="W43" s="213" t="s">
        <v>94</v>
      </c>
      <c r="X43" s="221"/>
      <c r="Y43" s="207"/>
      <c r="AD43" s="338"/>
      <c r="AE43" s="338"/>
      <c r="AF43" s="389"/>
      <c r="AG43" s="338">
        <v>0</v>
      </c>
    </row>
    <row r="44" spans="1:33" ht="16.149999999999999" customHeight="1" thickBot="1" x14ac:dyDescent="0.35">
      <c r="A44" s="34"/>
      <c r="B44" s="146"/>
      <c r="C44" s="71"/>
      <c r="D44" s="242"/>
      <c r="E44" s="136"/>
      <c r="F44" s="151"/>
      <c r="G44" s="137"/>
      <c r="H44" s="138"/>
      <c r="I44" s="69"/>
      <c r="J44" s="299"/>
      <c r="K44" s="528"/>
      <c r="L44" s="71"/>
      <c r="M44" s="633" t="s">
        <v>567</v>
      </c>
      <c r="N44" s="633"/>
      <c r="O44" s="392"/>
      <c r="P44" s="7"/>
      <c r="Q44" s="7"/>
      <c r="R44" s="7"/>
      <c r="S44" s="6">
        <v>0</v>
      </c>
      <c r="T44" s="48"/>
      <c r="W44" s="213" t="s">
        <v>95</v>
      </c>
      <c r="X44" s="221"/>
      <c r="Y44" s="207"/>
      <c r="AD44" s="338"/>
      <c r="AE44" s="338"/>
      <c r="AF44" s="389"/>
      <c r="AG44" s="338">
        <f>SUM(AG37:AG43)</f>
        <v>3443047.96</v>
      </c>
    </row>
    <row r="45" spans="1:33" ht="16.149999999999999" customHeight="1" thickBot="1" x14ac:dyDescent="0.35">
      <c r="A45" s="34"/>
      <c r="B45" s="146"/>
      <c r="C45" s="71"/>
      <c r="D45" s="242"/>
      <c r="E45" s="136"/>
      <c r="F45" s="151"/>
      <c r="G45" s="137"/>
      <c r="H45" s="138"/>
      <c r="I45" s="69"/>
      <c r="J45" s="299"/>
      <c r="K45" s="172"/>
      <c r="L45" s="75"/>
      <c r="M45" s="514">
        <v>0</v>
      </c>
      <c r="N45" s="472"/>
      <c r="P45" s="7"/>
      <c r="Q45" s="7"/>
      <c r="R45" s="7"/>
      <c r="S45" s="6">
        <v>0</v>
      </c>
      <c r="T45" s="48"/>
      <c r="W45" s="213" t="s">
        <v>96</v>
      </c>
      <c r="X45" s="221"/>
      <c r="Y45" s="207"/>
      <c r="AD45" s="338"/>
      <c r="AE45" s="338"/>
      <c r="AF45" s="389"/>
      <c r="AG45" s="338"/>
    </row>
    <row r="46" spans="1:33" ht="16.149999999999999" customHeight="1" thickBot="1" x14ac:dyDescent="0.35">
      <c r="A46" s="34"/>
      <c r="B46" s="146"/>
      <c r="C46" s="71"/>
      <c r="D46" s="242"/>
      <c r="E46" s="136"/>
      <c r="F46" s="151"/>
      <c r="G46" s="137"/>
      <c r="H46" s="138"/>
      <c r="I46" s="69"/>
      <c r="J46" s="299"/>
      <c r="K46" s="243"/>
      <c r="L46" s="50"/>
      <c r="M46" s="514">
        <v>0</v>
      </c>
      <c r="N46" s="472"/>
      <c r="P46" s="7"/>
      <c r="Q46" s="7"/>
      <c r="R46" s="7"/>
      <c r="S46" s="6">
        <v>0</v>
      </c>
      <c r="T46" s="48"/>
      <c r="W46" s="213" t="s">
        <v>97</v>
      </c>
      <c r="X46" s="221"/>
      <c r="Y46" s="207"/>
      <c r="AD46" s="338"/>
      <c r="AE46" s="338"/>
      <c r="AF46" s="389"/>
      <c r="AG46" s="338"/>
    </row>
    <row r="47" spans="1:33" ht="16.149999999999999" customHeight="1" thickBot="1" x14ac:dyDescent="0.35">
      <c r="A47" s="34"/>
      <c r="B47" s="146"/>
      <c r="C47" s="71"/>
      <c r="D47" s="242"/>
      <c r="E47" s="136"/>
      <c r="F47" s="151"/>
      <c r="G47" s="137"/>
      <c r="H47" s="138"/>
      <c r="I47" s="69"/>
      <c r="J47" s="299"/>
      <c r="K47" s="172"/>
      <c r="L47" s="75"/>
      <c r="M47" s="514">
        <v>0</v>
      </c>
      <c r="N47" s="472"/>
      <c r="P47" s="7"/>
      <c r="Q47" s="7"/>
      <c r="R47" s="7"/>
      <c r="T47" s="48"/>
      <c r="W47" s="213" t="s">
        <v>98</v>
      </c>
      <c r="X47" s="221"/>
      <c r="Y47" s="207"/>
      <c r="AD47" s="338"/>
      <c r="AE47" s="338"/>
      <c r="AF47" s="389"/>
      <c r="AG47" s="338"/>
    </row>
    <row r="48" spans="1:33" ht="21.75" customHeight="1" thickBot="1" x14ac:dyDescent="0.3">
      <c r="A48" s="34"/>
      <c r="B48" s="146"/>
      <c r="C48" s="71"/>
      <c r="D48" s="242"/>
      <c r="E48" s="150"/>
      <c r="F48" s="74"/>
      <c r="G48" s="137"/>
      <c r="H48" s="138"/>
      <c r="I48" s="69"/>
      <c r="J48" s="299"/>
      <c r="K48" s="172"/>
      <c r="L48" s="75"/>
      <c r="M48" s="514">
        <v>0</v>
      </c>
      <c r="N48" s="473"/>
      <c r="P48" s="7"/>
      <c r="Q48" s="7"/>
      <c r="R48" s="7"/>
      <c r="T48" s="48"/>
      <c r="W48" s="213" t="s">
        <v>99</v>
      </c>
      <c r="X48" s="221"/>
      <c r="Y48" s="207"/>
      <c r="AD48" s="341"/>
      <c r="AE48" s="341"/>
      <c r="AF48" s="390"/>
      <c r="AG48" s="341"/>
    </row>
    <row r="49" spans="1:33" ht="15.75" customHeight="1" thickBot="1" x14ac:dyDescent="0.3">
      <c r="A49" s="34"/>
      <c r="B49" s="146"/>
      <c r="C49" s="71"/>
      <c r="D49" s="242"/>
      <c r="E49" s="150"/>
      <c r="F49" s="74"/>
      <c r="G49" s="137"/>
      <c r="H49" s="138"/>
      <c r="I49" s="69"/>
      <c r="J49" s="299"/>
      <c r="K49" s="172"/>
      <c r="L49" s="75"/>
      <c r="M49" s="514">
        <v>0</v>
      </c>
      <c r="N49" s="473"/>
      <c r="P49" s="7"/>
      <c r="Q49" s="7"/>
      <c r="R49" s="7"/>
      <c r="S49" s="7"/>
      <c r="T49" s="48"/>
      <c r="W49" s="213" t="s">
        <v>100</v>
      </c>
      <c r="X49" s="221"/>
      <c r="Y49" s="207"/>
      <c r="AD49" s="341"/>
      <c r="AE49" s="341"/>
      <c r="AF49" s="390"/>
      <c r="AG49" s="341"/>
    </row>
    <row r="50" spans="1:33" ht="16.5" customHeight="1" thickBot="1" x14ac:dyDescent="0.3">
      <c r="A50" s="34"/>
      <c r="B50" s="146"/>
      <c r="C50" s="71"/>
      <c r="D50" s="242"/>
      <c r="E50" s="149"/>
      <c r="F50" s="74"/>
      <c r="G50" s="137"/>
      <c r="H50" s="138"/>
      <c r="I50" s="69"/>
      <c r="J50" s="299"/>
      <c r="K50" s="172"/>
      <c r="L50" s="75"/>
      <c r="M50" s="514">
        <v>0</v>
      </c>
      <c r="N50" s="472"/>
      <c r="P50" s="7"/>
      <c r="Q50" s="7"/>
      <c r="R50" s="7"/>
      <c r="S50" s="7"/>
      <c r="T50" s="48"/>
      <c r="W50" s="213" t="s">
        <v>101</v>
      </c>
      <c r="X50" s="221"/>
      <c r="Y50" s="207"/>
      <c r="AD50" s="99"/>
      <c r="AE50" s="99"/>
      <c r="AF50" s="99"/>
      <c r="AG50" s="99"/>
    </row>
    <row r="51" spans="1:33" ht="16.5" customHeight="1" thickBot="1" x14ac:dyDescent="0.3">
      <c r="A51" s="34"/>
      <c r="B51" s="146"/>
      <c r="C51" s="71"/>
      <c r="D51" s="242"/>
      <c r="E51" s="149"/>
      <c r="F51" s="74"/>
      <c r="G51" s="137"/>
      <c r="H51" s="138"/>
      <c r="I51" s="69"/>
      <c r="J51" s="299"/>
      <c r="K51" s="172"/>
      <c r="L51" s="75"/>
      <c r="M51" s="514">
        <v>0</v>
      </c>
      <c r="N51" s="472"/>
      <c r="P51" s="7"/>
      <c r="Q51" s="7"/>
      <c r="R51" s="7"/>
      <c r="S51" s="7"/>
      <c r="T51" s="48"/>
      <c r="W51" s="213" t="s">
        <v>102</v>
      </c>
      <c r="X51" s="221"/>
      <c r="Y51" s="207"/>
      <c r="AB51" s="323"/>
      <c r="AC51" s="99"/>
      <c r="AD51" s="99"/>
      <c r="AE51" s="99"/>
      <c r="AF51" s="99"/>
      <c r="AG51" s="99"/>
    </row>
    <row r="52" spans="1:33" ht="16.5" customHeight="1" thickBot="1" x14ac:dyDescent="0.3">
      <c r="A52" s="34"/>
      <c r="B52" s="146"/>
      <c r="C52" s="71"/>
      <c r="D52" s="242"/>
      <c r="E52" s="136"/>
      <c r="F52" s="71"/>
      <c r="G52" s="137"/>
      <c r="H52" s="138"/>
      <c r="I52" s="69"/>
      <c r="J52" s="299"/>
      <c r="K52" s="172"/>
      <c r="L52" s="75"/>
      <c r="M52" s="514">
        <v>0</v>
      </c>
      <c r="N52" s="472"/>
      <c r="P52" s="7"/>
      <c r="Q52" s="7"/>
      <c r="R52" s="7"/>
      <c r="S52" s="7"/>
      <c r="T52" s="48"/>
      <c r="W52" s="213" t="s">
        <v>103</v>
      </c>
      <c r="X52" s="221"/>
      <c r="Y52" s="207"/>
      <c r="AB52" s="29"/>
      <c r="AC52" s="99"/>
      <c r="AD52" s="99"/>
      <c r="AE52" s="99"/>
      <c r="AF52" s="99"/>
      <c r="AG52" s="99"/>
    </row>
    <row r="53" spans="1:33" ht="15.75" customHeight="1" thickBot="1" x14ac:dyDescent="0.35">
      <c r="A53" s="34"/>
      <c r="B53" s="146"/>
      <c r="C53" s="71"/>
      <c r="D53" s="153"/>
      <c r="E53" s="136"/>
      <c r="F53" s="71"/>
      <c r="G53" s="137"/>
      <c r="H53" s="138"/>
      <c r="I53" s="69" t="s">
        <v>11</v>
      </c>
      <c r="J53" s="299"/>
      <c r="K53" s="282"/>
      <c r="L53" s="75"/>
      <c r="M53" s="514">
        <v>0</v>
      </c>
      <c r="N53" s="472"/>
      <c r="P53" s="7"/>
      <c r="Q53" s="7"/>
      <c r="R53" s="7"/>
      <c r="S53" s="7"/>
      <c r="T53" s="48"/>
      <c r="W53" s="213" t="s">
        <v>104</v>
      </c>
      <c r="X53" s="221"/>
      <c r="Y53" s="207"/>
      <c r="AB53" s="29"/>
      <c r="AC53" s="99"/>
      <c r="AD53" s="99"/>
      <c r="AE53" s="99"/>
      <c r="AF53" s="99"/>
      <c r="AG53" s="99"/>
    </row>
    <row r="54" spans="1:33" ht="15.75" customHeight="1" thickBot="1" x14ac:dyDescent="0.35">
      <c r="A54" s="34"/>
      <c r="B54" s="146"/>
      <c r="C54" s="71"/>
      <c r="D54" s="153"/>
      <c r="E54" s="136"/>
      <c r="F54" s="71"/>
      <c r="G54" s="137"/>
      <c r="H54" s="138"/>
      <c r="I54" s="69"/>
      <c r="J54" s="299"/>
      <c r="K54" s="157"/>
      <c r="L54" s="75"/>
      <c r="M54" s="514">
        <v>0</v>
      </c>
      <c r="N54" s="472"/>
      <c r="P54" s="7"/>
      <c r="Q54" s="7"/>
      <c r="R54" s="7"/>
      <c r="S54" s="7"/>
      <c r="T54" s="48"/>
      <c r="W54" s="213" t="s">
        <v>105</v>
      </c>
      <c r="X54" s="221"/>
      <c r="Y54" s="207"/>
      <c r="AB54" s="29"/>
      <c r="AC54" s="99"/>
      <c r="AD54" s="99"/>
      <c r="AE54" s="99"/>
      <c r="AF54" s="99"/>
      <c r="AG54" s="99"/>
    </row>
    <row r="55" spans="1:33" ht="15.75" customHeight="1" thickBot="1" x14ac:dyDescent="0.35">
      <c r="A55" s="34"/>
      <c r="B55" s="146"/>
      <c r="C55" s="71"/>
      <c r="D55" s="153"/>
      <c r="E55" s="136"/>
      <c r="F55" s="71"/>
      <c r="G55" s="137"/>
      <c r="H55" s="138"/>
      <c r="I55" s="69"/>
      <c r="J55" s="299"/>
      <c r="K55" s="172"/>
      <c r="L55" s="75"/>
      <c r="M55" s="514">
        <v>0</v>
      </c>
      <c r="N55" s="474"/>
      <c r="O55" s="392"/>
      <c r="P55" s="7"/>
      <c r="Q55" s="7"/>
      <c r="R55" s="7"/>
      <c r="S55" s="7"/>
      <c r="T55" s="48"/>
      <c r="W55" s="212"/>
      <c r="X55" s="222"/>
      <c r="Y55" s="207"/>
      <c r="AB55" s="29"/>
      <c r="AC55" s="99"/>
      <c r="AD55" s="99"/>
      <c r="AE55" s="99"/>
      <c r="AF55" s="99"/>
      <c r="AG55" s="99"/>
    </row>
    <row r="56" spans="1:33" ht="15.75" customHeight="1" thickBot="1" x14ac:dyDescent="0.35">
      <c r="A56" s="34"/>
      <c r="B56" s="146"/>
      <c r="C56" s="71"/>
      <c r="D56" s="153"/>
      <c r="E56" s="154"/>
      <c r="F56" s="79"/>
      <c r="G56" s="137"/>
      <c r="H56" s="145"/>
      <c r="I56" s="80"/>
      <c r="J56" s="299"/>
      <c r="K56" s="243"/>
      <c r="L56" s="50"/>
      <c r="M56" s="520">
        <v>0</v>
      </c>
      <c r="N56" s="472"/>
      <c r="O56" s="392"/>
      <c r="P56" s="7"/>
      <c r="Q56" s="7"/>
      <c r="R56" s="7"/>
      <c r="S56" s="7"/>
      <c r="T56" s="48"/>
      <c r="W56" s="212"/>
      <c r="X56" s="222"/>
      <c r="Y56" s="207"/>
      <c r="AB56" s="29"/>
      <c r="AC56" s="99"/>
      <c r="AD56" s="99"/>
      <c r="AE56" s="99"/>
      <c r="AF56" s="99"/>
      <c r="AG56" s="99"/>
    </row>
    <row r="57" spans="1:33" ht="15.75" customHeight="1" thickBot="1" x14ac:dyDescent="0.3">
      <c r="A57" s="34"/>
      <c r="B57" s="146"/>
      <c r="C57" s="71"/>
      <c r="D57" s="155"/>
      <c r="E57" s="154"/>
      <c r="F57" s="79"/>
      <c r="G57" s="137"/>
      <c r="H57" s="145"/>
      <c r="I57" s="80"/>
      <c r="J57" s="529"/>
      <c r="K57" s="243"/>
      <c r="L57" s="50"/>
      <c r="M57" s="476">
        <v>0</v>
      </c>
      <c r="N57" s="475"/>
      <c r="O57" s="392"/>
      <c r="P57" s="7"/>
      <c r="Q57" s="7"/>
      <c r="R57" s="7"/>
      <c r="S57" s="7"/>
      <c r="T57" s="48"/>
      <c r="W57" s="212"/>
      <c r="X57" s="222"/>
      <c r="Y57" s="207"/>
      <c r="AB57" s="29"/>
      <c r="AC57" s="99"/>
      <c r="AD57" s="99"/>
      <c r="AE57" s="99"/>
      <c r="AF57" s="99"/>
      <c r="AG57" s="99"/>
    </row>
    <row r="58" spans="1:33" ht="15.75" customHeight="1" thickBot="1" x14ac:dyDescent="0.3">
      <c r="A58" s="34"/>
      <c r="B58" s="146"/>
      <c r="C58" s="71"/>
      <c r="D58" s="155"/>
      <c r="E58" s="154"/>
      <c r="F58" s="79"/>
      <c r="G58" s="137"/>
      <c r="H58" s="145"/>
      <c r="I58" s="80"/>
      <c r="J58" s="529"/>
      <c r="K58" s="468"/>
      <c r="L58" s="50"/>
      <c r="M58" s="656">
        <f t="shared" ref="M58" si="2">SUM(M45:M57)</f>
        <v>0</v>
      </c>
      <c r="N58" s="475"/>
      <c r="O58" s="392"/>
      <c r="P58" s="7"/>
      <c r="Q58" s="7"/>
      <c r="R58" s="7"/>
      <c r="S58" s="7"/>
      <c r="T58" s="48"/>
      <c r="W58" s="212"/>
      <c r="X58" s="222"/>
      <c r="Y58" s="207"/>
      <c r="AB58" s="29"/>
      <c r="AC58" s="99"/>
      <c r="AD58" s="99"/>
      <c r="AE58" s="99"/>
      <c r="AF58" s="99"/>
      <c r="AG58" s="99"/>
    </row>
    <row r="59" spans="1:33" ht="15.75" customHeight="1" thickBot="1" x14ac:dyDescent="0.3">
      <c r="A59" s="34"/>
      <c r="B59" s="146"/>
      <c r="C59" s="71"/>
      <c r="D59" s="155"/>
      <c r="E59" s="154"/>
      <c r="F59" s="79"/>
      <c r="G59" s="137"/>
      <c r="H59" s="145"/>
      <c r="I59" s="80"/>
      <c r="J59" s="529"/>
      <c r="K59" s="243"/>
      <c r="L59" s="50"/>
      <c r="M59" s="657"/>
      <c r="N59" s="42"/>
      <c r="O59" s="392"/>
      <c r="P59" s="7"/>
      <c r="Q59" s="7"/>
      <c r="R59" s="7"/>
      <c r="S59" s="7"/>
      <c r="T59" s="48"/>
      <c r="W59" s="212"/>
      <c r="X59" s="222"/>
      <c r="Y59" s="207"/>
      <c r="AB59" s="29"/>
      <c r="AC59" s="99"/>
      <c r="AD59" s="99"/>
      <c r="AE59" s="99"/>
      <c r="AF59" s="99"/>
      <c r="AG59" s="99"/>
    </row>
    <row r="60" spans="1:33" ht="24" customHeight="1" thickBot="1" x14ac:dyDescent="0.35">
      <c r="A60" s="34"/>
      <c r="B60" s="283"/>
      <c r="C60" s="71"/>
      <c r="D60" s="155"/>
      <c r="E60" s="154"/>
      <c r="F60" s="79"/>
      <c r="G60" s="137"/>
      <c r="H60" s="145"/>
      <c r="I60" s="80"/>
      <c r="J60" s="529"/>
      <c r="K60" s="468"/>
      <c r="L60" s="50"/>
      <c r="M60" s="623" t="s">
        <v>719</v>
      </c>
      <c r="N60" s="624"/>
      <c r="O60" s="392"/>
      <c r="P60" s="7"/>
      <c r="Q60" s="7"/>
      <c r="R60" s="7"/>
      <c r="S60" s="7"/>
      <c r="T60" s="48"/>
      <c r="W60" s="212"/>
      <c r="X60" s="222"/>
      <c r="Y60" s="207"/>
      <c r="AB60" s="29"/>
      <c r="AC60" s="99"/>
      <c r="AD60" s="99"/>
      <c r="AE60" s="99"/>
      <c r="AF60" s="99"/>
      <c r="AG60" s="99"/>
    </row>
    <row r="61" spans="1:33" ht="15.75" customHeight="1" thickBot="1" x14ac:dyDescent="0.3">
      <c r="A61" s="34"/>
      <c r="B61" s="283"/>
      <c r="C61" s="71"/>
      <c r="D61" s="155"/>
      <c r="E61" s="154"/>
      <c r="F61" s="79"/>
      <c r="G61" s="137"/>
      <c r="H61" s="145"/>
      <c r="I61" s="80"/>
      <c r="J61" s="529"/>
      <c r="K61" s="468"/>
      <c r="L61" s="6"/>
      <c r="M61" s="41"/>
      <c r="N61" s="42"/>
      <c r="O61" s="392"/>
      <c r="P61" s="7"/>
      <c r="Q61" s="7"/>
      <c r="R61" s="7"/>
      <c r="S61" s="7"/>
      <c r="T61" s="48"/>
      <c r="W61" s="212"/>
      <c r="X61" s="222"/>
      <c r="Y61" s="207"/>
      <c r="AB61" s="29"/>
      <c r="AC61" s="99"/>
      <c r="AD61" s="99"/>
      <c r="AE61" s="99"/>
      <c r="AF61" s="99"/>
      <c r="AG61" s="99"/>
    </row>
    <row r="62" spans="1:33" ht="15.75" customHeight="1" thickBot="1" x14ac:dyDescent="0.3">
      <c r="A62" s="34"/>
      <c r="B62" s="283"/>
      <c r="C62" s="71"/>
      <c r="D62" s="155"/>
      <c r="E62" s="154"/>
      <c r="F62" s="79"/>
      <c r="G62" s="137"/>
      <c r="H62" s="145"/>
      <c r="I62" s="80"/>
      <c r="J62" s="325"/>
      <c r="K62" s="359"/>
      <c r="L62" s="458"/>
      <c r="M62" s="642">
        <v>-37331</v>
      </c>
      <c r="N62" s="643"/>
      <c r="O62" s="392"/>
      <c r="P62" s="7"/>
      <c r="Q62" s="7"/>
      <c r="R62" s="7"/>
      <c r="S62" s="7"/>
      <c r="T62" s="48"/>
      <c r="W62" s="212"/>
      <c r="X62" s="222"/>
      <c r="Y62" s="207"/>
      <c r="AB62" s="29"/>
      <c r="AC62" s="99"/>
      <c r="AD62" s="99"/>
      <c r="AE62" s="99"/>
      <c r="AF62" s="99"/>
      <c r="AG62" s="99"/>
    </row>
    <row r="63" spans="1:33" ht="15.75" customHeight="1" thickBot="1" x14ac:dyDescent="0.3">
      <c r="A63" s="34"/>
      <c r="B63" s="283"/>
      <c r="C63" s="71"/>
      <c r="D63" s="155"/>
      <c r="E63" s="154"/>
      <c r="F63" s="79"/>
      <c r="G63" s="137"/>
      <c r="H63" s="145"/>
      <c r="I63" s="80"/>
      <c r="J63" s="325"/>
      <c r="K63" s="359"/>
      <c r="L63" s="50" t="s">
        <v>820</v>
      </c>
      <c r="M63" s="644"/>
      <c r="N63" s="645"/>
      <c r="O63" s="392"/>
      <c r="P63" s="7"/>
      <c r="Q63" s="7"/>
      <c r="R63" s="7"/>
      <c r="S63" s="7"/>
      <c r="T63" s="48"/>
      <c r="W63" s="212"/>
      <c r="X63" s="222"/>
      <c r="Y63" s="207"/>
      <c r="AB63" s="29"/>
      <c r="AC63" s="99"/>
      <c r="AD63" s="99"/>
      <c r="AE63" s="99"/>
      <c r="AF63" s="99"/>
      <c r="AG63" s="99"/>
    </row>
    <row r="64" spans="1:33" ht="22.5" customHeight="1" thickBot="1" x14ac:dyDescent="0.35">
      <c r="A64" s="34"/>
      <c r="B64" s="283"/>
      <c r="C64" s="71"/>
      <c r="D64" s="155"/>
      <c r="E64" s="154"/>
      <c r="F64" s="79"/>
      <c r="G64" s="137"/>
      <c r="H64" s="145"/>
      <c r="I64" s="80"/>
      <c r="J64" s="325"/>
      <c r="K64" s="359"/>
      <c r="L64" s="521" t="s">
        <v>818</v>
      </c>
      <c r="M64" s="648">
        <v>-382722.22</v>
      </c>
      <c r="N64" s="649"/>
      <c r="O64" s="392"/>
      <c r="P64" s="7"/>
      <c r="Q64" s="7"/>
      <c r="R64" s="7"/>
      <c r="S64" s="7"/>
      <c r="T64" s="48"/>
      <c r="W64" s="212"/>
      <c r="X64" s="222"/>
      <c r="Y64" s="207"/>
      <c r="AB64" s="29"/>
      <c r="AC64" s="99"/>
      <c r="AD64" s="99"/>
      <c r="AE64" s="99"/>
      <c r="AF64" s="99"/>
      <c r="AG64" s="99"/>
    </row>
    <row r="65" spans="1:33" ht="27" customHeight="1" thickBot="1" x14ac:dyDescent="0.35">
      <c r="A65" s="34"/>
      <c r="B65" s="35"/>
      <c r="C65" s="71"/>
      <c r="D65" s="82"/>
      <c r="E65" s="78"/>
      <c r="F65" s="79"/>
      <c r="H65" s="73"/>
      <c r="I65" s="80"/>
      <c r="J65" s="325"/>
      <c r="K65" s="467"/>
      <c r="L65" s="521" t="s">
        <v>819</v>
      </c>
      <c r="M65" s="650">
        <v>-163726</v>
      </c>
      <c r="N65" s="651"/>
      <c r="O65" s="392"/>
      <c r="P65" s="7"/>
      <c r="Q65" s="7"/>
      <c r="R65" s="7"/>
      <c r="S65" s="7"/>
      <c r="T65" s="48"/>
      <c r="W65" s="212"/>
      <c r="X65" s="222"/>
      <c r="Y65" s="207"/>
      <c r="AB65" s="29"/>
      <c r="AC65" s="99"/>
      <c r="AD65" s="99"/>
      <c r="AE65" s="99"/>
      <c r="AF65" s="99"/>
      <c r="AG65" s="99"/>
    </row>
    <row r="66" spans="1:33" ht="17.25" thickTop="1" thickBot="1" x14ac:dyDescent="0.3">
      <c r="A66" s="34"/>
      <c r="B66" s="35"/>
      <c r="C66" s="36">
        <v>0</v>
      </c>
      <c r="D66" s="82"/>
      <c r="E66" s="78"/>
      <c r="F66" s="79"/>
      <c r="H66" s="73"/>
      <c r="I66" s="80"/>
      <c r="J66" s="325"/>
      <c r="K66" s="468"/>
      <c r="L66" s="6"/>
      <c r="M66" s="652">
        <f>SUM(M65+M64+M62)</f>
        <v>-583779.22</v>
      </c>
      <c r="N66" s="653"/>
      <c r="O66" s="646"/>
      <c r="P66" s="7"/>
      <c r="Q66" s="7"/>
      <c r="R66" s="84">
        <v>0</v>
      </c>
      <c r="S66" s="84">
        <v>0</v>
      </c>
      <c r="T66" s="48"/>
      <c r="W66" s="210"/>
      <c r="X66" s="222"/>
      <c r="Y66" s="207"/>
      <c r="AB66" s="29"/>
      <c r="AC66" s="99"/>
      <c r="AD66" s="99"/>
      <c r="AE66" s="99"/>
      <c r="AF66" s="99"/>
      <c r="AG66" s="99"/>
    </row>
    <row r="67" spans="1:33" ht="16.5" thickBot="1" x14ac:dyDescent="0.3">
      <c r="B67" s="85" t="s">
        <v>13</v>
      </c>
      <c r="C67" s="86">
        <f>SUM(C5:C66)</f>
        <v>183493.29</v>
      </c>
      <c r="D67" s="87"/>
      <c r="E67" s="88" t="s">
        <v>13</v>
      </c>
      <c r="F67" s="89">
        <f>SUM(F5:F66)</f>
        <v>2448739</v>
      </c>
      <c r="G67" s="87"/>
      <c r="H67" s="90" t="s">
        <v>14</v>
      </c>
      <c r="I67" s="91">
        <f>SUM(I5:I66)</f>
        <v>28058</v>
      </c>
      <c r="J67" s="92"/>
      <c r="K67" s="93" t="s">
        <v>15</v>
      </c>
      <c r="L67" s="522">
        <f>SUM(L5:L66)</f>
        <v>146259.57</v>
      </c>
      <c r="M67" s="654"/>
      <c r="N67" s="655"/>
      <c r="O67" s="647"/>
      <c r="P67" s="366"/>
      <c r="Q67" s="366"/>
      <c r="R67" s="7">
        <f>SUM(R5:R66)</f>
        <v>4945633.76</v>
      </c>
      <c r="S67" s="7">
        <f>SUM(S5:S66)</f>
        <v>24077.880000000005</v>
      </c>
      <c r="T67" s="97"/>
      <c r="W67" s="210"/>
      <c r="X67" s="222"/>
      <c r="Y67" s="207"/>
    </row>
    <row r="68" spans="1:33" ht="20.25" thickTop="1" thickBot="1" x14ac:dyDescent="0.3">
      <c r="C68" s="8" t="s">
        <v>11</v>
      </c>
      <c r="R68" s="7"/>
      <c r="S68" s="7"/>
      <c r="T68" s="98"/>
      <c r="U68" s="99"/>
      <c r="W68" s="211"/>
      <c r="X68" s="223"/>
      <c r="Y68" s="208"/>
    </row>
    <row r="69" spans="1:33" ht="17.25" customHeight="1" thickBot="1" x14ac:dyDescent="0.3">
      <c r="A69" s="60"/>
      <c r="B69" s="100"/>
      <c r="C69" s="4"/>
      <c r="H69" s="548" t="s">
        <v>16</v>
      </c>
      <c r="I69" s="549"/>
      <c r="J69" s="101"/>
      <c r="K69" s="550">
        <f>I67+L67</f>
        <v>174317.57</v>
      </c>
      <c r="L69" s="551"/>
      <c r="M69" s="470"/>
      <c r="N69" s="471"/>
      <c r="O69" s="489"/>
      <c r="P69" s="367"/>
      <c r="Q69" s="367"/>
      <c r="R69" s="99"/>
      <c r="S69" s="99"/>
      <c r="U69" s="174"/>
      <c r="AB69" s="320"/>
      <c r="AC69" s="327"/>
      <c r="AD69" s="327"/>
      <c r="AE69" s="327"/>
      <c r="AF69" s="327"/>
      <c r="AG69" s="327"/>
    </row>
    <row r="70" spans="1:33" ht="19.5" customHeight="1" thickBot="1" x14ac:dyDescent="0.3">
      <c r="D70" s="560" t="s">
        <v>17</v>
      </c>
      <c r="E70" s="560"/>
      <c r="F70" s="103">
        <f>F67-K69-C67</f>
        <v>2090928.1400000001</v>
      </c>
      <c r="I70" s="104"/>
      <c r="J70" s="105"/>
      <c r="R70" s="561">
        <f>R67+S67</f>
        <v>4969711.6399999997</v>
      </c>
      <c r="S70" s="562"/>
      <c r="U70" s="50"/>
    </row>
    <row r="71" spans="1:33" ht="15.75" customHeight="1" x14ac:dyDescent="0.3">
      <c r="D71" s="563" t="s">
        <v>502</v>
      </c>
      <c r="E71" s="563"/>
      <c r="F71" s="95">
        <v>-2380713.08</v>
      </c>
      <c r="I71" s="564" t="s">
        <v>19</v>
      </c>
      <c r="J71" s="565"/>
      <c r="K71" s="566">
        <f>F73+F74+F75</f>
        <v>-289784.93999999994</v>
      </c>
      <c r="L71" s="567"/>
      <c r="R71" s="50"/>
      <c r="U71" s="107"/>
    </row>
    <row r="72" spans="1:33" ht="19.5" thickBot="1" x14ac:dyDescent="0.35">
      <c r="D72" s="108"/>
      <c r="E72" s="60"/>
      <c r="F72" s="109">
        <v>0</v>
      </c>
      <c r="I72" s="110"/>
      <c r="J72" s="111"/>
      <c r="K72" s="112"/>
      <c r="L72" s="113"/>
      <c r="R72" s="107"/>
      <c r="S72" s="7"/>
      <c r="U72" s="50"/>
    </row>
    <row r="73" spans="1:33" ht="18.75" customHeight="1" thickTop="1" x14ac:dyDescent="0.3">
      <c r="C73" s="9" t="s">
        <v>11</v>
      </c>
      <c r="E73" s="60" t="s">
        <v>20</v>
      </c>
      <c r="F73" s="95">
        <f>SUM(F70:F72)</f>
        <v>-289784.93999999994</v>
      </c>
      <c r="H73" s="34"/>
      <c r="I73" s="114" t="s">
        <v>21</v>
      </c>
      <c r="J73" s="115"/>
      <c r="K73" s="568">
        <f>-C4</f>
        <v>-365611.59</v>
      </c>
      <c r="L73" s="612"/>
      <c r="R73" s="50"/>
      <c r="S73" s="7"/>
      <c r="U73" s="50"/>
    </row>
    <row r="74" spans="1:33" ht="16.5" thickBot="1" x14ac:dyDescent="0.3">
      <c r="D74" s="117" t="s">
        <v>22</v>
      </c>
      <c r="E74" s="60" t="s">
        <v>23</v>
      </c>
      <c r="F74" s="118">
        <v>0</v>
      </c>
      <c r="R74" s="50"/>
      <c r="S74" s="7"/>
      <c r="U74" s="50"/>
    </row>
    <row r="75" spans="1:33" ht="20.25" thickTop="1" thickBot="1" x14ac:dyDescent="0.35">
      <c r="C75" s="119"/>
      <c r="D75" s="554" t="s">
        <v>24</v>
      </c>
      <c r="E75" s="555"/>
      <c r="F75" s="120">
        <v>0</v>
      </c>
      <c r="I75" s="556" t="s">
        <v>25</v>
      </c>
      <c r="J75" s="557"/>
      <c r="K75" s="558">
        <f>K71+K73</f>
        <v>-655396.53</v>
      </c>
      <c r="L75" s="558"/>
      <c r="R75" s="50"/>
      <c r="S75" s="7"/>
      <c r="U75" s="121"/>
    </row>
    <row r="76" spans="1:33" ht="18" thickBot="1" x14ac:dyDescent="0.35">
      <c r="C76" s="122"/>
      <c r="D76" s="123"/>
      <c r="E76" s="57"/>
      <c r="F76" s="124"/>
      <c r="J76" s="125"/>
      <c r="R76" s="121"/>
      <c r="S76" s="7"/>
    </row>
    <row r="77" spans="1:33" ht="15.75" customHeight="1" x14ac:dyDescent="0.25">
      <c r="I77" s="638" t="s">
        <v>610</v>
      </c>
      <c r="J77" s="639"/>
      <c r="K77" s="642">
        <v>0</v>
      </c>
      <c r="L77" s="643"/>
      <c r="R77" s="7"/>
      <c r="S77" s="7"/>
    </row>
    <row r="78" spans="1:33" ht="16.5" customHeight="1" thickBot="1" x14ac:dyDescent="0.3">
      <c r="B78" s="127"/>
      <c r="C78" s="128"/>
      <c r="D78" s="129"/>
      <c r="E78" s="7"/>
      <c r="I78" s="640"/>
      <c r="J78" s="641"/>
      <c r="K78" s="644"/>
      <c r="L78" s="645"/>
      <c r="M78" s="2"/>
      <c r="N78" s="60"/>
      <c r="O78" s="490"/>
      <c r="P78" s="165"/>
      <c r="Q78" s="165"/>
      <c r="R78" s="7"/>
      <c r="S78" s="7"/>
      <c r="T78" s="165"/>
      <c r="U78" s="173"/>
    </row>
    <row r="79" spans="1:33" x14ac:dyDescent="0.25">
      <c r="B79" s="127"/>
      <c r="C79" s="130"/>
      <c r="E79" s="7"/>
      <c r="M79" s="2"/>
      <c r="N79" s="60"/>
      <c r="O79" s="490"/>
      <c r="P79" s="165"/>
      <c r="Q79" s="165"/>
      <c r="R79" s="173"/>
      <c r="S79" s="165"/>
      <c r="T79" s="165"/>
      <c r="U79" s="165"/>
      <c r="AB79" s="248"/>
      <c r="AC79" s="322"/>
      <c r="AD79" s="322"/>
      <c r="AE79" s="322"/>
      <c r="AF79" s="322"/>
      <c r="AG79" s="322"/>
    </row>
    <row r="80" spans="1:33" x14ac:dyDescent="0.25">
      <c r="B80" s="127"/>
      <c r="C80" s="130"/>
      <c r="E80" s="7"/>
      <c r="F80" s="132"/>
      <c r="L80" s="133"/>
      <c r="M80" s="4"/>
      <c r="R80" s="165"/>
      <c r="S80" s="165"/>
      <c r="AB80" s="248"/>
      <c r="AC80" s="322"/>
      <c r="AD80" s="322"/>
      <c r="AE80" s="322"/>
      <c r="AF80" s="322"/>
      <c r="AG80" s="322"/>
    </row>
    <row r="81" spans="2:33" ht="21" x14ac:dyDescent="0.25">
      <c r="B81" s="127"/>
      <c r="C81" s="130"/>
      <c r="E81" s="7"/>
      <c r="M81" s="4"/>
      <c r="AC81" s="585"/>
      <c r="AD81" s="526"/>
      <c r="AE81" s="526"/>
      <c r="AF81" s="526"/>
      <c r="AG81" s="526"/>
    </row>
    <row r="82" spans="2:33" ht="21" x14ac:dyDescent="0.25">
      <c r="B82" s="127"/>
      <c r="C82" s="130"/>
      <c r="D82" s="272"/>
      <c r="E82" s="7"/>
      <c r="F82" s="273"/>
      <c r="M82" s="4"/>
      <c r="AC82" s="585"/>
      <c r="AD82" s="526"/>
      <c r="AE82" s="526"/>
      <c r="AF82" s="526"/>
      <c r="AG82" s="526"/>
    </row>
    <row r="83" spans="2:33" x14ac:dyDescent="0.25">
      <c r="D83" s="272"/>
      <c r="E83" s="274"/>
      <c r="F83" s="7"/>
      <c r="M83" s="4"/>
    </row>
    <row r="84" spans="2:33" x14ac:dyDescent="0.25">
      <c r="D84" s="272"/>
      <c r="E84" s="274"/>
      <c r="F84" s="7"/>
      <c r="M84" s="4"/>
    </row>
    <row r="85" spans="2:33" x14ac:dyDescent="0.25">
      <c r="D85" s="272"/>
      <c r="E85" s="274"/>
      <c r="F85" s="7"/>
      <c r="M85" s="4"/>
    </row>
    <row r="86" spans="2:33" x14ac:dyDescent="0.25">
      <c r="D86" s="272"/>
      <c r="E86" s="274"/>
      <c r="F86" s="7"/>
      <c r="M86" s="4"/>
    </row>
    <row r="87" spans="2:33" x14ac:dyDescent="0.25">
      <c r="D87" s="272"/>
      <c r="E87" s="274"/>
      <c r="F87" s="7"/>
      <c r="M87" s="4"/>
    </row>
    <row r="88" spans="2:33" x14ac:dyDescent="0.25">
      <c r="D88" s="272"/>
      <c r="E88" s="274"/>
      <c r="F88" s="7"/>
      <c r="M88" s="4"/>
    </row>
    <row r="89" spans="2:33" x14ac:dyDescent="0.25">
      <c r="D89" s="272"/>
      <c r="E89" s="274"/>
      <c r="F89" s="7"/>
      <c r="M89" s="4"/>
    </row>
    <row r="90" spans="2:33" x14ac:dyDescent="0.25">
      <c r="D90" s="272"/>
      <c r="E90" s="274"/>
      <c r="F90" s="7"/>
      <c r="M90" s="4"/>
    </row>
    <row r="91" spans="2:33" x14ac:dyDescent="0.25">
      <c r="D91" s="272"/>
      <c r="E91" s="274"/>
      <c r="F91" s="7"/>
      <c r="M91" s="4"/>
    </row>
    <row r="92" spans="2:33" x14ac:dyDescent="0.25">
      <c r="D92" s="272"/>
      <c r="E92" s="274"/>
      <c r="F92" s="7"/>
      <c r="M92" s="4"/>
    </row>
    <row r="93" spans="2:33" x14ac:dyDescent="0.25">
      <c r="D93" s="272"/>
      <c r="E93" s="274"/>
      <c r="F93" s="7"/>
      <c r="M93" s="4"/>
    </row>
    <row r="94" spans="2:33" x14ac:dyDescent="0.25">
      <c r="D94" s="272"/>
      <c r="E94" s="274"/>
      <c r="F94" s="7"/>
    </row>
    <row r="95" spans="2:33" x14ac:dyDescent="0.25">
      <c r="D95" s="272"/>
      <c r="E95" s="272"/>
      <c r="F95" s="273"/>
    </row>
    <row r="96" spans="2:33" x14ac:dyDescent="0.25">
      <c r="D96" s="272"/>
      <c r="E96" s="272"/>
      <c r="F96" s="273"/>
    </row>
    <row r="97" spans="4:6" x14ac:dyDescent="0.25">
      <c r="D97" s="272"/>
      <c r="E97" s="272"/>
      <c r="F97" s="273"/>
    </row>
  </sheetData>
  <mergeCells count="41">
    <mergeCell ref="AC81:AC82"/>
    <mergeCell ref="D70:E70"/>
    <mergeCell ref="R70:S70"/>
    <mergeCell ref="D71:E71"/>
    <mergeCell ref="I71:J71"/>
    <mergeCell ref="K71:L71"/>
    <mergeCell ref="K73:L73"/>
    <mergeCell ref="D75:E75"/>
    <mergeCell ref="I75:J75"/>
    <mergeCell ref="K75:L75"/>
    <mergeCell ref="I77:J78"/>
    <mergeCell ref="K77:L78"/>
    <mergeCell ref="M64:N64"/>
    <mergeCell ref="M65:N65"/>
    <mergeCell ref="M66:N67"/>
    <mergeCell ref="O66:O67"/>
    <mergeCell ref="H69:I69"/>
    <mergeCell ref="K69:L69"/>
    <mergeCell ref="M62:N63"/>
    <mergeCell ref="AB4:AC4"/>
    <mergeCell ref="AE4:AG4"/>
    <mergeCell ref="AE23:AF23"/>
    <mergeCell ref="AE25:AF26"/>
    <mergeCell ref="AG25:AG26"/>
    <mergeCell ref="AB29:AB30"/>
    <mergeCell ref="AC29:AC30"/>
    <mergeCell ref="M39:M40"/>
    <mergeCell ref="N39:N40"/>
    <mergeCell ref="M44:N44"/>
    <mergeCell ref="M58:M59"/>
    <mergeCell ref="M60:N60"/>
    <mergeCell ref="B1:B2"/>
    <mergeCell ref="C1:K1"/>
    <mergeCell ref="AB2:AG3"/>
    <mergeCell ref="B3:C3"/>
    <mergeCell ref="H3:I3"/>
    <mergeCell ref="P3:P4"/>
    <mergeCell ref="Q3:Q4"/>
    <mergeCell ref="S3:S4"/>
    <mergeCell ref="E4:F4"/>
    <mergeCell ref="H4:I4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G133"/>
  <sheetViews>
    <sheetView workbookViewId="0">
      <selection activeCell="E33" sqref="E33"/>
    </sheetView>
  </sheetViews>
  <sheetFormatPr baseColWidth="10" defaultRowHeight="15" x14ac:dyDescent="0.25"/>
  <cols>
    <col min="1" max="1" width="13.42578125" style="60" bestFit="1" customWidth="1"/>
    <col min="2" max="2" width="12.85546875" bestFit="1" customWidth="1"/>
    <col min="3" max="3" width="15.85546875" style="9" bestFit="1" customWidth="1"/>
    <col min="4" max="4" width="12.42578125" bestFit="1" customWidth="1"/>
    <col min="5" max="5" width="15.140625" style="9" bestFit="1" customWidth="1"/>
    <col min="6" max="6" width="19.5703125" style="8" bestFit="1" customWidth="1"/>
  </cols>
  <sheetData>
    <row r="1" spans="1:7" ht="36.75" customHeight="1" thickBot="1" x14ac:dyDescent="0.4">
      <c r="A1" s="324" t="s">
        <v>529</v>
      </c>
      <c r="B1" s="175" t="s">
        <v>31</v>
      </c>
      <c r="C1" s="176"/>
      <c r="D1" s="177"/>
      <c r="E1" s="176"/>
      <c r="F1" s="178"/>
    </row>
    <row r="2" spans="1:7" ht="16.5" thickBot="1" x14ac:dyDescent="0.3">
      <c r="A2" s="179" t="s">
        <v>5</v>
      </c>
      <c r="B2" s="179" t="s">
        <v>27</v>
      </c>
      <c r="C2" s="180" t="s">
        <v>28</v>
      </c>
      <c r="D2" s="179" t="s">
        <v>29</v>
      </c>
      <c r="E2" s="180" t="s">
        <v>30</v>
      </c>
      <c r="F2" s="180" t="s">
        <v>28</v>
      </c>
    </row>
    <row r="3" spans="1:7" ht="18.75" x14ac:dyDescent="0.3">
      <c r="A3" s="192">
        <v>44440</v>
      </c>
      <c r="B3" s="193" t="s">
        <v>840</v>
      </c>
      <c r="C3" s="71">
        <v>84750.7</v>
      </c>
      <c r="D3" s="194"/>
      <c r="E3" s="6"/>
      <c r="F3" s="182">
        <f>C3-E3</f>
        <v>84750.7</v>
      </c>
    </row>
    <row r="4" spans="1:7" ht="18.75" x14ac:dyDescent="0.3">
      <c r="A4" s="192">
        <v>44441</v>
      </c>
      <c r="B4" s="193" t="s">
        <v>838</v>
      </c>
      <c r="C4" s="71">
        <v>110341</v>
      </c>
      <c r="D4" s="195"/>
      <c r="E4" s="71"/>
      <c r="F4" s="183">
        <f>F3+C4-E4</f>
        <v>195091.7</v>
      </c>
      <c r="G4" s="184"/>
    </row>
    <row r="5" spans="1:7" ht="15.75" x14ac:dyDescent="0.25">
      <c r="A5" s="195">
        <v>44441</v>
      </c>
      <c r="B5" s="193" t="s">
        <v>839</v>
      </c>
      <c r="C5" s="71">
        <v>7380</v>
      </c>
      <c r="D5" s="195"/>
      <c r="E5" s="71"/>
      <c r="F5" s="183">
        <f t="shared" ref="F5:F68" si="0">F4+C5-E5</f>
        <v>202471.7</v>
      </c>
    </row>
    <row r="6" spans="1:7" ht="15.75" x14ac:dyDescent="0.25">
      <c r="A6" s="192">
        <v>44441</v>
      </c>
      <c r="B6" s="193" t="s">
        <v>837</v>
      </c>
      <c r="C6" s="71">
        <v>37812</v>
      </c>
      <c r="D6" s="195">
        <v>44442</v>
      </c>
      <c r="E6" s="71">
        <v>240283.7</v>
      </c>
      <c r="F6" s="183">
        <f t="shared" si="0"/>
        <v>0</v>
      </c>
    </row>
    <row r="7" spans="1:7" ht="15.75" x14ac:dyDescent="0.25">
      <c r="A7" s="195">
        <v>44442</v>
      </c>
      <c r="B7" s="193" t="s">
        <v>841</v>
      </c>
      <c r="C7" s="71">
        <v>24138.65</v>
      </c>
      <c r="D7" s="195"/>
      <c r="E7" s="71"/>
      <c r="F7" s="183">
        <f t="shared" si="0"/>
        <v>24138.65</v>
      </c>
    </row>
    <row r="8" spans="1:7" ht="15.75" x14ac:dyDescent="0.25">
      <c r="A8" s="195">
        <v>44443</v>
      </c>
      <c r="B8" s="193" t="s">
        <v>842</v>
      </c>
      <c r="C8" s="71">
        <v>85403.1</v>
      </c>
      <c r="D8" s="195"/>
      <c r="E8" s="71"/>
      <c r="F8" s="183">
        <f t="shared" si="0"/>
        <v>109541.75</v>
      </c>
    </row>
    <row r="9" spans="1:7" ht="15.75" x14ac:dyDescent="0.25">
      <c r="A9" s="195">
        <v>44445</v>
      </c>
      <c r="B9" s="193" t="s">
        <v>843</v>
      </c>
      <c r="C9" s="71">
        <v>100403.7</v>
      </c>
      <c r="D9" s="195"/>
      <c r="E9" s="71"/>
      <c r="F9" s="183">
        <f t="shared" si="0"/>
        <v>209945.45</v>
      </c>
    </row>
    <row r="10" spans="1:7" ht="18.75" x14ac:dyDescent="0.3">
      <c r="A10" s="195">
        <v>44446</v>
      </c>
      <c r="B10" s="193" t="s">
        <v>844</v>
      </c>
      <c r="C10" s="71">
        <v>33676.400000000001</v>
      </c>
      <c r="D10" s="195"/>
      <c r="E10" s="71"/>
      <c r="F10" s="183">
        <f t="shared" si="0"/>
        <v>243621.85</v>
      </c>
      <c r="G10" s="184"/>
    </row>
    <row r="11" spans="1:7" ht="15.75" x14ac:dyDescent="0.25">
      <c r="A11" s="192">
        <v>44446</v>
      </c>
      <c r="B11" s="193" t="s">
        <v>845</v>
      </c>
      <c r="C11" s="71">
        <v>3450</v>
      </c>
      <c r="D11" s="195"/>
      <c r="E11" s="71"/>
      <c r="F11" s="183">
        <f t="shared" si="0"/>
        <v>247071.85</v>
      </c>
    </row>
    <row r="12" spans="1:7" ht="15.75" x14ac:dyDescent="0.25">
      <c r="A12" s="195">
        <v>44447</v>
      </c>
      <c r="B12" s="193" t="s">
        <v>846</v>
      </c>
      <c r="C12" s="71">
        <v>118005.83</v>
      </c>
      <c r="D12" s="195"/>
      <c r="E12" s="71"/>
      <c r="F12" s="183">
        <f t="shared" si="0"/>
        <v>365077.68</v>
      </c>
    </row>
    <row r="13" spans="1:7" ht="15.75" x14ac:dyDescent="0.25">
      <c r="A13" s="195">
        <v>44448</v>
      </c>
      <c r="B13" s="193" t="s">
        <v>847</v>
      </c>
      <c r="C13" s="71">
        <v>124758.3</v>
      </c>
      <c r="D13" s="195">
        <v>44449</v>
      </c>
      <c r="E13" s="71">
        <v>416077.68</v>
      </c>
      <c r="F13" s="183">
        <f t="shared" si="0"/>
        <v>73758.299999999988</v>
      </c>
    </row>
    <row r="14" spans="1:7" ht="15.75" x14ac:dyDescent="0.25">
      <c r="A14" s="195">
        <v>44448</v>
      </c>
      <c r="B14" s="193" t="s">
        <v>848</v>
      </c>
      <c r="C14" s="71">
        <v>539.5</v>
      </c>
      <c r="D14" s="195"/>
      <c r="E14" s="71"/>
      <c r="F14" s="183">
        <f t="shared" si="0"/>
        <v>74297.799999999988</v>
      </c>
    </row>
    <row r="15" spans="1:7" ht="15.75" x14ac:dyDescent="0.25">
      <c r="A15" s="195">
        <v>44449</v>
      </c>
      <c r="B15" s="193" t="s">
        <v>850</v>
      </c>
      <c r="C15" s="71">
        <v>69665.45</v>
      </c>
      <c r="D15" s="195"/>
      <c r="E15" s="71"/>
      <c r="F15" s="183">
        <f t="shared" si="0"/>
        <v>143963.25</v>
      </c>
    </row>
    <row r="16" spans="1:7" ht="15.75" x14ac:dyDescent="0.25">
      <c r="A16" s="195">
        <v>44450</v>
      </c>
      <c r="B16" s="193" t="s">
        <v>849</v>
      </c>
      <c r="C16" s="71">
        <v>160009.5</v>
      </c>
      <c r="D16" s="195">
        <v>44456</v>
      </c>
      <c r="E16" s="71">
        <v>250000</v>
      </c>
      <c r="F16" s="183">
        <f t="shared" si="0"/>
        <v>53972.75</v>
      </c>
    </row>
    <row r="17" spans="1:7" ht="15.75" x14ac:dyDescent="0.25">
      <c r="A17" s="195">
        <v>44450</v>
      </c>
      <c r="B17" s="193" t="s">
        <v>851</v>
      </c>
      <c r="C17" s="71">
        <v>41804.449999999997</v>
      </c>
      <c r="D17" s="195"/>
      <c r="E17" s="71"/>
      <c r="F17" s="183">
        <f t="shared" si="0"/>
        <v>95777.2</v>
      </c>
    </row>
    <row r="18" spans="1:7" ht="15.75" x14ac:dyDescent="0.25">
      <c r="A18" s="195">
        <v>44452</v>
      </c>
      <c r="B18" s="193" t="s">
        <v>852</v>
      </c>
      <c r="C18" s="71">
        <v>118720.1</v>
      </c>
      <c r="D18" s="195"/>
      <c r="E18" s="71"/>
      <c r="F18" s="183">
        <f t="shared" si="0"/>
        <v>214497.3</v>
      </c>
    </row>
    <row r="19" spans="1:7" ht="15.75" x14ac:dyDescent="0.25">
      <c r="A19" s="195">
        <v>44452</v>
      </c>
      <c r="B19" s="193" t="s">
        <v>853</v>
      </c>
      <c r="C19" s="71">
        <v>11453.85</v>
      </c>
      <c r="D19" s="195"/>
      <c r="E19" s="71"/>
      <c r="F19" s="183">
        <f t="shared" si="0"/>
        <v>225951.15</v>
      </c>
    </row>
    <row r="20" spans="1:7" ht="15.75" x14ac:dyDescent="0.25">
      <c r="A20" s="195">
        <v>44453</v>
      </c>
      <c r="B20" s="193" t="s">
        <v>854</v>
      </c>
      <c r="C20" s="71">
        <v>40552.5</v>
      </c>
      <c r="D20" s="195"/>
      <c r="E20" s="71"/>
      <c r="F20" s="183">
        <f t="shared" si="0"/>
        <v>266503.65000000002</v>
      </c>
    </row>
    <row r="21" spans="1:7" ht="18.75" x14ac:dyDescent="0.3">
      <c r="A21" s="195">
        <v>44453</v>
      </c>
      <c r="B21" s="193" t="s">
        <v>855</v>
      </c>
      <c r="C21" s="71">
        <v>3906.4</v>
      </c>
      <c r="D21" s="195"/>
      <c r="E21" s="71"/>
      <c r="F21" s="183">
        <f t="shared" si="0"/>
        <v>270410.05000000005</v>
      </c>
      <c r="G21" s="184"/>
    </row>
    <row r="22" spans="1:7" ht="15.75" x14ac:dyDescent="0.25">
      <c r="A22" s="195">
        <v>44453</v>
      </c>
      <c r="B22" s="193" t="s">
        <v>856</v>
      </c>
      <c r="C22" s="71">
        <v>19481.599999999999</v>
      </c>
      <c r="D22" s="195"/>
      <c r="E22" s="71"/>
      <c r="F22" s="183">
        <f t="shared" si="0"/>
        <v>289891.65000000002</v>
      </c>
    </row>
    <row r="23" spans="1:7" ht="15.75" x14ac:dyDescent="0.25">
      <c r="A23" s="195">
        <v>44455</v>
      </c>
      <c r="B23" s="193" t="s">
        <v>857</v>
      </c>
      <c r="C23" s="71">
        <v>22356.400000000001</v>
      </c>
      <c r="D23" s="195"/>
      <c r="E23" s="71"/>
      <c r="F23" s="183">
        <f t="shared" si="0"/>
        <v>312248.05000000005</v>
      </c>
    </row>
    <row r="24" spans="1:7" ht="15.75" x14ac:dyDescent="0.25">
      <c r="A24" s="195">
        <v>44456</v>
      </c>
      <c r="B24" s="193" t="s">
        <v>858</v>
      </c>
      <c r="C24" s="71">
        <v>15570.1</v>
      </c>
      <c r="D24" s="195"/>
      <c r="E24" s="71"/>
      <c r="F24" s="183">
        <f t="shared" si="0"/>
        <v>327818.15000000002</v>
      </c>
    </row>
    <row r="25" spans="1:7" ht="15.75" x14ac:dyDescent="0.25">
      <c r="A25" s="195">
        <v>44457</v>
      </c>
      <c r="B25" s="193" t="s">
        <v>859</v>
      </c>
      <c r="C25" s="71">
        <v>4408</v>
      </c>
      <c r="D25" s="195"/>
      <c r="E25" s="71"/>
      <c r="F25" s="183">
        <f t="shared" si="0"/>
        <v>332226.15000000002</v>
      </c>
    </row>
    <row r="26" spans="1:7" ht="15.75" x14ac:dyDescent="0.25">
      <c r="A26" s="195">
        <v>44457</v>
      </c>
      <c r="B26" s="193" t="s">
        <v>860</v>
      </c>
      <c r="C26" s="71">
        <v>21828.66</v>
      </c>
      <c r="D26" s="195"/>
      <c r="E26" s="71"/>
      <c r="F26" s="183">
        <f t="shared" si="0"/>
        <v>354054.81</v>
      </c>
    </row>
    <row r="27" spans="1:7" ht="15.75" x14ac:dyDescent="0.25">
      <c r="A27" s="195">
        <v>44460</v>
      </c>
      <c r="B27" s="193" t="s">
        <v>861</v>
      </c>
      <c r="C27" s="71">
        <v>127829.35</v>
      </c>
      <c r="D27" s="195"/>
      <c r="E27" s="71"/>
      <c r="F27" s="183">
        <f t="shared" si="0"/>
        <v>481884.16000000003</v>
      </c>
    </row>
    <row r="28" spans="1:7" ht="15.75" x14ac:dyDescent="0.25">
      <c r="A28" s="195">
        <v>44460</v>
      </c>
      <c r="B28" s="193" t="s">
        <v>862</v>
      </c>
      <c r="C28" s="71">
        <v>7185.2</v>
      </c>
      <c r="D28" s="195"/>
      <c r="E28" s="71"/>
      <c r="F28" s="183">
        <f t="shared" si="0"/>
        <v>489069.36000000004</v>
      </c>
    </row>
    <row r="29" spans="1:7" ht="18.75" x14ac:dyDescent="0.3">
      <c r="A29" s="195">
        <v>44460</v>
      </c>
      <c r="B29" s="193" t="s">
        <v>863</v>
      </c>
      <c r="C29" s="71">
        <v>8610</v>
      </c>
      <c r="D29" s="195"/>
      <c r="E29" s="71"/>
      <c r="F29" s="183">
        <f t="shared" si="0"/>
        <v>497679.36000000004</v>
      </c>
      <c r="G29" s="184"/>
    </row>
    <row r="30" spans="1:7" ht="15.75" x14ac:dyDescent="0.25">
      <c r="A30" s="195">
        <v>44462</v>
      </c>
      <c r="B30" s="193" t="s">
        <v>864</v>
      </c>
      <c r="C30" s="71">
        <v>33873.300000000003</v>
      </c>
      <c r="D30" s="195"/>
      <c r="E30" s="71"/>
      <c r="F30" s="183">
        <f t="shared" si="0"/>
        <v>531552.66</v>
      </c>
    </row>
    <row r="31" spans="1:7" ht="15.75" x14ac:dyDescent="0.25">
      <c r="A31" s="195">
        <v>44463</v>
      </c>
      <c r="B31" s="193" t="s">
        <v>865</v>
      </c>
      <c r="C31" s="71">
        <v>18507.900000000001</v>
      </c>
      <c r="D31" s="195"/>
      <c r="E31" s="71"/>
      <c r="F31" s="183">
        <f t="shared" si="0"/>
        <v>550060.56000000006</v>
      </c>
    </row>
    <row r="32" spans="1:7" ht="15.75" x14ac:dyDescent="0.25">
      <c r="A32" s="195">
        <v>44463</v>
      </c>
      <c r="B32" s="193" t="s">
        <v>866</v>
      </c>
      <c r="C32" s="71">
        <v>27979.200000000001</v>
      </c>
      <c r="D32" s="195">
        <v>44463</v>
      </c>
      <c r="E32" s="71">
        <v>578040</v>
      </c>
      <c r="F32" s="183">
        <f t="shared" si="0"/>
        <v>-0.23999999999068677</v>
      </c>
    </row>
    <row r="33" spans="1:6" ht="15.75" x14ac:dyDescent="0.25">
      <c r="A33" s="195"/>
      <c r="B33" s="193"/>
      <c r="C33" s="71"/>
      <c r="D33" s="195"/>
      <c r="E33" s="71"/>
      <c r="F33" s="183">
        <f t="shared" si="0"/>
        <v>-0.23999999999068677</v>
      </c>
    </row>
    <row r="34" spans="1:6" ht="15.75" x14ac:dyDescent="0.25">
      <c r="A34" s="195"/>
      <c r="B34" s="193"/>
      <c r="C34" s="71"/>
      <c r="D34" s="195"/>
      <c r="E34" s="71"/>
      <c r="F34" s="183">
        <f t="shared" si="0"/>
        <v>-0.23999999999068677</v>
      </c>
    </row>
    <row r="35" spans="1:6" ht="15.75" x14ac:dyDescent="0.25">
      <c r="A35" s="195"/>
      <c r="B35" s="193"/>
      <c r="C35" s="71"/>
      <c r="D35" s="195"/>
      <c r="E35" s="71"/>
      <c r="F35" s="183">
        <f t="shared" si="0"/>
        <v>-0.23999999999068677</v>
      </c>
    </row>
    <row r="36" spans="1:6" ht="15.75" x14ac:dyDescent="0.25">
      <c r="A36" s="195"/>
      <c r="B36" s="193"/>
      <c r="C36" s="71"/>
      <c r="D36" s="195"/>
      <c r="E36" s="71"/>
      <c r="F36" s="183">
        <f t="shared" si="0"/>
        <v>-0.23999999999068677</v>
      </c>
    </row>
    <row r="37" spans="1:6" ht="15.75" x14ac:dyDescent="0.25">
      <c r="A37" s="195"/>
      <c r="B37" s="193"/>
      <c r="C37" s="71"/>
      <c r="D37" s="195"/>
      <c r="E37" s="71"/>
      <c r="F37" s="183">
        <f t="shared" si="0"/>
        <v>-0.23999999999068677</v>
      </c>
    </row>
    <row r="38" spans="1:6" ht="15.75" x14ac:dyDescent="0.25">
      <c r="A38" s="195"/>
      <c r="B38" s="193"/>
      <c r="C38" s="71"/>
      <c r="D38" s="195"/>
      <c r="E38" s="71"/>
      <c r="F38" s="183">
        <f t="shared" si="0"/>
        <v>-0.23999999999068677</v>
      </c>
    </row>
    <row r="39" spans="1:6" ht="15.75" x14ac:dyDescent="0.25">
      <c r="A39" s="195"/>
      <c r="B39" s="193"/>
      <c r="C39" s="71"/>
      <c r="D39" s="195"/>
      <c r="E39" s="71"/>
      <c r="F39" s="183">
        <f t="shared" si="0"/>
        <v>-0.23999999999068677</v>
      </c>
    </row>
    <row r="40" spans="1:6" ht="15.75" x14ac:dyDescent="0.25">
      <c r="A40" s="195"/>
      <c r="B40" s="193"/>
      <c r="C40" s="71"/>
      <c r="D40" s="195"/>
      <c r="E40" s="71"/>
      <c r="F40" s="183">
        <f t="shared" si="0"/>
        <v>-0.23999999999068677</v>
      </c>
    </row>
    <row r="41" spans="1:6" ht="15.75" x14ac:dyDescent="0.25">
      <c r="A41" s="195"/>
      <c r="B41" s="193"/>
      <c r="C41" s="71"/>
      <c r="D41" s="195"/>
      <c r="E41" s="71"/>
      <c r="F41" s="183">
        <f t="shared" si="0"/>
        <v>-0.23999999999068677</v>
      </c>
    </row>
    <row r="42" spans="1:6" ht="15.75" x14ac:dyDescent="0.25">
      <c r="A42" s="195"/>
      <c r="B42" s="193"/>
      <c r="C42" s="71"/>
      <c r="D42" s="195"/>
      <c r="E42" s="71"/>
      <c r="F42" s="183">
        <f t="shared" si="0"/>
        <v>-0.23999999999068677</v>
      </c>
    </row>
    <row r="43" spans="1:6" ht="15.75" x14ac:dyDescent="0.25">
      <c r="A43" s="195"/>
      <c r="B43" s="193"/>
      <c r="C43" s="71"/>
      <c r="D43" s="195"/>
      <c r="E43" s="71"/>
      <c r="F43" s="183">
        <f t="shared" si="0"/>
        <v>-0.23999999999068677</v>
      </c>
    </row>
    <row r="44" spans="1:6" ht="15.75" x14ac:dyDescent="0.25">
      <c r="A44" s="195"/>
      <c r="B44" s="193"/>
      <c r="C44" s="71"/>
      <c r="D44" s="195"/>
      <c r="E44" s="71"/>
      <c r="F44" s="183">
        <f t="shared" si="0"/>
        <v>-0.23999999999068677</v>
      </c>
    </row>
    <row r="45" spans="1:6" ht="15.75" x14ac:dyDescent="0.25">
      <c r="A45" s="195"/>
      <c r="B45" s="193"/>
      <c r="C45" s="71"/>
      <c r="D45" s="195"/>
      <c r="E45" s="71"/>
      <c r="F45" s="183">
        <f t="shared" si="0"/>
        <v>-0.23999999999068677</v>
      </c>
    </row>
    <row r="46" spans="1:6" ht="15.75" x14ac:dyDescent="0.25">
      <c r="A46" s="195"/>
      <c r="B46" s="193"/>
      <c r="C46" s="71"/>
      <c r="D46" s="195"/>
      <c r="E46" s="71"/>
      <c r="F46" s="183">
        <f t="shared" si="0"/>
        <v>-0.23999999999068677</v>
      </c>
    </row>
    <row r="47" spans="1:6" ht="15.75" x14ac:dyDescent="0.25">
      <c r="A47" s="195"/>
      <c r="B47" s="193"/>
      <c r="C47" s="71"/>
      <c r="D47" s="195"/>
      <c r="E47" s="71"/>
      <c r="F47" s="183">
        <f t="shared" si="0"/>
        <v>-0.23999999999068677</v>
      </c>
    </row>
    <row r="48" spans="1:6" ht="15.75" x14ac:dyDescent="0.25">
      <c r="A48" s="195"/>
      <c r="B48" s="193"/>
      <c r="C48" s="71"/>
      <c r="D48" s="195"/>
      <c r="E48" s="71"/>
      <c r="F48" s="183">
        <f t="shared" si="0"/>
        <v>-0.23999999999068677</v>
      </c>
    </row>
    <row r="49" spans="1:6" ht="15.75" x14ac:dyDescent="0.25">
      <c r="A49" s="195"/>
      <c r="B49" s="193"/>
      <c r="C49" s="71"/>
      <c r="D49" s="195"/>
      <c r="E49" s="71"/>
      <c r="F49" s="183">
        <f t="shared" si="0"/>
        <v>-0.23999999999068677</v>
      </c>
    </row>
    <row r="50" spans="1:6" ht="15.75" x14ac:dyDescent="0.25">
      <c r="A50" s="195"/>
      <c r="B50" s="193"/>
      <c r="C50" s="71"/>
      <c r="D50" s="195"/>
      <c r="E50" s="71"/>
      <c r="F50" s="183">
        <f t="shared" si="0"/>
        <v>-0.23999999999068677</v>
      </c>
    </row>
    <row r="51" spans="1:6" ht="15.75" x14ac:dyDescent="0.25">
      <c r="A51" s="195"/>
      <c r="B51" s="193"/>
      <c r="C51" s="71"/>
      <c r="D51" s="195"/>
      <c r="E51" s="71"/>
      <c r="F51" s="183">
        <f t="shared" si="0"/>
        <v>-0.23999999999068677</v>
      </c>
    </row>
    <row r="52" spans="1:6" ht="15.75" x14ac:dyDescent="0.25">
      <c r="A52" s="195"/>
      <c r="B52" s="193"/>
      <c r="C52" s="71"/>
      <c r="D52" s="195"/>
      <c r="E52" s="71"/>
      <c r="F52" s="183">
        <f t="shared" si="0"/>
        <v>-0.23999999999068677</v>
      </c>
    </row>
    <row r="53" spans="1:6" ht="15.75" hidden="1" x14ac:dyDescent="0.25">
      <c r="A53" s="192"/>
      <c r="B53" s="193"/>
      <c r="C53" s="71"/>
      <c r="D53" s="195"/>
      <c r="E53" s="71"/>
      <c r="F53" s="183">
        <f t="shared" si="0"/>
        <v>-0.23999999999068677</v>
      </c>
    </row>
    <row r="54" spans="1:6" ht="15.75" hidden="1" x14ac:dyDescent="0.25">
      <c r="A54" s="192"/>
      <c r="B54" s="193"/>
      <c r="C54" s="71"/>
      <c r="D54" s="195"/>
      <c r="E54" s="71"/>
      <c r="F54" s="183">
        <f t="shared" si="0"/>
        <v>-0.23999999999068677</v>
      </c>
    </row>
    <row r="55" spans="1:6" ht="15.75" hidden="1" x14ac:dyDescent="0.25">
      <c r="A55" s="192"/>
      <c r="B55" s="193"/>
      <c r="C55" s="71"/>
      <c r="D55" s="195"/>
      <c r="E55" s="71"/>
      <c r="F55" s="183">
        <f t="shared" si="0"/>
        <v>-0.23999999999068677</v>
      </c>
    </row>
    <row r="56" spans="1:6" ht="15.75" hidden="1" x14ac:dyDescent="0.25">
      <c r="A56" s="195"/>
      <c r="B56" s="193"/>
      <c r="C56" s="71"/>
      <c r="D56" s="195"/>
      <c r="E56" s="71"/>
      <c r="F56" s="183">
        <f t="shared" si="0"/>
        <v>-0.23999999999068677</v>
      </c>
    </row>
    <row r="57" spans="1:6" ht="15.75" hidden="1" x14ac:dyDescent="0.25">
      <c r="A57" s="195"/>
      <c r="B57" s="193"/>
      <c r="C57" s="71"/>
      <c r="D57" s="195"/>
      <c r="E57" s="71"/>
      <c r="F57" s="183">
        <f t="shared" si="0"/>
        <v>-0.23999999999068677</v>
      </c>
    </row>
    <row r="58" spans="1:6" ht="15.75" hidden="1" x14ac:dyDescent="0.25">
      <c r="A58" s="195"/>
      <c r="B58" s="193"/>
      <c r="C58" s="71"/>
      <c r="D58" s="195"/>
      <c r="E58" s="71"/>
      <c r="F58" s="183">
        <f t="shared" si="0"/>
        <v>-0.23999999999068677</v>
      </c>
    </row>
    <row r="59" spans="1:6" ht="15.75" hidden="1" x14ac:dyDescent="0.25">
      <c r="A59" s="192"/>
      <c r="B59" s="193"/>
      <c r="C59" s="71"/>
      <c r="D59" s="195"/>
      <c r="E59" s="71"/>
      <c r="F59" s="183">
        <f t="shared" si="0"/>
        <v>-0.23999999999068677</v>
      </c>
    </row>
    <row r="60" spans="1:6" ht="15.75" hidden="1" x14ac:dyDescent="0.25">
      <c r="A60" s="192"/>
      <c r="B60" s="193"/>
      <c r="C60" s="71"/>
      <c r="D60" s="195"/>
      <c r="E60" s="71"/>
      <c r="F60" s="183">
        <f t="shared" si="0"/>
        <v>-0.23999999999068677</v>
      </c>
    </row>
    <row r="61" spans="1:6" ht="15.75" hidden="1" x14ac:dyDescent="0.25">
      <c r="A61" s="192"/>
      <c r="B61" s="193"/>
      <c r="C61" s="71"/>
      <c r="D61" s="195"/>
      <c r="E61" s="71"/>
      <c r="F61" s="183">
        <f t="shared" si="0"/>
        <v>-0.23999999999068677</v>
      </c>
    </row>
    <row r="62" spans="1:6" ht="15.75" hidden="1" x14ac:dyDescent="0.25">
      <c r="A62" s="192"/>
      <c r="B62" s="193"/>
      <c r="C62" s="71"/>
      <c r="D62" s="195"/>
      <c r="E62" s="71"/>
      <c r="F62" s="183">
        <f t="shared" si="0"/>
        <v>-0.23999999999068677</v>
      </c>
    </row>
    <row r="63" spans="1:6" ht="15.75" hidden="1" x14ac:dyDescent="0.25">
      <c r="A63" s="192"/>
      <c r="B63" s="193"/>
      <c r="C63" s="71"/>
      <c r="D63" s="195"/>
      <c r="E63" s="71"/>
      <c r="F63" s="183">
        <f t="shared" si="0"/>
        <v>-0.23999999999068677</v>
      </c>
    </row>
    <row r="64" spans="1:6" ht="15.75" hidden="1" x14ac:dyDescent="0.25">
      <c r="A64" s="192"/>
      <c r="B64" s="193"/>
      <c r="C64" s="71"/>
      <c r="D64" s="195"/>
      <c r="E64" s="71"/>
      <c r="F64" s="183">
        <f t="shared" si="0"/>
        <v>-0.23999999999068677</v>
      </c>
    </row>
    <row r="65" spans="1:6" ht="15.75" hidden="1" x14ac:dyDescent="0.25">
      <c r="A65" s="192"/>
      <c r="B65" s="193"/>
      <c r="C65" s="71"/>
      <c r="D65" s="195"/>
      <c r="E65" s="71"/>
      <c r="F65" s="183">
        <f t="shared" si="0"/>
        <v>-0.23999999999068677</v>
      </c>
    </row>
    <row r="66" spans="1:6" ht="15.75" hidden="1" x14ac:dyDescent="0.25">
      <c r="A66" s="192"/>
      <c r="B66" s="193"/>
      <c r="C66" s="71"/>
      <c r="D66" s="195"/>
      <c r="E66" s="71"/>
      <c r="F66" s="183">
        <f t="shared" si="0"/>
        <v>-0.23999999999068677</v>
      </c>
    </row>
    <row r="67" spans="1:6" ht="15.75" hidden="1" x14ac:dyDescent="0.25">
      <c r="A67" s="192"/>
      <c r="B67" s="193"/>
      <c r="C67" s="71"/>
      <c r="D67" s="195"/>
      <c r="E67" s="71"/>
      <c r="F67" s="183">
        <f t="shared" si="0"/>
        <v>-0.23999999999068677</v>
      </c>
    </row>
    <row r="68" spans="1:6" ht="15.75" hidden="1" x14ac:dyDescent="0.25">
      <c r="A68" s="192"/>
      <c r="B68" s="193"/>
      <c r="C68" s="71"/>
      <c r="D68" s="195"/>
      <c r="E68" s="71"/>
      <c r="F68" s="183">
        <f t="shared" si="0"/>
        <v>-0.23999999999068677</v>
      </c>
    </row>
    <row r="69" spans="1:6" ht="15.75" hidden="1" x14ac:dyDescent="0.25">
      <c r="A69" s="192"/>
      <c r="B69" s="193"/>
      <c r="C69" s="71"/>
      <c r="D69" s="195"/>
      <c r="E69" s="71"/>
      <c r="F69" s="183">
        <f t="shared" ref="F69:F96" si="1">F68+C69-E69</f>
        <v>-0.23999999999068677</v>
      </c>
    </row>
    <row r="70" spans="1:6" ht="15.75" hidden="1" x14ac:dyDescent="0.25">
      <c r="A70" s="192"/>
      <c r="B70" s="193"/>
      <c r="C70" s="71"/>
      <c r="D70" s="195"/>
      <c r="E70" s="71"/>
      <c r="F70" s="183">
        <f t="shared" si="1"/>
        <v>-0.23999999999068677</v>
      </c>
    </row>
    <row r="71" spans="1:6" ht="15.75" hidden="1" x14ac:dyDescent="0.25">
      <c r="A71" s="192"/>
      <c r="B71" s="193"/>
      <c r="C71" s="71"/>
      <c r="D71" s="195"/>
      <c r="E71" s="71"/>
      <c r="F71" s="183">
        <f t="shared" si="1"/>
        <v>-0.23999999999068677</v>
      </c>
    </row>
    <row r="72" spans="1:6" ht="15.75" hidden="1" x14ac:dyDescent="0.25">
      <c r="A72" s="192"/>
      <c r="B72" s="193"/>
      <c r="C72" s="71"/>
      <c r="D72" s="195"/>
      <c r="E72" s="71"/>
      <c r="F72" s="183">
        <f t="shared" si="1"/>
        <v>-0.23999999999068677</v>
      </c>
    </row>
    <row r="73" spans="1:6" ht="15.75" hidden="1" x14ac:dyDescent="0.25">
      <c r="A73" s="192"/>
      <c r="B73" s="193"/>
      <c r="C73" s="71"/>
      <c r="D73" s="195"/>
      <c r="E73" s="71"/>
      <c r="F73" s="183">
        <f t="shared" si="1"/>
        <v>-0.23999999999068677</v>
      </c>
    </row>
    <row r="74" spans="1:6" ht="15.75" hidden="1" x14ac:dyDescent="0.25">
      <c r="A74" s="192"/>
      <c r="B74" s="193"/>
      <c r="C74" s="71"/>
      <c r="D74" s="195"/>
      <c r="E74" s="71"/>
      <c r="F74" s="183">
        <f t="shared" si="1"/>
        <v>-0.23999999999068677</v>
      </c>
    </row>
    <row r="75" spans="1:6" ht="15.75" hidden="1" x14ac:dyDescent="0.25">
      <c r="A75" s="192"/>
      <c r="B75" s="193"/>
      <c r="C75" s="71"/>
      <c r="D75" s="195"/>
      <c r="E75" s="71"/>
      <c r="F75" s="183">
        <f t="shared" si="1"/>
        <v>-0.23999999999068677</v>
      </c>
    </row>
    <row r="76" spans="1:6" ht="15.75" hidden="1" x14ac:dyDescent="0.25">
      <c r="A76" s="192"/>
      <c r="B76" s="193"/>
      <c r="C76" s="71"/>
      <c r="D76" s="195"/>
      <c r="E76" s="71"/>
      <c r="F76" s="183">
        <f t="shared" si="1"/>
        <v>-0.23999999999068677</v>
      </c>
    </row>
    <row r="77" spans="1:6" ht="15.75" hidden="1" x14ac:dyDescent="0.25">
      <c r="A77" s="192"/>
      <c r="B77" s="193"/>
      <c r="C77" s="71"/>
      <c r="D77" s="195"/>
      <c r="E77" s="71"/>
      <c r="F77" s="183">
        <f t="shared" si="1"/>
        <v>-0.23999999999068677</v>
      </c>
    </row>
    <row r="78" spans="1:6" ht="15.75" hidden="1" x14ac:dyDescent="0.25">
      <c r="A78" s="192"/>
      <c r="B78" s="193"/>
      <c r="C78" s="71"/>
      <c r="D78" s="195"/>
      <c r="E78" s="71"/>
      <c r="F78" s="183">
        <f t="shared" si="1"/>
        <v>-0.23999999999068677</v>
      </c>
    </row>
    <row r="79" spans="1:6" ht="15.75" hidden="1" x14ac:dyDescent="0.25">
      <c r="A79" s="192"/>
      <c r="B79" s="193"/>
      <c r="C79" s="71"/>
      <c r="D79" s="195"/>
      <c r="E79" s="71"/>
      <c r="F79" s="183">
        <f t="shared" si="1"/>
        <v>-0.23999999999068677</v>
      </c>
    </row>
    <row r="80" spans="1:6" ht="15.75" hidden="1" x14ac:dyDescent="0.25">
      <c r="A80" s="186"/>
      <c r="B80" s="187"/>
      <c r="C80" s="7"/>
      <c r="D80" s="181"/>
      <c r="E80" s="7"/>
      <c r="F80" s="183">
        <f t="shared" si="1"/>
        <v>-0.23999999999068677</v>
      </c>
    </row>
    <row r="81" spans="1:6" ht="15.75" hidden="1" x14ac:dyDescent="0.25">
      <c r="A81" s="186"/>
      <c r="B81" s="187"/>
      <c r="C81" s="7"/>
      <c r="D81" s="181"/>
      <c r="E81" s="7"/>
      <c r="F81" s="183">
        <f t="shared" si="1"/>
        <v>-0.23999999999068677</v>
      </c>
    </row>
    <row r="82" spans="1:6" ht="15.75" hidden="1" x14ac:dyDescent="0.25">
      <c r="A82" s="186"/>
      <c r="B82" s="187"/>
      <c r="C82" s="7"/>
      <c r="D82" s="181"/>
      <c r="E82" s="7"/>
      <c r="F82" s="183">
        <f t="shared" si="1"/>
        <v>-0.23999999999068677</v>
      </c>
    </row>
    <row r="83" spans="1:6" ht="15.75" hidden="1" x14ac:dyDescent="0.25">
      <c r="A83" s="186"/>
      <c r="B83" s="187"/>
      <c r="C83" s="7"/>
      <c r="D83" s="181"/>
      <c r="E83" s="7"/>
      <c r="F83" s="183">
        <f t="shared" si="1"/>
        <v>-0.23999999999068677</v>
      </c>
    </row>
    <row r="84" spans="1:6" ht="15.75" hidden="1" x14ac:dyDescent="0.25">
      <c r="A84" s="186"/>
      <c r="B84" s="187"/>
      <c r="C84" s="7"/>
      <c r="D84" s="181"/>
      <c r="E84" s="7"/>
      <c r="F84" s="183">
        <f t="shared" si="1"/>
        <v>-0.23999999999068677</v>
      </c>
    </row>
    <row r="85" spans="1:6" ht="15.75" hidden="1" x14ac:dyDescent="0.25">
      <c r="A85" s="186"/>
      <c r="B85" s="187"/>
      <c r="C85" s="7"/>
      <c r="D85" s="181"/>
      <c r="E85" s="7"/>
      <c r="F85" s="183">
        <f t="shared" si="1"/>
        <v>-0.23999999999068677</v>
      </c>
    </row>
    <row r="86" spans="1:6" ht="15.75" hidden="1" x14ac:dyDescent="0.25">
      <c r="A86" s="270"/>
      <c r="B86" s="268"/>
      <c r="C86" s="71"/>
      <c r="D86" s="269"/>
      <c r="E86" s="71"/>
      <c r="F86" s="183">
        <f t="shared" si="1"/>
        <v>-0.23999999999068677</v>
      </c>
    </row>
    <row r="87" spans="1:6" ht="15.75" hidden="1" x14ac:dyDescent="0.25">
      <c r="A87" s="270"/>
      <c r="B87" s="268"/>
      <c r="C87" s="71"/>
      <c r="D87" s="269"/>
      <c r="E87" s="71"/>
      <c r="F87" s="183">
        <f t="shared" si="1"/>
        <v>-0.23999999999068677</v>
      </c>
    </row>
    <row r="88" spans="1:6" ht="15.75" hidden="1" x14ac:dyDescent="0.25">
      <c r="A88" s="270"/>
      <c r="B88" s="268"/>
      <c r="C88" s="71"/>
      <c r="D88" s="269"/>
      <c r="E88" s="71"/>
      <c r="F88" s="183">
        <f t="shared" si="1"/>
        <v>-0.23999999999068677</v>
      </c>
    </row>
    <row r="89" spans="1:6" ht="15.75" hidden="1" x14ac:dyDescent="0.25">
      <c r="A89" s="270"/>
      <c r="B89" s="268"/>
      <c r="C89" s="71"/>
      <c r="D89" s="269"/>
      <c r="E89" s="71"/>
      <c r="F89" s="183">
        <f t="shared" si="1"/>
        <v>-0.23999999999068677</v>
      </c>
    </row>
    <row r="90" spans="1:6" ht="15.75" hidden="1" x14ac:dyDescent="0.25">
      <c r="A90" s="270"/>
      <c r="B90" s="268"/>
      <c r="C90" s="71"/>
      <c r="D90" s="269"/>
      <c r="E90" s="71"/>
      <c r="F90" s="183">
        <f t="shared" si="1"/>
        <v>-0.23999999999068677</v>
      </c>
    </row>
    <row r="91" spans="1:6" ht="15.75" hidden="1" x14ac:dyDescent="0.25">
      <c r="A91" s="270"/>
      <c r="B91" s="268"/>
      <c r="C91" s="71"/>
      <c r="D91" s="269"/>
      <c r="E91" s="71"/>
      <c r="F91" s="183">
        <f t="shared" si="1"/>
        <v>-0.23999999999068677</v>
      </c>
    </row>
    <row r="92" spans="1:6" ht="15.75" hidden="1" x14ac:dyDescent="0.25">
      <c r="A92" s="270"/>
      <c r="B92" s="268"/>
      <c r="C92" s="71"/>
      <c r="D92" s="269"/>
      <c r="E92" s="71"/>
      <c r="F92" s="183">
        <f t="shared" si="1"/>
        <v>-0.23999999999068677</v>
      </c>
    </row>
    <row r="93" spans="1:6" ht="15.75" hidden="1" x14ac:dyDescent="0.25">
      <c r="A93" s="270"/>
      <c r="B93" s="268"/>
      <c r="C93" s="71"/>
      <c r="D93" s="269"/>
      <c r="E93" s="71"/>
      <c r="F93" s="183">
        <f t="shared" si="1"/>
        <v>-0.23999999999068677</v>
      </c>
    </row>
    <row r="94" spans="1:6" ht="15.75" hidden="1" x14ac:dyDescent="0.25">
      <c r="A94" s="270"/>
      <c r="B94" s="268"/>
      <c r="C94" s="71"/>
      <c r="D94" s="269"/>
      <c r="E94" s="71"/>
      <c r="F94" s="183">
        <f t="shared" si="1"/>
        <v>-0.23999999999068677</v>
      </c>
    </row>
    <row r="95" spans="1:6" ht="15.75" x14ac:dyDescent="0.25">
      <c r="A95" s="270"/>
      <c r="B95" s="268"/>
      <c r="C95" s="71"/>
      <c r="D95" s="269"/>
      <c r="E95" s="71"/>
      <c r="F95" s="183">
        <f t="shared" si="1"/>
        <v>-0.23999999999068677</v>
      </c>
    </row>
    <row r="96" spans="1:6" ht="16.5" thickBot="1" x14ac:dyDescent="0.3">
      <c r="A96" s="188"/>
      <c r="B96" s="189"/>
      <c r="C96" s="84">
        <v>0</v>
      </c>
      <c r="D96" s="190"/>
      <c r="E96" s="84"/>
      <c r="F96" s="183">
        <f t="shared" si="1"/>
        <v>-0.23999999999068677</v>
      </c>
    </row>
    <row r="97" spans="1:6" ht="19.5" thickTop="1" x14ac:dyDescent="0.3">
      <c r="B97" s="60"/>
      <c r="C97" s="4">
        <f>SUM(C3:C96)</f>
        <v>1484401.1400000001</v>
      </c>
      <c r="D97" s="1"/>
      <c r="E97" s="4">
        <f>SUM(E3:E96)</f>
        <v>1484401.38</v>
      </c>
      <c r="F97" s="191">
        <f>F96</f>
        <v>-0.23999999999068677</v>
      </c>
    </row>
    <row r="98" spans="1:6" x14ac:dyDescent="0.25">
      <c r="B98" s="60"/>
      <c r="C98" s="4"/>
      <c r="D98" s="1"/>
      <c r="E98" s="8"/>
      <c r="F98" s="4"/>
    </row>
    <row r="99" spans="1:6" x14ac:dyDescent="0.25">
      <c r="B99" s="60"/>
      <c r="C99" s="4"/>
      <c r="D99" s="1"/>
      <c r="E99" s="8"/>
      <c r="F99" s="4"/>
    </row>
    <row r="100" spans="1:6" x14ac:dyDescent="0.25">
      <c r="A100"/>
      <c r="B100" s="34"/>
      <c r="D100" s="34"/>
    </row>
    <row r="101" spans="1:6" x14ac:dyDescent="0.25">
      <c r="A101"/>
      <c r="B101" s="34"/>
      <c r="D101" s="34"/>
    </row>
    <row r="102" spans="1:6" x14ac:dyDescent="0.25">
      <c r="A102"/>
      <c r="B102" s="34"/>
      <c r="D102" s="34"/>
    </row>
    <row r="103" spans="1:6" x14ac:dyDescent="0.25">
      <c r="A103"/>
      <c r="B103" s="34"/>
      <c r="D103" s="34"/>
      <c r="F103"/>
    </row>
    <row r="104" spans="1:6" x14ac:dyDescent="0.25">
      <c r="A104"/>
      <c r="B104" s="34"/>
      <c r="D104" s="34"/>
      <c r="F104"/>
    </row>
    <row r="105" spans="1:6" x14ac:dyDescent="0.25">
      <c r="A105"/>
      <c r="B105" s="34"/>
      <c r="D105" s="34"/>
      <c r="F105"/>
    </row>
    <row r="106" spans="1:6" x14ac:dyDescent="0.25">
      <c r="A106"/>
      <c r="B106" s="34"/>
      <c r="D106" s="34"/>
      <c r="F106"/>
    </row>
    <row r="107" spans="1:6" x14ac:dyDescent="0.25">
      <c r="A107"/>
      <c r="B107" s="34"/>
      <c r="D107" s="34"/>
      <c r="F107"/>
    </row>
    <row r="108" spans="1:6" x14ac:dyDescent="0.25">
      <c r="A108"/>
      <c r="B108" s="34"/>
      <c r="D108" s="34"/>
      <c r="F108"/>
    </row>
    <row r="109" spans="1:6" x14ac:dyDescent="0.25">
      <c r="A109"/>
      <c r="B109" s="34"/>
      <c r="D109" s="34"/>
      <c r="F109"/>
    </row>
    <row r="110" spans="1:6" x14ac:dyDescent="0.25">
      <c r="A110"/>
      <c r="B110" s="34"/>
      <c r="D110" s="34"/>
      <c r="F110"/>
    </row>
    <row r="111" spans="1:6" x14ac:dyDescent="0.25">
      <c r="A111"/>
      <c r="B111" s="34"/>
      <c r="D111" s="34"/>
      <c r="F111"/>
    </row>
    <row r="112" spans="1:6" x14ac:dyDescent="0.25">
      <c r="A112"/>
      <c r="B112" s="34"/>
      <c r="D112" s="34"/>
      <c r="E112"/>
      <c r="F112"/>
    </row>
    <row r="113" spans="1:6" x14ac:dyDescent="0.25">
      <c r="A113"/>
      <c r="B113" s="34"/>
      <c r="D113" s="34"/>
      <c r="E113"/>
      <c r="F113"/>
    </row>
    <row r="114" spans="1:6" x14ac:dyDescent="0.25">
      <c r="A114"/>
      <c r="B114" s="34"/>
      <c r="D114" s="34"/>
      <c r="E114"/>
      <c r="F114"/>
    </row>
    <row r="115" spans="1:6" x14ac:dyDescent="0.25">
      <c r="A115"/>
      <c r="B115" s="34"/>
      <c r="D115" s="34"/>
      <c r="E115"/>
      <c r="F115"/>
    </row>
    <row r="116" spans="1:6" x14ac:dyDescent="0.25">
      <c r="A116"/>
      <c r="B116" s="34"/>
      <c r="D116" s="34"/>
      <c r="E116"/>
      <c r="F116"/>
    </row>
    <row r="117" spans="1:6" x14ac:dyDescent="0.25">
      <c r="A117"/>
      <c r="B117" s="34"/>
      <c r="D117" s="34"/>
      <c r="E117"/>
      <c r="F117"/>
    </row>
    <row r="118" spans="1:6" x14ac:dyDescent="0.25">
      <c r="B118" s="34"/>
      <c r="D118" s="34"/>
      <c r="E118"/>
    </row>
    <row r="119" spans="1:6" x14ac:dyDescent="0.25">
      <c r="B119" s="34"/>
      <c r="D119" s="34"/>
      <c r="E119"/>
    </row>
    <row r="120" spans="1:6" x14ac:dyDescent="0.25">
      <c r="B120" s="34"/>
      <c r="D120" s="34"/>
      <c r="E120"/>
    </row>
    <row r="121" spans="1:6" x14ac:dyDescent="0.25">
      <c r="B121" s="34"/>
      <c r="D121" s="34"/>
      <c r="E121"/>
    </row>
    <row r="122" spans="1:6" x14ac:dyDescent="0.25">
      <c r="B122" s="34"/>
      <c r="D122" s="34"/>
      <c r="E122"/>
    </row>
    <row r="123" spans="1:6" x14ac:dyDescent="0.25">
      <c r="B123" s="34"/>
      <c r="D123" s="34"/>
      <c r="E123"/>
    </row>
    <row r="124" spans="1:6" x14ac:dyDescent="0.25">
      <c r="B124" s="34"/>
      <c r="D124" s="34"/>
      <c r="E124"/>
    </row>
    <row r="125" spans="1:6" x14ac:dyDescent="0.25">
      <c r="B125" s="34"/>
      <c r="D125" s="34"/>
      <c r="E125"/>
    </row>
    <row r="126" spans="1:6" x14ac:dyDescent="0.25">
      <c r="B126" s="34"/>
      <c r="D126" s="34"/>
      <c r="E126"/>
    </row>
    <row r="127" spans="1:6" x14ac:dyDescent="0.25">
      <c r="B127" s="34"/>
    </row>
    <row r="128" spans="1:6" x14ac:dyDescent="0.25">
      <c r="B128" s="34"/>
    </row>
    <row r="129" spans="2:4" x14ac:dyDescent="0.25">
      <c r="B129" s="34"/>
      <c r="D129" s="34"/>
    </row>
    <row r="130" spans="2:4" x14ac:dyDescent="0.25">
      <c r="B130" s="34"/>
    </row>
    <row r="131" spans="2:4" x14ac:dyDescent="0.25">
      <c r="B131" s="34"/>
    </row>
    <row r="132" spans="2:4" x14ac:dyDescent="0.25">
      <c r="B132" s="34"/>
    </row>
    <row r="133" spans="2:4" ht="18.75" x14ac:dyDescent="0.3">
      <c r="C133" s="126"/>
    </row>
  </sheetData>
  <sortState ref="A3:C6">
    <sortCondition ref="B3:B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G83"/>
  <sheetViews>
    <sheetView topLeftCell="A29" workbookViewId="0">
      <selection activeCell="B55" sqref="B55"/>
    </sheetView>
  </sheetViews>
  <sheetFormatPr baseColWidth="10" defaultRowHeight="15" x14ac:dyDescent="0.25"/>
  <cols>
    <col min="1" max="1" width="13.42578125" style="60" bestFit="1" customWidth="1"/>
    <col min="2" max="2" width="12.85546875" bestFit="1" customWidth="1"/>
    <col min="3" max="3" width="15.85546875" style="9" bestFit="1" customWidth="1"/>
    <col min="4" max="4" width="12.42578125" bestFit="1" customWidth="1"/>
    <col min="5" max="5" width="15.140625" style="9" bestFit="1" customWidth="1"/>
    <col min="6" max="6" width="19.5703125" style="8" bestFit="1" customWidth="1"/>
  </cols>
  <sheetData>
    <row r="1" spans="1:7" ht="36.75" customHeight="1" x14ac:dyDescent="0.35">
      <c r="B1" s="175" t="s">
        <v>31</v>
      </c>
      <c r="C1" s="176"/>
      <c r="D1" s="177"/>
      <c r="E1" s="176"/>
      <c r="F1" s="178"/>
    </row>
    <row r="2" spans="1:7" ht="16.5" thickBot="1" x14ac:dyDescent="0.3">
      <c r="A2" s="179" t="s">
        <v>5</v>
      </c>
      <c r="B2" s="179" t="s">
        <v>27</v>
      </c>
      <c r="C2" s="180" t="s">
        <v>28</v>
      </c>
      <c r="D2" s="179" t="s">
        <v>29</v>
      </c>
      <c r="E2" s="180" t="s">
        <v>30</v>
      </c>
      <c r="F2" s="180" t="s">
        <v>28</v>
      </c>
    </row>
    <row r="3" spans="1:7" ht="18.75" x14ac:dyDescent="0.3">
      <c r="A3" s="192">
        <v>44202</v>
      </c>
      <c r="B3" s="193" t="s">
        <v>34</v>
      </c>
      <c r="C3" s="71">
        <v>88648.82</v>
      </c>
      <c r="D3" s="194"/>
      <c r="E3" s="6"/>
      <c r="F3" s="182">
        <f>C3-E3</f>
        <v>88648.82</v>
      </c>
    </row>
    <row r="4" spans="1:7" ht="18.75" x14ac:dyDescent="0.3">
      <c r="A4" s="192">
        <v>44203</v>
      </c>
      <c r="B4" s="193" t="s">
        <v>35</v>
      </c>
      <c r="C4" s="71">
        <v>77380.66</v>
      </c>
      <c r="D4" s="195"/>
      <c r="E4" s="71"/>
      <c r="F4" s="183">
        <f>F3+C4-E4</f>
        <v>166029.48000000001</v>
      </c>
      <c r="G4" s="184"/>
    </row>
    <row r="5" spans="1:7" x14ac:dyDescent="0.25">
      <c r="A5" s="195">
        <v>44203</v>
      </c>
      <c r="B5" s="193" t="s">
        <v>36</v>
      </c>
      <c r="C5" s="71">
        <v>6257.6</v>
      </c>
      <c r="D5" s="195"/>
      <c r="E5" s="71"/>
      <c r="F5" s="185">
        <f t="shared" ref="F5:F46" si="0">F4+C5-E5</f>
        <v>172287.08000000002</v>
      </c>
    </row>
    <row r="6" spans="1:7" x14ac:dyDescent="0.25">
      <c r="A6" s="195">
        <v>44204</v>
      </c>
      <c r="B6" s="193" t="s">
        <v>37</v>
      </c>
      <c r="C6" s="71">
        <v>29824.799999999999</v>
      </c>
      <c r="D6" s="195"/>
      <c r="E6" s="71"/>
      <c r="F6" s="185">
        <f t="shared" si="0"/>
        <v>202111.88</v>
      </c>
    </row>
    <row r="7" spans="1:7" x14ac:dyDescent="0.25">
      <c r="A7" s="195">
        <v>44204</v>
      </c>
      <c r="B7" s="193" t="s">
        <v>38</v>
      </c>
      <c r="C7" s="71">
        <v>29719.4</v>
      </c>
      <c r="D7" s="195">
        <v>44204</v>
      </c>
      <c r="E7" s="71">
        <v>229882.62</v>
      </c>
      <c r="F7" s="185">
        <f t="shared" si="0"/>
        <v>1948.6600000000035</v>
      </c>
    </row>
    <row r="8" spans="1:7" x14ac:dyDescent="0.25">
      <c r="A8" s="195">
        <v>44204</v>
      </c>
      <c r="B8" s="193" t="s">
        <v>39</v>
      </c>
      <c r="C8" s="71">
        <v>17441.2</v>
      </c>
      <c r="D8" s="195"/>
      <c r="E8" s="71"/>
      <c r="F8" s="185">
        <f t="shared" si="0"/>
        <v>19389.860000000004</v>
      </c>
    </row>
    <row r="9" spans="1:7" x14ac:dyDescent="0.25">
      <c r="A9" s="195">
        <v>44205</v>
      </c>
      <c r="B9" s="193" t="s">
        <v>40</v>
      </c>
      <c r="C9" s="71">
        <v>31258.5</v>
      </c>
      <c r="D9" s="195"/>
      <c r="E9" s="71"/>
      <c r="F9" s="185">
        <f t="shared" si="0"/>
        <v>50648.36</v>
      </c>
    </row>
    <row r="10" spans="1:7" ht="18.75" x14ac:dyDescent="0.3">
      <c r="A10" s="195">
        <v>44205</v>
      </c>
      <c r="B10" s="193" t="s">
        <v>41</v>
      </c>
      <c r="C10" s="71">
        <v>174025</v>
      </c>
      <c r="D10" s="195"/>
      <c r="E10" s="71"/>
      <c r="F10" s="185">
        <f t="shared" si="0"/>
        <v>224673.36</v>
      </c>
      <c r="G10" s="184"/>
    </row>
    <row r="11" spans="1:7" x14ac:dyDescent="0.25">
      <c r="A11" s="192">
        <v>44206</v>
      </c>
      <c r="B11" s="193" t="s">
        <v>42</v>
      </c>
      <c r="C11" s="71">
        <v>4122</v>
      </c>
      <c r="D11" s="195"/>
      <c r="E11" s="71"/>
      <c r="F11" s="185">
        <f t="shared" si="0"/>
        <v>228795.36</v>
      </c>
    </row>
    <row r="12" spans="1:7" x14ac:dyDescent="0.25">
      <c r="A12" s="195">
        <v>44207</v>
      </c>
      <c r="B12" s="193" t="s">
        <v>112</v>
      </c>
      <c r="C12" s="71">
        <v>82463.100000000006</v>
      </c>
      <c r="D12" s="195"/>
      <c r="E12" s="71"/>
      <c r="F12" s="185">
        <f t="shared" si="0"/>
        <v>311258.45999999996</v>
      </c>
    </row>
    <row r="13" spans="1:7" x14ac:dyDescent="0.25">
      <c r="A13" s="195">
        <v>44208</v>
      </c>
      <c r="B13" s="193" t="s">
        <v>113</v>
      </c>
      <c r="C13" s="71">
        <v>13282.5</v>
      </c>
      <c r="D13" s="195"/>
      <c r="E13" s="71"/>
      <c r="F13" s="185">
        <f t="shared" si="0"/>
        <v>324540.95999999996</v>
      </c>
    </row>
    <row r="14" spans="1:7" x14ac:dyDescent="0.25">
      <c r="A14" s="195">
        <v>44208</v>
      </c>
      <c r="B14" s="193" t="s">
        <v>114</v>
      </c>
      <c r="C14" s="71">
        <v>64206</v>
      </c>
      <c r="D14" s="195"/>
      <c r="E14" s="71"/>
      <c r="F14" s="185">
        <f t="shared" si="0"/>
        <v>388746.95999999996</v>
      </c>
    </row>
    <row r="15" spans="1:7" x14ac:dyDescent="0.25">
      <c r="A15" s="195">
        <v>44209</v>
      </c>
      <c r="B15" s="193" t="s">
        <v>115</v>
      </c>
      <c r="C15" s="71">
        <v>104493.72</v>
      </c>
      <c r="D15" s="195">
        <v>44209</v>
      </c>
      <c r="E15" s="71">
        <v>493240.68</v>
      </c>
      <c r="F15" s="185">
        <f t="shared" si="0"/>
        <v>0</v>
      </c>
    </row>
    <row r="16" spans="1:7" x14ac:dyDescent="0.25">
      <c r="A16" s="195">
        <v>44210</v>
      </c>
      <c r="B16" s="193" t="s">
        <v>116</v>
      </c>
      <c r="C16" s="71">
        <v>105726.88</v>
      </c>
      <c r="D16" s="195"/>
      <c r="E16" s="71"/>
      <c r="F16" s="185">
        <f t="shared" si="0"/>
        <v>105726.88</v>
      </c>
    </row>
    <row r="17" spans="1:7" x14ac:dyDescent="0.25">
      <c r="A17" s="195">
        <v>44211</v>
      </c>
      <c r="B17" s="193" t="s">
        <v>117</v>
      </c>
      <c r="C17" s="71">
        <v>872</v>
      </c>
      <c r="D17" s="195">
        <v>44218</v>
      </c>
      <c r="E17" s="71">
        <v>106598.88</v>
      </c>
      <c r="F17" s="185">
        <f t="shared" si="0"/>
        <v>0</v>
      </c>
    </row>
    <row r="18" spans="1:7" x14ac:dyDescent="0.25">
      <c r="A18" s="195">
        <v>44212</v>
      </c>
      <c r="B18" s="193" t="s">
        <v>174</v>
      </c>
      <c r="C18" s="71">
        <v>145792.42000000001</v>
      </c>
      <c r="D18" s="195"/>
      <c r="E18" s="71"/>
      <c r="F18" s="185">
        <f t="shared" si="0"/>
        <v>145792.42000000001</v>
      </c>
    </row>
    <row r="19" spans="1:7" x14ac:dyDescent="0.25">
      <c r="A19" s="195">
        <v>44213</v>
      </c>
      <c r="B19" s="193" t="s">
        <v>175</v>
      </c>
      <c r="C19" s="71">
        <v>1707.5</v>
      </c>
      <c r="D19" s="195"/>
      <c r="E19" s="71"/>
      <c r="F19" s="185">
        <f t="shared" si="0"/>
        <v>147499.92000000001</v>
      </c>
    </row>
    <row r="20" spans="1:7" x14ac:dyDescent="0.25">
      <c r="A20" s="195">
        <v>44214</v>
      </c>
      <c r="B20" s="193" t="s">
        <v>176</v>
      </c>
      <c r="C20" s="71">
        <v>119630.1</v>
      </c>
      <c r="D20" s="195"/>
      <c r="E20" s="71"/>
      <c r="F20" s="185">
        <f t="shared" si="0"/>
        <v>267130.02</v>
      </c>
    </row>
    <row r="21" spans="1:7" x14ac:dyDescent="0.25">
      <c r="A21" s="195">
        <v>44214</v>
      </c>
      <c r="B21" s="193" t="s">
        <v>177</v>
      </c>
      <c r="C21" s="71">
        <v>3724</v>
      </c>
      <c r="D21" s="195"/>
      <c r="E21" s="71"/>
      <c r="F21" s="185">
        <f t="shared" si="0"/>
        <v>270854.02</v>
      </c>
    </row>
    <row r="22" spans="1:7" ht="18.75" x14ac:dyDescent="0.3">
      <c r="A22" s="195">
        <v>44215</v>
      </c>
      <c r="B22" s="193" t="s">
        <v>178</v>
      </c>
      <c r="C22" s="71">
        <v>15785.2</v>
      </c>
      <c r="D22" s="195"/>
      <c r="E22" s="71"/>
      <c r="F22" s="185">
        <f t="shared" si="0"/>
        <v>286639.22000000003</v>
      </c>
      <c r="G22" s="184"/>
    </row>
    <row r="23" spans="1:7" x14ac:dyDescent="0.25">
      <c r="A23" s="195">
        <v>44215</v>
      </c>
      <c r="B23" s="193" t="s">
        <v>179</v>
      </c>
      <c r="C23" s="71">
        <v>68555.88</v>
      </c>
      <c r="D23" s="195"/>
      <c r="E23" s="71"/>
      <c r="F23" s="185">
        <f t="shared" si="0"/>
        <v>355195.10000000003</v>
      </c>
    </row>
    <row r="24" spans="1:7" x14ac:dyDescent="0.25">
      <c r="A24" s="195">
        <v>44216</v>
      </c>
      <c r="B24" s="193" t="s">
        <v>180</v>
      </c>
      <c r="C24" s="71">
        <v>36836</v>
      </c>
      <c r="D24" s="195"/>
      <c r="E24" s="71"/>
      <c r="F24" s="185">
        <f t="shared" si="0"/>
        <v>392031.10000000003</v>
      </c>
    </row>
    <row r="25" spans="1:7" x14ac:dyDescent="0.25">
      <c r="A25" s="195">
        <v>44217</v>
      </c>
      <c r="B25" s="193" t="s">
        <v>181</v>
      </c>
      <c r="C25" s="71">
        <v>2530.7600000000002</v>
      </c>
      <c r="D25" s="195"/>
      <c r="E25" s="71"/>
      <c r="F25" s="185">
        <f t="shared" si="0"/>
        <v>394561.86000000004</v>
      </c>
    </row>
    <row r="26" spans="1:7" x14ac:dyDescent="0.25">
      <c r="A26" s="195">
        <v>44217</v>
      </c>
      <c r="B26" s="193" t="s">
        <v>182</v>
      </c>
      <c r="C26" s="71">
        <v>121062.1</v>
      </c>
      <c r="D26" s="195"/>
      <c r="E26" s="71"/>
      <c r="F26" s="185">
        <f t="shared" si="0"/>
        <v>515623.96000000008</v>
      </c>
    </row>
    <row r="27" spans="1:7" x14ac:dyDescent="0.25">
      <c r="A27" s="195">
        <v>44217</v>
      </c>
      <c r="B27" s="193" t="s">
        <v>183</v>
      </c>
      <c r="C27" s="71">
        <v>41870.199999999997</v>
      </c>
      <c r="D27" s="195">
        <v>44219</v>
      </c>
      <c r="E27" s="71">
        <v>557494.16</v>
      </c>
      <c r="F27" s="185">
        <f t="shared" si="0"/>
        <v>0</v>
      </c>
    </row>
    <row r="28" spans="1:7" x14ac:dyDescent="0.25">
      <c r="A28" s="195">
        <v>44219</v>
      </c>
      <c r="B28" s="193" t="s">
        <v>184</v>
      </c>
      <c r="C28" s="71">
        <v>124057.12</v>
      </c>
      <c r="D28" s="195"/>
      <c r="E28" s="71"/>
      <c r="F28" s="185">
        <f t="shared" si="0"/>
        <v>124057.12</v>
      </c>
    </row>
    <row r="29" spans="1:7" x14ac:dyDescent="0.25">
      <c r="A29" s="195">
        <v>44219</v>
      </c>
      <c r="B29" s="193" t="s">
        <v>185</v>
      </c>
      <c r="C29" s="71">
        <v>18004.099999999999</v>
      </c>
      <c r="D29" s="195"/>
      <c r="E29" s="71"/>
      <c r="F29" s="185">
        <f t="shared" si="0"/>
        <v>142061.22</v>
      </c>
    </row>
    <row r="30" spans="1:7" ht="18.75" x14ac:dyDescent="0.3">
      <c r="A30" s="195">
        <v>44221</v>
      </c>
      <c r="B30" s="193" t="s">
        <v>186</v>
      </c>
      <c r="C30" s="71">
        <v>93602.4</v>
      </c>
      <c r="D30" s="195"/>
      <c r="E30" s="71"/>
      <c r="F30" s="183">
        <f t="shared" si="0"/>
        <v>235663.62</v>
      </c>
      <c r="G30" s="184"/>
    </row>
    <row r="31" spans="1:7" x14ac:dyDescent="0.25">
      <c r="A31" s="195">
        <v>44222</v>
      </c>
      <c r="B31" s="193" t="s">
        <v>187</v>
      </c>
      <c r="C31" s="71">
        <v>88637.8</v>
      </c>
      <c r="D31" s="195"/>
      <c r="E31" s="71"/>
      <c r="F31" s="185">
        <f t="shared" si="0"/>
        <v>324301.42</v>
      </c>
    </row>
    <row r="32" spans="1:7" x14ac:dyDescent="0.25">
      <c r="A32" s="192">
        <v>44224</v>
      </c>
      <c r="B32" s="193" t="s">
        <v>188</v>
      </c>
      <c r="C32" s="71">
        <v>86367.3</v>
      </c>
      <c r="D32" s="195">
        <v>44225</v>
      </c>
      <c r="E32" s="71">
        <v>410668.72</v>
      </c>
      <c r="F32" s="185">
        <f t="shared" si="0"/>
        <v>0</v>
      </c>
    </row>
    <row r="33" spans="1:6" x14ac:dyDescent="0.25">
      <c r="A33" s="192">
        <v>44225</v>
      </c>
      <c r="B33" s="193" t="s">
        <v>189</v>
      </c>
      <c r="C33" s="71">
        <v>9978.84</v>
      </c>
      <c r="D33" s="195"/>
      <c r="E33" s="71"/>
      <c r="F33" s="185">
        <f t="shared" si="0"/>
        <v>9978.84</v>
      </c>
    </row>
    <row r="34" spans="1:6" x14ac:dyDescent="0.25">
      <c r="A34" s="192">
        <v>44226</v>
      </c>
      <c r="B34" s="193" t="s">
        <v>190</v>
      </c>
      <c r="C34" s="71">
        <v>134645.07999999999</v>
      </c>
      <c r="D34" s="195"/>
      <c r="E34" s="71"/>
      <c r="F34" s="185">
        <f t="shared" si="0"/>
        <v>144623.91999999998</v>
      </c>
    </row>
    <row r="35" spans="1:6" x14ac:dyDescent="0.25">
      <c r="A35" s="192">
        <v>44226</v>
      </c>
      <c r="B35" s="193" t="s">
        <v>191</v>
      </c>
      <c r="C35" s="71">
        <v>87578</v>
      </c>
      <c r="D35" s="195"/>
      <c r="E35" s="71"/>
      <c r="F35" s="185">
        <f t="shared" si="0"/>
        <v>232201.91999999998</v>
      </c>
    </row>
    <row r="36" spans="1:6" x14ac:dyDescent="0.25">
      <c r="A36" s="192">
        <v>44227</v>
      </c>
      <c r="B36" s="193" t="s">
        <v>192</v>
      </c>
      <c r="C36" s="71">
        <v>36685.1</v>
      </c>
      <c r="D36" s="195"/>
      <c r="E36" s="71"/>
      <c r="F36" s="185">
        <f t="shared" si="0"/>
        <v>268887.01999999996</v>
      </c>
    </row>
    <row r="37" spans="1:6" x14ac:dyDescent="0.25">
      <c r="A37" s="195">
        <v>44228</v>
      </c>
      <c r="B37" s="193" t="s">
        <v>193</v>
      </c>
      <c r="C37" s="71">
        <v>83542.2</v>
      </c>
      <c r="D37" s="195"/>
      <c r="E37" s="71"/>
      <c r="F37" s="185">
        <f t="shared" si="0"/>
        <v>352429.22</v>
      </c>
    </row>
    <row r="38" spans="1:6" x14ac:dyDescent="0.25">
      <c r="A38" s="195">
        <v>44228</v>
      </c>
      <c r="B38" s="193" t="s">
        <v>194</v>
      </c>
      <c r="C38" s="71">
        <v>1905.7</v>
      </c>
      <c r="D38" s="195"/>
      <c r="E38" s="71"/>
      <c r="F38" s="185">
        <f t="shared" si="0"/>
        <v>354334.92</v>
      </c>
    </row>
    <row r="39" spans="1:6" x14ac:dyDescent="0.25">
      <c r="A39" s="195">
        <v>44229</v>
      </c>
      <c r="B39" s="193" t="s">
        <v>195</v>
      </c>
      <c r="C39" s="71">
        <v>124476.7</v>
      </c>
      <c r="D39" s="195">
        <v>44232</v>
      </c>
      <c r="E39" s="71">
        <v>478811.62</v>
      </c>
      <c r="F39" s="185">
        <f t="shared" si="0"/>
        <v>0</v>
      </c>
    </row>
    <row r="40" spans="1:6" x14ac:dyDescent="0.25">
      <c r="A40" s="192"/>
      <c r="B40" s="193"/>
      <c r="C40" s="71"/>
      <c r="D40" s="195"/>
      <c r="E40" s="71"/>
      <c r="F40" s="185">
        <f t="shared" si="0"/>
        <v>0</v>
      </c>
    </row>
    <row r="41" spans="1:6" x14ac:dyDescent="0.25">
      <c r="A41" s="186"/>
      <c r="B41" s="187"/>
      <c r="C41" s="7"/>
      <c r="D41" s="181"/>
      <c r="E41" s="7"/>
      <c r="F41" s="185">
        <f t="shared" si="0"/>
        <v>0</v>
      </c>
    </row>
    <row r="42" spans="1:6" x14ac:dyDescent="0.25">
      <c r="A42" s="186"/>
      <c r="B42" s="187"/>
      <c r="C42" s="7"/>
      <c r="D42" s="181"/>
      <c r="E42" s="7"/>
      <c r="F42" s="185">
        <f t="shared" si="0"/>
        <v>0</v>
      </c>
    </row>
    <row r="43" spans="1:6" x14ac:dyDescent="0.25">
      <c r="A43" s="186"/>
      <c r="B43" s="187"/>
      <c r="C43" s="7"/>
      <c r="D43" s="181"/>
      <c r="E43" s="7"/>
      <c r="F43" s="185">
        <f t="shared" si="0"/>
        <v>0</v>
      </c>
    </row>
    <row r="44" spans="1:6" x14ac:dyDescent="0.25">
      <c r="A44" s="186"/>
      <c r="B44" s="187"/>
      <c r="C44" s="7"/>
      <c r="D44" s="181"/>
      <c r="E44" s="7"/>
      <c r="F44" s="185">
        <f t="shared" si="0"/>
        <v>0</v>
      </c>
    </row>
    <row r="45" spans="1:6" x14ac:dyDescent="0.25">
      <c r="A45" s="186"/>
      <c r="B45" s="187"/>
      <c r="C45" s="7"/>
      <c r="D45" s="181"/>
      <c r="E45" s="7"/>
      <c r="F45" s="185">
        <f t="shared" si="0"/>
        <v>0</v>
      </c>
    </row>
    <row r="46" spans="1:6" ht="15.75" thickBot="1" x14ac:dyDescent="0.3">
      <c r="A46" s="188"/>
      <c r="B46" s="189"/>
      <c r="C46" s="84">
        <v>0</v>
      </c>
      <c r="D46" s="190"/>
      <c r="E46" s="84"/>
      <c r="F46" s="185">
        <f t="shared" si="0"/>
        <v>0</v>
      </c>
    </row>
    <row r="47" spans="1:6" ht="19.5" thickTop="1" x14ac:dyDescent="0.3">
      <c r="B47" s="60"/>
      <c r="C47" s="4">
        <f>SUM(C3:C46)</f>
        <v>2276696.6800000006</v>
      </c>
      <c r="D47" s="1"/>
      <c r="E47" s="4">
        <f>SUM(E3:E46)</f>
        <v>2276696.6800000002</v>
      </c>
      <c r="F47" s="191">
        <f>F46</f>
        <v>0</v>
      </c>
    </row>
    <row r="48" spans="1:6" x14ac:dyDescent="0.25">
      <c r="B48" s="60"/>
      <c r="C48" s="4"/>
      <c r="D48" s="1"/>
      <c r="E48" s="8"/>
      <c r="F48" s="4"/>
    </row>
    <row r="49" spans="1:6" x14ac:dyDescent="0.25">
      <c r="B49" s="60"/>
      <c r="C49" s="4"/>
      <c r="D49" s="1"/>
      <c r="E49" s="8"/>
      <c r="F49" s="4"/>
    </row>
    <row r="50" spans="1:6" x14ac:dyDescent="0.25">
      <c r="A50"/>
      <c r="B50" s="34"/>
      <c r="D50" s="34"/>
    </row>
    <row r="51" spans="1:6" x14ac:dyDescent="0.25">
      <c r="A51"/>
      <c r="B51" s="34"/>
      <c r="D51" s="34"/>
    </row>
    <row r="52" spans="1:6" x14ac:dyDescent="0.25">
      <c r="A52"/>
      <c r="B52" s="34"/>
      <c r="D52" s="34"/>
    </row>
    <row r="53" spans="1:6" x14ac:dyDescent="0.25">
      <c r="A53"/>
      <c r="B53" s="34"/>
      <c r="D53" s="34"/>
      <c r="F53"/>
    </row>
    <row r="54" spans="1:6" x14ac:dyDescent="0.25">
      <c r="A54"/>
      <c r="B54" s="34"/>
      <c r="D54" s="34"/>
      <c r="F54"/>
    </row>
    <row r="55" spans="1:6" x14ac:dyDescent="0.25">
      <c r="A55"/>
      <c r="B55" s="34"/>
      <c r="D55" s="34"/>
      <c r="F55"/>
    </row>
    <row r="56" spans="1:6" x14ac:dyDescent="0.25">
      <c r="A56"/>
      <c r="B56" s="34"/>
      <c r="D56" s="34"/>
      <c r="F56"/>
    </row>
    <row r="57" spans="1:6" x14ac:dyDescent="0.25">
      <c r="A57"/>
      <c r="B57" s="34"/>
      <c r="D57" s="34"/>
      <c r="F57"/>
    </row>
    <row r="58" spans="1:6" x14ac:dyDescent="0.25">
      <c r="A58"/>
      <c r="B58" s="34"/>
      <c r="D58" s="34"/>
      <c r="F58"/>
    </row>
    <row r="59" spans="1:6" x14ac:dyDescent="0.25">
      <c r="A59"/>
      <c r="B59" s="34"/>
      <c r="D59" s="34"/>
      <c r="F59"/>
    </row>
    <row r="60" spans="1:6" x14ac:dyDescent="0.25">
      <c r="A60"/>
      <c r="B60" s="34"/>
      <c r="D60" s="34"/>
      <c r="F60"/>
    </row>
    <row r="61" spans="1:6" x14ac:dyDescent="0.25">
      <c r="A61"/>
      <c r="B61" s="34"/>
      <c r="D61" s="34"/>
      <c r="F61"/>
    </row>
    <row r="62" spans="1:6" x14ac:dyDescent="0.25">
      <c r="A62"/>
      <c r="B62" s="34"/>
      <c r="D62" s="34"/>
      <c r="E62"/>
      <c r="F62"/>
    </row>
    <row r="63" spans="1:6" x14ac:dyDescent="0.25">
      <c r="A63"/>
      <c r="B63" s="34"/>
      <c r="D63" s="34"/>
      <c r="E63"/>
      <c r="F63"/>
    </row>
    <row r="64" spans="1:6" x14ac:dyDescent="0.25">
      <c r="A64"/>
      <c r="B64" s="34"/>
      <c r="D64" s="34"/>
      <c r="E64"/>
      <c r="F64"/>
    </row>
    <row r="65" spans="1:6" x14ac:dyDescent="0.25">
      <c r="A65"/>
      <c r="B65" s="34"/>
      <c r="D65" s="34"/>
      <c r="E65"/>
      <c r="F65"/>
    </row>
    <row r="66" spans="1:6" x14ac:dyDescent="0.25">
      <c r="A66"/>
      <c r="B66" s="34"/>
      <c r="D66" s="34"/>
      <c r="E66"/>
      <c r="F66"/>
    </row>
    <row r="67" spans="1:6" x14ac:dyDescent="0.25">
      <c r="A67"/>
      <c r="B67" s="34"/>
      <c r="D67" s="34"/>
      <c r="E67"/>
      <c r="F67"/>
    </row>
    <row r="68" spans="1:6" x14ac:dyDescent="0.25">
      <c r="B68" s="34"/>
      <c r="D68" s="34"/>
      <c r="E68"/>
    </row>
    <row r="69" spans="1:6" x14ac:dyDescent="0.25">
      <c r="B69" s="34"/>
      <c r="D69" s="34"/>
      <c r="E69"/>
    </row>
    <row r="70" spans="1:6" x14ac:dyDescent="0.25">
      <c r="B70" s="34"/>
      <c r="D70" s="34"/>
      <c r="E70"/>
    </row>
    <row r="71" spans="1:6" x14ac:dyDescent="0.25">
      <c r="B71" s="34"/>
      <c r="D71" s="34"/>
      <c r="E71"/>
    </row>
    <row r="72" spans="1:6" x14ac:dyDescent="0.25">
      <c r="B72" s="34"/>
      <c r="D72" s="34"/>
      <c r="E72"/>
    </row>
    <row r="73" spans="1:6" x14ac:dyDescent="0.25">
      <c r="B73" s="34"/>
      <c r="D73" s="34"/>
      <c r="E73"/>
    </row>
    <row r="74" spans="1:6" x14ac:dyDescent="0.25">
      <c r="B74" s="34"/>
      <c r="D74" s="34"/>
      <c r="E74"/>
    </row>
    <row r="75" spans="1:6" x14ac:dyDescent="0.25">
      <c r="B75" s="34"/>
      <c r="D75" s="34"/>
      <c r="E75"/>
    </row>
    <row r="76" spans="1:6" x14ac:dyDescent="0.25">
      <c r="B76" s="34"/>
      <c r="D76" s="34"/>
      <c r="E76"/>
    </row>
    <row r="77" spans="1:6" x14ac:dyDescent="0.25">
      <c r="B77" s="34"/>
    </row>
    <row r="78" spans="1:6" x14ac:dyDescent="0.25">
      <c r="B78" s="34"/>
    </row>
    <row r="79" spans="1:6" x14ac:dyDescent="0.25">
      <c r="B79" s="34"/>
      <c r="D79" s="34"/>
    </row>
    <row r="80" spans="1:6" x14ac:dyDescent="0.25">
      <c r="B80" s="34"/>
    </row>
    <row r="81" spans="2:3" x14ac:dyDescent="0.25">
      <c r="B81" s="34"/>
    </row>
    <row r="82" spans="2:3" x14ac:dyDescent="0.25">
      <c r="B82" s="34"/>
    </row>
    <row r="83" spans="2:3" ht="18.75" x14ac:dyDescent="0.3">
      <c r="C83" s="126"/>
    </row>
  </sheetData>
  <pageMargins left="0.7" right="0.7" top="0.75" bottom="0.75" header="0.3" footer="0.3"/>
  <pageSetup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44:G62"/>
  <sheetViews>
    <sheetView topLeftCell="A34" zoomScale="130" zoomScaleNormal="130" workbookViewId="0">
      <selection activeCell="F48" sqref="F48"/>
    </sheetView>
  </sheetViews>
  <sheetFormatPr baseColWidth="10" defaultRowHeight="15" x14ac:dyDescent="0.25"/>
  <cols>
    <col min="3" max="3" width="12.5703125" bestFit="1" customWidth="1"/>
  </cols>
  <sheetData>
    <row r="44" spans="1:7" x14ac:dyDescent="0.25">
      <c r="A44" t="s">
        <v>11</v>
      </c>
    </row>
    <row r="45" spans="1:7" ht="15.75" thickBot="1" x14ac:dyDescent="0.3"/>
    <row r="46" spans="1:7" ht="15" customHeight="1" thickBot="1" x14ac:dyDescent="0.3">
      <c r="A46" s="32"/>
      <c r="B46" s="658" t="s">
        <v>32</v>
      </c>
      <c r="C46" s="659"/>
      <c r="D46" s="659"/>
      <c r="E46" s="660"/>
      <c r="F46" s="4"/>
    </row>
    <row r="47" spans="1:7" ht="16.5" customHeight="1" x14ac:dyDescent="0.25">
      <c r="A47" s="19">
        <v>44457</v>
      </c>
      <c r="B47" s="196" t="s">
        <v>893</v>
      </c>
      <c r="C47" s="197">
        <v>95</v>
      </c>
      <c r="D47" s="198" t="s">
        <v>33</v>
      </c>
      <c r="E47" s="199" t="s">
        <v>894</v>
      </c>
      <c r="F47" s="539">
        <v>417</v>
      </c>
      <c r="G47" s="530"/>
    </row>
    <row r="48" spans="1:7" ht="13.9" customHeight="1" x14ac:dyDescent="0.25">
      <c r="A48" s="19">
        <v>44457</v>
      </c>
      <c r="B48" s="196" t="s">
        <v>895</v>
      </c>
      <c r="C48" s="197">
        <v>1365.91</v>
      </c>
      <c r="D48" s="200" t="s">
        <v>33</v>
      </c>
      <c r="E48" s="199" t="s">
        <v>896</v>
      </c>
      <c r="F48" s="539">
        <v>1259</v>
      </c>
    </row>
    <row r="49" spans="1:6" x14ac:dyDescent="0.25">
      <c r="A49" s="19"/>
      <c r="B49" s="196" t="s">
        <v>885</v>
      </c>
      <c r="C49" s="197">
        <v>0</v>
      </c>
      <c r="D49" s="200" t="s">
        <v>33</v>
      </c>
      <c r="E49" s="199" t="s">
        <v>611</v>
      </c>
      <c r="F49" s="539">
        <v>0</v>
      </c>
    </row>
    <row r="50" spans="1:6" ht="14.25" hidden="1" customHeight="1" x14ac:dyDescent="0.25">
      <c r="A50" s="19"/>
      <c r="B50" s="196" t="s">
        <v>885</v>
      </c>
      <c r="C50" s="197">
        <v>0</v>
      </c>
      <c r="D50" s="200" t="s">
        <v>33</v>
      </c>
      <c r="E50" s="199" t="s">
        <v>611</v>
      </c>
      <c r="F50" s="539">
        <v>0</v>
      </c>
    </row>
    <row r="51" spans="1:6" ht="14.25" hidden="1" customHeight="1" x14ac:dyDescent="0.25">
      <c r="A51" s="19"/>
      <c r="B51" s="196" t="s">
        <v>885</v>
      </c>
      <c r="C51" s="197">
        <v>0</v>
      </c>
      <c r="D51" s="200" t="s">
        <v>33</v>
      </c>
      <c r="E51" s="199" t="s">
        <v>611</v>
      </c>
      <c r="F51" s="539">
        <v>0</v>
      </c>
    </row>
    <row r="52" spans="1:6" ht="14.25" hidden="1" customHeight="1" x14ac:dyDescent="0.25">
      <c r="A52" s="19"/>
      <c r="B52" s="196" t="s">
        <v>885</v>
      </c>
      <c r="C52" s="197">
        <v>0</v>
      </c>
      <c r="D52" s="200" t="s">
        <v>33</v>
      </c>
      <c r="E52" s="199" t="s">
        <v>611</v>
      </c>
      <c r="F52" s="539">
        <v>0</v>
      </c>
    </row>
    <row r="53" spans="1:6" ht="14.25" hidden="1" customHeight="1" x14ac:dyDescent="0.25">
      <c r="A53" s="19"/>
      <c r="B53" s="196" t="s">
        <v>885</v>
      </c>
      <c r="C53" s="197">
        <v>0</v>
      </c>
      <c r="D53" s="200" t="s">
        <v>33</v>
      </c>
      <c r="E53" s="199" t="s">
        <v>611</v>
      </c>
      <c r="F53" s="539">
        <v>0</v>
      </c>
    </row>
    <row r="54" spans="1:6" ht="14.25" hidden="1" customHeight="1" thickBot="1" x14ac:dyDescent="0.3">
      <c r="A54" s="330"/>
      <c r="B54" s="196" t="s">
        <v>885</v>
      </c>
      <c r="C54" s="197">
        <v>0</v>
      </c>
      <c r="D54" s="331" t="s">
        <v>33</v>
      </c>
      <c r="E54" s="199" t="s">
        <v>611</v>
      </c>
      <c r="F54" s="539">
        <v>0</v>
      </c>
    </row>
    <row r="55" spans="1:6" ht="14.25" hidden="1" customHeight="1" x14ac:dyDescent="0.25">
      <c r="A55" s="329"/>
      <c r="B55" s="196" t="s">
        <v>885</v>
      </c>
      <c r="C55" s="197">
        <v>0</v>
      </c>
      <c r="D55" s="198" t="s">
        <v>33</v>
      </c>
      <c r="E55" s="199" t="s">
        <v>611</v>
      </c>
      <c r="F55" s="539">
        <v>0</v>
      </c>
    </row>
    <row r="56" spans="1:6" ht="14.25" hidden="1" customHeight="1" x14ac:dyDescent="0.25">
      <c r="A56" s="19"/>
      <c r="B56" s="196" t="s">
        <v>885</v>
      </c>
      <c r="C56" s="197">
        <v>0</v>
      </c>
      <c r="D56" s="200" t="s">
        <v>33</v>
      </c>
      <c r="E56" s="199" t="s">
        <v>611</v>
      </c>
      <c r="F56" s="539">
        <v>0</v>
      </c>
    </row>
    <row r="57" spans="1:6" ht="14.25" hidden="1" customHeight="1" x14ac:dyDescent="0.25">
      <c r="A57" s="19"/>
      <c r="B57" s="196" t="s">
        <v>885</v>
      </c>
      <c r="C57" s="197">
        <v>0</v>
      </c>
      <c r="D57" s="200" t="s">
        <v>33</v>
      </c>
      <c r="E57" s="199" t="s">
        <v>611</v>
      </c>
      <c r="F57" s="539">
        <v>0</v>
      </c>
    </row>
    <row r="58" spans="1:6" ht="14.25" hidden="1" customHeight="1" x14ac:dyDescent="0.25">
      <c r="A58" s="19"/>
      <c r="B58" s="196" t="s">
        <v>885</v>
      </c>
      <c r="C58" s="197">
        <v>0</v>
      </c>
      <c r="D58" s="200" t="s">
        <v>33</v>
      </c>
      <c r="E58" s="199" t="s">
        <v>611</v>
      </c>
      <c r="F58" s="539">
        <v>0</v>
      </c>
    </row>
    <row r="59" spans="1:6" ht="14.25" hidden="1" customHeight="1" x14ac:dyDescent="0.25">
      <c r="A59" s="19"/>
      <c r="B59" s="196" t="s">
        <v>885</v>
      </c>
      <c r="C59" s="197">
        <v>0</v>
      </c>
      <c r="D59" s="200" t="s">
        <v>33</v>
      </c>
      <c r="E59" s="199" t="s">
        <v>611</v>
      </c>
      <c r="F59" s="539">
        <v>0</v>
      </c>
    </row>
    <row r="60" spans="1:6" ht="14.25" hidden="1" customHeight="1" x14ac:dyDescent="0.25">
      <c r="A60" s="19"/>
      <c r="B60" s="196" t="s">
        <v>885</v>
      </c>
      <c r="C60" s="197">
        <v>0</v>
      </c>
      <c r="D60" s="200" t="s">
        <v>33</v>
      </c>
      <c r="E60" s="199" t="s">
        <v>611</v>
      </c>
      <c r="F60" s="539">
        <v>0</v>
      </c>
    </row>
    <row r="61" spans="1:6" ht="14.25" hidden="1" customHeight="1" x14ac:dyDescent="0.25">
      <c r="A61" s="19"/>
      <c r="B61" s="196" t="s">
        <v>885</v>
      </c>
      <c r="C61" s="197">
        <v>0</v>
      </c>
      <c r="D61" s="200" t="s">
        <v>33</v>
      </c>
      <c r="E61" s="199" t="s">
        <v>611</v>
      </c>
      <c r="F61" s="539">
        <v>0</v>
      </c>
    </row>
    <row r="62" spans="1:6" hidden="1" x14ac:dyDescent="0.25">
      <c r="C62" s="197">
        <v>0</v>
      </c>
    </row>
  </sheetData>
  <sortState ref="A45:F46">
    <sortCondition ref="B45:B46"/>
  </sortState>
  <mergeCells count="1">
    <mergeCell ref="B46:E46"/>
  </mergeCells>
  <pageMargins left="0.70866141732283472" right="0.70866141732283472" top="0.74803149606299213" bottom="0" header="0.31496062992125984" footer="0.31496062992125984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Q62"/>
  <sheetViews>
    <sheetView topLeftCell="A16" workbookViewId="0">
      <selection activeCell="O60" sqref="O60"/>
    </sheetView>
  </sheetViews>
  <sheetFormatPr baseColWidth="10" defaultRowHeight="15" x14ac:dyDescent="0.25"/>
  <cols>
    <col min="1" max="1" width="11.42578125" style="204"/>
    <col min="2" max="2" width="21" bestFit="1" customWidth="1"/>
    <col min="3" max="3" width="13.28515625" customWidth="1"/>
    <col min="4" max="4" width="6.28515625" customWidth="1"/>
    <col min="5" max="5" width="26" bestFit="1" customWidth="1"/>
    <col min="6" max="6" width="8" customWidth="1"/>
    <col min="8" max="8" width="22.85546875" customWidth="1"/>
    <col min="9" max="9" width="21" customWidth="1"/>
    <col min="10" max="10" width="14.42578125" customWidth="1"/>
    <col min="11" max="11" width="3" customWidth="1"/>
    <col min="12" max="12" width="21.140625" customWidth="1"/>
    <col min="13" max="13" width="14.5703125" customWidth="1"/>
    <col min="15" max="15" width="22.85546875" customWidth="1"/>
    <col min="16" max="16" width="18.5703125" customWidth="1"/>
    <col min="17" max="17" width="17.7109375" customWidth="1"/>
  </cols>
  <sheetData>
    <row r="1" spans="1:17" ht="21.75" thickBot="1" x14ac:dyDescent="0.4">
      <c r="B1" s="663" t="s">
        <v>726</v>
      </c>
      <c r="C1" s="663"/>
      <c r="D1" s="663"/>
      <c r="E1" s="663"/>
      <c r="H1" s="664" t="s">
        <v>726</v>
      </c>
      <c r="I1" s="664"/>
      <c r="J1" s="664"/>
      <c r="K1" s="205"/>
      <c r="L1" s="205"/>
      <c r="N1" t="s">
        <v>11</v>
      </c>
      <c r="O1" s="663" t="s">
        <v>725</v>
      </c>
      <c r="P1" s="663"/>
    </row>
    <row r="2" spans="1:17" ht="18" thickBot="1" x14ac:dyDescent="0.35">
      <c r="B2" s="18"/>
      <c r="C2" s="4"/>
      <c r="D2" s="6"/>
      <c r="E2" s="586" t="s">
        <v>562</v>
      </c>
      <c r="F2" s="496"/>
      <c r="H2" s="27" t="s">
        <v>716</v>
      </c>
      <c r="I2" s="28" t="s">
        <v>10</v>
      </c>
      <c r="O2" s="27" t="s">
        <v>716</v>
      </c>
      <c r="P2" s="28" t="s">
        <v>10</v>
      </c>
      <c r="Q2" s="99"/>
    </row>
    <row r="3" spans="1:17" ht="18" thickBot="1" x14ac:dyDescent="0.35">
      <c r="B3" s="27" t="s">
        <v>717</v>
      </c>
      <c r="C3" s="28" t="s">
        <v>10</v>
      </c>
      <c r="D3" s="365"/>
      <c r="E3" s="586"/>
      <c r="F3" s="496"/>
      <c r="H3" s="444">
        <v>126476.5</v>
      </c>
      <c r="I3" s="334">
        <v>10456</v>
      </c>
      <c r="J3" s="495">
        <v>44378</v>
      </c>
      <c r="K3" s="495"/>
      <c r="L3" s="633" t="s">
        <v>567</v>
      </c>
      <c r="M3" s="633"/>
      <c r="O3" s="444">
        <v>64006</v>
      </c>
      <c r="P3" s="42">
        <v>6793</v>
      </c>
      <c r="Q3" s="491">
        <v>44412</v>
      </c>
    </row>
    <row r="4" spans="1:17" ht="17.25" x14ac:dyDescent="0.3">
      <c r="A4" s="494">
        <v>44354</v>
      </c>
      <c r="B4" s="41">
        <v>0</v>
      </c>
      <c r="C4" s="42">
        <v>2926</v>
      </c>
      <c r="D4" s="318" t="s">
        <v>516</v>
      </c>
      <c r="E4" s="497">
        <v>-79419</v>
      </c>
      <c r="F4" s="498"/>
      <c r="H4" s="444">
        <v>121188</v>
      </c>
      <c r="I4" s="334">
        <v>43064</v>
      </c>
      <c r="J4" s="495">
        <v>44379</v>
      </c>
      <c r="K4" s="495"/>
      <c r="L4" s="478">
        <v>341970</v>
      </c>
      <c r="M4" s="472">
        <v>44382</v>
      </c>
      <c r="O4" s="444">
        <v>127855</v>
      </c>
      <c r="P4" s="42">
        <v>3101</v>
      </c>
      <c r="Q4" s="491">
        <v>44413</v>
      </c>
    </row>
    <row r="5" spans="1:17" ht="17.25" x14ac:dyDescent="0.3">
      <c r="A5" s="494">
        <v>44355</v>
      </c>
      <c r="B5" s="41">
        <v>120000</v>
      </c>
      <c r="C5" s="42">
        <v>20382</v>
      </c>
      <c r="D5" s="7"/>
      <c r="E5" s="502">
        <v>-2143</v>
      </c>
      <c r="F5" s="499"/>
      <c r="H5" s="444">
        <v>117804.68</v>
      </c>
      <c r="I5" s="334">
        <v>61735</v>
      </c>
      <c r="J5" s="495">
        <v>44380</v>
      </c>
      <c r="K5" s="495"/>
      <c r="L5" s="479">
        <v>203050</v>
      </c>
      <c r="M5" s="472">
        <v>44386</v>
      </c>
      <c r="O5" s="444">
        <v>99529</v>
      </c>
      <c r="P5" s="42">
        <v>6413</v>
      </c>
      <c r="Q5" s="491">
        <v>44414</v>
      </c>
    </row>
    <row r="6" spans="1:17" ht="17.25" x14ac:dyDescent="0.3">
      <c r="A6" s="494">
        <v>44356</v>
      </c>
      <c r="B6" s="41">
        <f>10230+150+75440</f>
        <v>85820</v>
      </c>
      <c r="C6" s="42">
        <v>2701</v>
      </c>
      <c r="D6" s="7"/>
      <c r="E6" s="502">
        <v>-8801</v>
      </c>
      <c r="F6" s="499"/>
      <c r="H6" s="444">
        <v>112352</v>
      </c>
      <c r="I6" s="456">
        <f>19938+722.5</f>
        <v>20660.5</v>
      </c>
      <c r="J6" s="495">
        <v>44381</v>
      </c>
      <c r="K6" s="495"/>
      <c r="L6" s="479">
        <v>183700</v>
      </c>
      <c r="M6" s="472">
        <v>44386</v>
      </c>
      <c r="O6" s="444">
        <v>102761</v>
      </c>
      <c r="P6" s="42">
        <v>20901</v>
      </c>
      <c r="Q6" s="491">
        <v>44415</v>
      </c>
    </row>
    <row r="7" spans="1:17" ht="18" thickBot="1" x14ac:dyDescent="0.35">
      <c r="A7" s="494">
        <v>44357</v>
      </c>
      <c r="B7" s="41">
        <v>0</v>
      </c>
      <c r="C7" s="42">
        <v>5129</v>
      </c>
      <c r="D7" s="7"/>
      <c r="E7" s="502">
        <v>-121552</v>
      </c>
      <c r="F7" s="499"/>
      <c r="H7" s="444">
        <v>100005</v>
      </c>
      <c r="I7" s="334">
        <v>22327</v>
      </c>
      <c r="J7" s="495">
        <v>44382</v>
      </c>
      <c r="K7" s="495"/>
      <c r="L7" s="480">
        <v>329090</v>
      </c>
      <c r="M7" s="473">
        <v>44389</v>
      </c>
      <c r="O7" s="444">
        <v>93959</v>
      </c>
      <c r="P7" s="42">
        <v>15183</v>
      </c>
      <c r="Q7" s="491">
        <v>44416</v>
      </c>
    </row>
    <row r="8" spans="1:17" ht="17.25" x14ac:dyDescent="0.3">
      <c r="A8" s="494">
        <v>44358</v>
      </c>
      <c r="B8" s="41">
        <v>181550</v>
      </c>
      <c r="C8" s="42">
        <v>8193</v>
      </c>
      <c r="D8" s="7"/>
      <c r="E8" s="503">
        <v>3855</v>
      </c>
      <c r="F8" s="499"/>
      <c r="H8" s="444">
        <v>89170</v>
      </c>
      <c r="I8" s="334">
        <v>34565</v>
      </c>
      <c r="J8" s="495">
        <v>44383</v>
      </c>
      <c r="K8" s="495"/>
      <c r="L8" s="481">
        <v>174070</v>
      </c>
      <c r="M8" s="473">
        <v>44392</v>
      </c>
      <c r="O8" s="444">
        <v>130377</v>
      </c>
      <c r="P8" s="42">
        <v>5385</v>
      </c>
      <c r="Q8" s="491">
        <v>44417</v>
      </c>
    </row>
    <row r="9" spans="1:17" ht="17.25" x14ac:dyDescent="0.3">
      <c r="A9" s="494">
        <v>44359</v>
      </c>
      <c r="B9" s="41">
        <v>325340</v>
      </c>
      <c r="C9" s="42">
        <v>10601</v>
      </c>
      <c r="D9" s="7"/>
      <c r="E9" s="503">
        <v>177657</v>
      </c>
      <c r="F9" s="499"/>
      <c r="H9" s="444">
        <v>60712</v>
      </c>
      <c r="I9" s="334">
        <v>53011</v>
      </c>
      <c r="J9" s="495">
        <v>44384</v>
      </c>
      <c r="K9" s="495"/>
      <c r="L9" s="481">
        <v>339360</v>
      </c>
      <c r="M9" s="472">
        <v>44396</v>
      </c>
      <c r="O9" s="444">
        <v>108147</v>
      </c>
      <c r="P9" s="42">
        <v>4381</v>
      </c>
      <c r="Q9" s="491">
        <v>44418</v>
      </c>
    </row>
    <row r="10" spans="1:17" ht="17.25" x14ac:dyDescent="0.3">
      <c r="A10" s="494">
        <v>44360</v>
      </c>
      <c r="B10" s="41">
        <v>82350</v>
      </c>
      <c r="C10" s="42">
        <v>9369</v>
      </c>
      <c r="D10" s="7"/>
      <c r="E10" s="502">
        <v>-6019</v>
      </c>
      <c r="F10" s="499"/>
      <c r="H10" s="444">
        <v>62018</v>
      </c>
      <c r="I10" s="456">
        <f>29872+165</f>
        <v>30037</v>
      </c>
      <c r="J10" s="495">
        <v>44385</v>
      </c>
      <c r="K10" s="495"/>
      <c r="L10" s="481">
        <v>260000</v>
      </c>
      <c r="M10" s="472">
        <v>44398</v>
      </c>
      <c r="O10" s="444">
        <v>66279</v>
      </c>
      <c r="P10" s="488">
        <f>3982+457+894+4046+135</f>
        <v>9514</v>
      </c>
      <c r="Q10" s="491">
        <v>44419</v>
      </c>
    </row>
    <row r="11" spans="1:17" ht="17.25" x14ac:dyDescent="0.3">
      <c r="A11" s="494">
        <v>44361</v>
      </c>
      <c r="B11" s="41">
        <v>132090</v>
      </c>
      <c r="C11" s="42">
        <v>3080</v>
      </c>
      <c r="D11" s="7"/>
      <c r="E11" s="502">
        <v>-9007</v>
      </c>
      <c r="F11" s="499"/>
      <c r="H11" s="444">
        <v>105176</v>
      </c>
      <c r="I11" s="456">
        <f>28270+3975</f>
        <v>32245</v>
      </c>
      <c r="J11" s="495">
        <v>44386</v>
      </c>
      <c r="K11" s="495"/>
      <c r="L11" s="481">
        <v>313100</v>
      </c>
      <c r="M11" s="472">
        <v>44400</v>
      </c>
      <c r="O11" s="444">
        <v>99618</v>
      </c>
      <c r="P11" s="42">
        <v>6749</v>
      </c>
      <c r="Q11" s="491">
        <v>44420</v>
      </c>
    </row>
    <row r="12" spans="1:17" ht="17.25" x14ac:dyDescent="0.3">
      <c r="A12" s="494">
        <v>44362</v>
      </c>
      <c r="B12" s="41">
        <f>3060+2203+84946</f>
        <v>90209</v>
      </c>
      <c r="C12" s="42">
        <v>8328</v>
      </c>
      <c r="D12" s="396" t="s">
        <v>608</v>
      </c>
      <c r="E12" s="118">
        <v>0</v>
      </c>
      <c r="F12" s="499"/>
      <c r="H12" s="444">
        <v>121085.38</v>
      </c>
      <c r="I12" s="334">
        <v>76989</v>
      </c>
      <c r="J12" s="495">
        <v>44387</v>
      </c>
      <c r="K12" s="495"/>
      <c r="L12" s="481">
        <v>460570</v>
      </c>
      <c r="M12" s="472">
        <v>44403</v>
      </c>
      <c r="O12" s="444">
        <v>99884</v>
      </c>
      <c r="P12" s="42">
        <v>8240</v>
      </c>
      <c r="Q12" s="491">
        <v>44421</v>
      </c>
    </row>
    <row r="13" spans="1:17" ht="17.25" x14ac:dyDescent="0.3">
      <c r="A13" s="494">
        <v>44363</v>
      </c>
      <c r="B13" s="41">
        <f>150+91494</f>
        <v>91644</v>
      </c>
      <c r="C13" s="42">
        <v>6703</v>
      </c>
      <c r="D13" s="395" t="s">
        <v>609</v>
      </c>
      <c r="E13" s="502">
        <v>-5099</v>
      </c>
      <c r="F13" s="499"/>
      <c r="H13" s="444">
        <v>107856</v>
      </c>
      <c r="I13" s="334">
        <f>30266</f>
        <v>30266</v>
      </c>
      <c r="J13" s="495">
        <v>44388</v>
      </c>
      <c r="K13" s="495"/>
      <c r="L13" s="482">
        <v>415730</v>
      </c>
      <c r="M13" s="474">
        <v>44407</v>
      </c>
      <c r="O13" s="444">
        <v>150946.09</v>
      </c>
      <c r="P13" s="42">
        <v>11274</v>
      </c>
      <c r="Q13" s="491">
        <v>44422</v>
      </c>
    </row>
    <row r="14" spans="1:17" ht="17.25" x14ac:dyDescent="0.3">
      <c r="A14" s="494">
        <v>44364</v>
      </c>
      <c r="B14" s="41">
        <v>120000</v>
      </c>
      <c r="C14" s="401">
        <v>8236</v>
      </c>
      <c r="D14" s="7"/>
      <c r="E14" s="502">
        <v>-17820</v>
      </c>
      <c r="F14" s="499"/>
      <c r="H14" s="444">
        <v>102720</v>
      </c>
      <c r="I14" s="334">
        <v>23039</v>
      </c>
      <c r="J14" s="495">
        <v>44389</v>
      </c>
      <c r="K14" s="495"/>
      <c r="L14" s="482">
        <v>295640</v>
      </c>
      <c r="M14" s="472">
        <v>44410</v>
      </c>
      <c r="O14" s="444">
        <v>136098</v>
      </c>
      <c r="P14" s="42">
        <v>6485</v>
      </c>
      <c r="Q14" s="491">
        <v>44423</v>
      </c>
    </row>
    <row r="15" spans="1:17" ht="18" thickBot="1" x14ac:dyDescent="0.35">
      <c r="A15" s="494">
        <v>44365</v>
      </c>
      <c r="B15" s="368">
        <v>164450</v>
      </c>
      <c r="C15" s="7">
        <v>11121</v>
      </c>
      <c r="D15" s="7"/>
      <c r="E15" s="503">
        <v>32802</v>
      </c>
      <c r="F15" s="499"/>
      <c r="H15" s="444">
        <v>72351</v>
      </c>
      <c r="I15" s="334">
        <v>10864</v>
      </c>
      <c r="J15" s="495">
        <v>44390</v>
      </c>
      <c r="K15" s="495"/>
      <c r="L15" s="487">
        <v>290470</v>
      </c>
      <c r="M15" s="472">
        <v>44414</v>
      </c>
      <c r="O15" s="444">
        <v>117971</v>
      </c>
      <c r="P15" s="488">
        <f>6260+105</f>
        <v>6365</v>
      </c>
      <c r="Q15" s="491">
        <v>44424</v>
      </c>
    </row>
    <row r="16" spans="1:17" ht="17.25" x14ac:dyDescent="0.3">
      <c r="A16" s="494">
        <v>44366</v>
      </c>
      <c r="B16" s="41">
        <f>12964+274260</f>
        <v>287224</v>
      </c>
      <c r="C16" s="402">
        <v>12247</v>
      </c>
      <c r="D16" s="7"/>
      <c r="E16" s="503">
        <v>56840</v>
      </c>
      <c r="F16" s="499"/>
      <c r="H16" s="444">
        <v>59954</v>
      </c>
      <c r="I16" s="334">
        <v>18445</v>
      </c>
      <c r="J16" s="495">
        <v>44391</v>
      </c>
      <c r="K16" s="495"/>
      <c r="L16" s="621">
        <f>SUM(L4:L15)</f>
        <v>3606750</v>
      </c>
      <c r="M16" s="475"/>
      <c r="O16" s="444">
        <v>67370</v>
      </c>
      <c r="P16" s="42">
        <v>11112</v>
      </c>
      <c r="Q16" s="491">
        <v>44425</v>
      </c>
    </row>
    <row r="17" spans="1:17" ht="18" thickBot="1" x14ac:dyDescent="0.35">
      <c r="A17" s="494">
        <v>44367</v>
      </c>
      <c r="B17" s="399">
        <v>167190</v>
      </c>
      <c r="C17" s="42">
        <v>12780</v>
      </c>
      <c r="D17" s="7"/>
      <c r="E17" s="502">
        <v>-23695</v>
      </c>
      <c r="F17" s="499"/>
      <c r="H17" s="444">
        <v>126617</v>
      </c>
      <c r="I17" s="456">
        <f>6334+120+18676</f>
        <v>25130</v>
      </c>
      <c r="J17" s="495">
        <v>44392</v>
      </c>
      <c r="K17" s="495"/>
      <c r="L17" s="622"/>
      <c r="M17" s="475"/>
      <c r="O17" s="444">
        <v>0</v>
      </c>
      <c r="P17" s="42">
        <v>0</v>
      </c>
      <c r="Q17" s="491">
        <v>44426</v>
      </c>
    </row>
    <row r="18" spans="1:17" ht="17.25" hidden="1" customHeight="1" x14ac:dyDescent="0.3">
      <c r="A18" s="494">
        <v>44368</v>
      </c>
      <c r="B18" s="41">
        <v>0</v>
      </c>
      <c r="C18" s="42">
        <v>3622</v>
      </c>
      <c r="D18" s="7"/>
      <c r="E18" s="502">
        <v>-83398</v>
      </c>
      <c r="F18" s="499"/>
      <c r="H18" s="444">
        <v>143221</v>
      </c>
      <c r="I18" s="334">
        <v>10616</v>
      </c>
      <c r="J18" s="495">
        <v>44393</v>
      </c>
      <c r="K18" s="495"/>
      <c r="L18" s="477"/>
      <c r="M18" s="42"/>
      <c r="O18" s="444">
        <v>0</v>
      </c>
      <c r="P18" s="42">
        <v>0</v>
      </c>
      <c r="Q18" s="392"/>
    </row>
    <row r="19" spans="1:17" ht="17.25" hidden="1" customHeight="1" x14ac:dyDescent="0.3">
      <c r="A19" s="494">
        <v>44369</v>
      </c>
      <c r="B19" s="41">
        <f>45+1710</f>
        <v>1755</v>
      </c>
      <c r="C19" s="42">
        <v>3669</v>
      </c>
      <c r="D19" s="7"/>
      <c r="E19" s="502">
        <v>-91227</v>
      </c>
      <c r="F19" s="499"/>
      <c r="H19" s="444">
        <v>196142</v>
      </c>
      <c r="I19" s="334">
        <v>21841</v>
      </c>
      <c r="J19" s="495">
        <v>44394</v>
      </c>
      <c r="K19" s="495"/>
      <c r="L19" s="623" t="s">
        <v>719</v>
      </c>
      <c r="M19" s="624"/>
      <c r="O19" s="444">
        <v>0</v>
      </c>
      <c r="P19" s="42">
        <v>0</v>
      </c>
      <c r="Q19" s="392"/>
    </row>
    <row r="20" spans="1:17" ht="17.25" hidden="1" customHeight="1" x14ac:dyDescent="0.3">
      <c r="A20" s="494">
        <v>44370</v>
      </c>
      <c r="B20" s="41">
        <v>135</v>
      </c>
      <c r="C20" s="42">
        <v>6518</v>
      </c>
      <c r="D20" s="7"/>
      <c r="E20" s="502">
        <v>-87086</v>
      </c>
      <c r="F20" s="499"/>
      <c r="H20" s="444">
        <v>107487</v>
      </c>
      <c r="I20" s="334">
        <v>10460</v>
      </c>
      <c r="J20" s="495">
        <v>44395</v>
      </c>
      <c r="K20" s="495"/>
      <c r="L20" s="41"/>
      <c r="M20" s="42"/>
      <c r="O20" s="444">
        <v>0</v>
      </c>
      <c r="P20" s="42">
        <v>0</v>
      </c>
      <c r="Q20" s="392"/>
    </row>
    <row r="21" spans="1:17" ht="17.25" hidden="1" customHeight="1" x14ac:dyDescent="0.3">
      <c r="A21" s="494">
        <v>44371</v>
      </c>
      <c r="B21" s="399">
        <v>81200</v>
      </c>
      <c r="C21" s="42">
        <v>8632</v>
      </c>
      <c r="D21" s="7"/>
      <c r="E21" s="503">
        <v>1077</v>
      </c>
      <c r="F21" s="499"/>
      <c r="H21" s="444">
        <v>106168.82</v>
      </c>
      <c r="I21" s="456">
        <f>1512+6398</f>
        <v>7910</v>
      </c>
      <c r="J21" s="495">
        <v>44396</v>
      </c>
      <c r="K21" s="495"/>
      <c r="L21" s="668">
        <f>L16-H37</f>
        <v>-383122.2200000002</v>
      </c>
      <c r="M21" s="669"/>
      <c r="O21" s="444">
        <v>0</v>
      </c>
      <c r="P21" s="42">
        <v>0</v>
      </c>
      <c r="Q21" s="392"/>
    </row>
    <row r="22" spans="1:17" ht="17.25" hidden="1" customHeight="1" x14ac:dyDescent="0.3">
      <c r="A22" s="494">
        <v>44372</v>
      </c>
      <c r="B22" s="41">
        <v>152531</v>
      </c>
      <c r="C22" s="42">
        <v>5864</v>
      </c>
      <c r="D22" s="7"/>
      <c r="E22" s="118">
        <v>0</v>
      </c>
      <c r="F22" s="499"/>
      <c r="H22" s="444">
        <v>98612</v>
      </c>
      <c r="I22" s="334">
        <v>6840</v>
      </c>
      <c r="J22" s="495">
        <v>44397</v>
      </c>
      <c r="K22" s="495"/>
      <c r="L22" s="670"/>
      <c r="M22" s="671"/>
      <c r="O22" s="444">
        <v>0</v>
      </c>
      <c r="P22" s="42">
        <v>0</v>
      </c>
      <c r="Q22" s="392"/>
    </row>
    <row r="23" spans="1:17" ht="17.25" hidden="1" customHeight="1" x14ac:dyDescent="0.3">
      <c r="A23" s="494">
        <v>44373</v>
      </c>
      <c r="B23" s="41">
        <v>127951</v>
      </c>
      <c r="C23" s="42">
        <v>3550</v>
      </c>
      <c r="D23" s="7"/>
      <c r="E23" s="118">
        <v>0</v>
      </c>
      <c r="F23" s="499"/>
      <c r="H23" s="444">
        <v>132205</v>
      </c>
      <c r="I23" s="334">
        <v>4843</v>
      </c>
      <c r="J23" s="495">
        <v>44398</v>
      </c>
      <c r="K23" s="495"/>
      <c r="L23" s="495"/>
      <c r="O23" s="444">
        <v>0</v>
      </c>
      <c r="P23" s="42">
        <v>0</v>
      </c>
      <c r="Q23" s="392"/>
    </row>
    <row r="24" spans="1:17" ht="17.25" hidden="1" customHeight="1" x14ac:dyDescent="0.3">
      <c r="A24" s="494">
        <v>44374</v>
      </c>
      <c r="B24" s="399">
        <v>137820</v>
      </c>
      <c r="C24" s="42">
        <v>7873</v>
      </c>
      <c r="D24" s="7"/>
      <c r="E24" s="502">
        <v>-787</v>
      </c>
      <c r="F24" s="499"/>
      <c r="H24" s="444">
        <v>77581</v>
      </c>
      <c r="I24" s="456">
        <f>8000+14435</f>
        <v>22435</v>
      </c>
      <c r="J24" s="495">
        <v>44399</v>
      </c>
      <c r="K24" s="495"/>
      <c r="L24" s="495"/>
      <c r="O24" s="444">
        <v>0</v>
      </c>
      <c r="P24" s="42">
        <v>0</v>
      </c>
      <c r="Q24" s="392"/>
    </row>
    <row r="25" spans="1:17" ht="17.25" hidden="1" customHeight="1" x14ac:dyDescent="0.3">
      <c r="A25" s="494">
        <v>44375</v>
      </c>
      <c r="B25" s="41">
        <v>209600</v>
      </c>
      <c r="C25" s="42">
        <v>4664</v>
      </c>
      <c r="D25" s="7"/>
      <c r="E25" s="503">
        <v>102120</v>
      </c>
      <c r="F25" s="499"/>
      <c r="H25" s="444">
        <v>158574</v>
      </c>
      <c r="I25" s="334">
        <v>6232</v>
      </c>
      <c r="J25" s="495">
        <v>44400</v>
      </c>
      <c r="K25" s="495"/>
      <c r="L25" s="495"/>
      <c r="O25" s="444">
        <v>0</v>
      </c>
      <c r="P25" s="42">
        <v>0</v>
      </c>
      <c r="Q25" s="392"/>
    </row>
    <row r="26" spans="1:17" ht="17.25" hidden="1" customHeight="1" x14ac:dyDescent="0.3">
      <c r="A26" s="494">
        <v>44376</v>
      </c>
      <c r="B26" s="41">
        <v>75870</v>
      </c>
      <c r="C26" s="333">
        <v>6888</v>
      </c>
      <c r="D26" s="7"/>
      <c r="E26" s="502">
        <v>-2024</v>
      </c>
      <c r="F26" s="499"/>
      <c r="H26" s="444">
        <v>232014.24</v>
      </c>
      <c r="I26" s="334">
        <v>7988</v>
      </c>
      <c r="J26" s="495">
        <v>44401</v>
      </c>
      <c r="K26" s="495"/>
      <c r="L26" s="495"/>
      <c r="O26" s="444">
        <v>0</v>
      </c>
      <c r="P26" s="42">
        <v>0</v>
      </c>
      <c r="Q26" s="392"/>
    </row>
    <row r="27" spans="1:17" ht="17.25" hidden="1" customHeight="1" x14ac:dyDescent="0.3">
      <c r="A27" s="494">
        <v>44377</v>
      </c>
      <c r="B27" s="41">
        <v>125407</v>
      </c>
      <c r="C27" s="333">
        <v>2918</v>
      </c>
      <c r="D27" s="7"/>
      <c r="E27" s="118">
        <v>0</v>
      </c>
      <c r="F27" s="499"/>
      <c r="H27" s="444">
        <v>168806</v>
      </c>
      <c r="I27" s="334">
        <v>4221</v>
      </c>
      <c r="J27" s="495">
        <v>44402</v>
      </c>
      <c r="K27" s="495"/>
      <c r="L27" s="495"/>
      <c r="O27" s="444">
        <v>0</v>
      </c>
      <c r="P27" s="42">
        <v>0</v>
      </c>
      <c r="Q27" s="392"/>
    </row>
    <row r="28" spans="1:17" ht="17.25" hidden="1" customHeight="1" x14ac:dyDescent="0.3">
      <c r="A28" s="494"/>
      <c r="B28" s="41">
        <v>0</v>
      </c>
      <c r="C28" s="333">
        <v>0</v>
      </c>
      <c r="D28" s="7"/>
      <c r="E28" s="118">
        <v>0</v>
      </c>
      <c r="F28" s="499"/>
      <c r="H28" s="444">
        <v>79889</v>
      </c>
      <c r="I28" s="456">
        <f>3700+3309+3748</f>
        <v>10757</v>
      </c>
      <c r="J28" s="495">
        <v>44403</v>
      </c>
      <c r="K28" s="495"/>
      <c r="L28" s="495"/>
      <c r="O28" s="444">
        <v>0</v>
      </c>
      <c r="P28" s="42">
        <v>0</v>
      </c>
      <c r="Q28" s="392"/>
    </row>
    <row r="29" spans="1:17" ht="17.25" hidden="1" customHeight="1" thickBot="1" x14ac:dyDescent="0.35">
      <c r="A29" s="494"/>
      <c r="B29" s="41">
        <v>0</v>
      </c>
      <c r="C29" s="333">
        <v>0</v>
      </c>
      <c r="D29" s="7"/>
      <c r="E29" s="500">
        <f>SUM(E4:E28)</f>
        <v>-163726</v>
      </c>
      <c r="F29" s="501"/>
      <c r="H29" s="444">
        <v>67572</v>
      </c>
      <c r="I29" s="334">
        <v>3689</v>
      </c>
      <c r="J29" s="495">
        <v>44404</v>
      </c>
      <c r="K29" s="495"/>
      <c r="L29" s="495"/>
      <c r="O29" s="444">
        <v>0</v>
      </c>
      <c r="P29" s="42">
        <v>0</v>
      </c>
      <c r="Q29" s="392"/>
    </row>
    <row r="30" spans="1:17" ht="17.25" hidden="1" customHeight="1" x14ac:dyDescent="0.3">
      <c r="A30" s="494"/>
      <c r="B30" s="41">
        <v>0</v>
      </c>
      <c r="C30" s="333">
        <v>0</v>
      </c>
      <c r="D30" s="7"/>
      <c r="E30" s="7"/>
      <c r="F30" s="7"/>
      <c r="H30" s="444">
        <v>99506.39</v>
      </c>
      <c r="I30" s="334">
        <v>7245</v>
      </c>
      <c r="J30" s="495">
        <v>44405</v>
      </c>
      <c r="K30" s="495"/>
      <c r="L30" s="495"/>
      <c r="O30" s="444">
        <v>0</v>
      </c>
      <c r="P30" s="42">
        <v>0</v>
      </c>
      <c r="Q30" s="392"/>
    </row>
    <row r="31" spans="1:17" ht="17.25" hidden="1" customHeight="1" x14ac:dyDescent="0.3">
      <c r="H31" s="444">
        <v>98280.71</v>
      </c>
      <c r="I31" s="334">
        <v>4996</v>
      </c>
      <c r="J31" s="495">
        <v>44406</v>
      </c>
      <c r="K31" s="495"/>
      <c r="L31" s="495"/>
      <c r="O31" s="444">
        <v>0</v>
      </c>
      <c r="P31" s="42">
        <v>0</v>
      </c>
      <c r="Q31" s="392"/>
    </row>
    <row r="32" spans="1:17" ht="17.25" hidden="1" customHeight="1" x14ac:dyDescent="0.3">
      <c r="H32" s="444">
        <v>197380</v>
      </c>
      <c r="I32" s="334">
        <v>11259</v>
      </c>
      <c r="J32" s="495">
        <v>44407</v>
      </c>
      <c r="K32" s="495"/>
      <c r="L32" s="495"/>
      <c r="O32" s="444">
        <v>0</v>
      </c>
      <c r="P32" s="42">
        <v>0</v>
      </c>
      <c r="Q32" s="392"/>
    </row>
    <row r="33" spans="7:17" ht="17.25" hidden="1" customHeight="1" x14ac:dyDescent="0.3">
      <c r="H33" s="444">
        <v>173618.5</v>
      </c>
      <c r="I33" s="334">
        <v>6530</v>
      </c>
      <c r="J33" s="495">
        <v>44408</v>
      </c>
      <c r="K33" s="495"/>
      <c r="L33" s="495"/>
      <c r="O33" s="444">
        <v>0</v>
      </c>
      <c r="P33" s="42">
        <v>0</v>
      </c>
      <c r="Q33" s="392"/>
    </row>
    <row r="34" spans="7:17" ht="17.25" hidden="1" customHeight="1" x14ac:dyDescent="0.3">
      <c r="H34" s="469">
        <v>129489</v>
      </c>
      <c r="I34" s="334">
        <v>17114</v>
      </c>
      <c r="J34" s="495">
        <v>44409</v>
      </c>
      <c r="K34" s="495"/>
      <c r="L34" s="495"/>
      <c r="O34" s="444">
        <v>0</v>
      </c>
      <c r="P34" s="42">
        <v>0</v>
      </c>
      <c r="Q34" s="392"/>
    </row>
    <row r="35" spans="7:17" ht="17.25" hidden="1" customHeight="1" x14ac:dyDescent="0.3">
      <c r="H35" s="483">
        <v>52350</v>
      </c>
      <c r="I35" s="456">
        <f>6476+45</f>
        <v>6521</v>
      </c>
      <c r="J35" s="495">
        <v>44410</v>
      </c>
      <c r="K35" s="495"/>
      <c r="L35" s="495"/>
      <c r="O35" s="444">
        <v>0</v>
      </c>
      <c r="P35" s="42">
        <v>0</v>
      </c>
      <c r="Q35" s="392"/>
    </row>
    <row r="36" spans="7:17" ht="18" thickBot="1" x14ac:dyDescent="0.35">
      <c r="H36" s="484">
        <v>185490</v>
      </c>
      <c r="I36" s="485">
        <v>24490</v>
      </c>
      <c r="J36" s="495">
        <v>44411</v>
      </c>
      <c r="K36" s="495"/>
      <c r="L36" s="495"/>
      <c r="O36" s="444">
        <v>0</v>
      </c>
      <c r="P36" s="42">
        <v>0</v>
      </c>
      <c r="Q36" s="392"/>
    </row>
    <row r="37" spans="7:17" ht="16.5" thickTop="1" x14ac:dyDescent="0.25">
      <c r="H37" s="629">
        <f>SUM(H3:H36)</f>
        <v>3989872.22</v>
      </c>
      <c r="I37" s="631">
        <f>SUM(I3:I36)</f>
        <v>688820.5</v>
      </c>
      <c r="J37" s="495"/>
      <c r="K37" s="495"/>
      <c r="L37" s="495"/>
      <c r="O37" s="629">
        <f>SUM(O3:O36)</f>
        <v>1464800.09</v>
      </c>
      <c r="P37" s="631">
        <f>SUM(P3:P36)</f>
        <v>121896</v>
      </c>
      <c r="Q37" s="392"/>
    </row>
    <row r="38" spans="7:17" ht="16.5" thickBot="1" x14ac:dyDescent="0.3">
      <c r="H38" s="630"/>
      <c r="I38" s="632"/>
      <c r="J38" s="495"/>
      <c r="K38" s="495"/>
      <c r="L38" s="495"/>
      <c r="O38" s="630"/>
      <c r="P38" s="632"/>
      <c r="Q38" s="392"/>
    </row>
    <row r="39" spans="7:17" ht="15.75" customHeight="1" thickTop="1" x14ac:dyDescent="0.25">
      <c r="H39" s="7"/>
      <c r="I39" s="7"/>
      <c r="O39" s="7"/>
      <c r="P39" s="7"/>
      <c r="Q39" s="392"/>
    </row>
    <row r="40" spans="7:17" ht="18" thickBot="1" x14ac:dyDescent="0.35">
      <c r="G40" s="272"/>
      <c r="H40" s="666"/>
      <c r="I40" s="666"/>
      <c r="O40" s="633" t="s">
        <v>567</v>
      </c>
      <c r="P40" s="633"/>
      <c r="Q40" s="392"/>
    </row>
    <row r="41" spans="7:17" ht="15.75" x14ac:dyDescent="0.25">
      <c r="G41" s="272"/>
      <c r="H41" s="504"/>
      <c r="I41" s="474"/>
      <c r="O41" s="478">
        <v>4046</v>
      </c>
      <c r="P41" s="472">
        <v>44410</v>
      </c>
      <c r="Q41" s="366"/>
    </row>
    <row r="42" spans="7:17" ht="15.75" x14ac:dyDescent="0.25">
      <c r="G42" s="272"/>
      <c r="H42" s="392"/>
      <c r="I42" s="474"/>
      <c r="O42" s="479">
        <v>457</v>
      </c>
      <c r="P42" s="472">
        <v>44417</v>
      </c>
      <c r="Q42" s="366"/>
    </row>
    <row r="43" spans="7:17" ht="15.75" x14ac:dyDescent="0.25">
      <c r="G43" s="272"/>
      <c r="H43" s="392"/>
      <c r="I43" s="474"/>
      <c r="O43" s="479">
        <v>135</v>
      </c>
      <c r="P43" s="472">
        <v>44417</v>
      </c>
      <c r="Q43" s="366"/>
    </row>
    <row r="44" spans="7:17" ht="16.5" thickBot="1" x14ac:dyDescent="0.3">
      <c r="G44" s="272"/>
      <c r="H44" s="392"/>
      <c r="I44" s="474"/>
      <c r="O44" s="480">
        <v>330120</v>
      </c>
      <c r="P44" s="473">
        <v>44417</v>
      </c>
      <c r="Q44" s="366"/>
    </row>
    <row r="45" spans="7:17" ht="15.75" x14ac:dyDescent="0.25">
      <c r="G45" s="272"/>
      <c r="H45" s="392"/>
      <c r="I45" s="474"/>
      <c r="O45" s="481">
        <v>894</v>
      </c>
      <c r="P45" s="473">
        <v>44418</v>
      </c>
      <c r="Q45" s="366"/>
    </row>
    <row r="46" spans="7:17" ht="15.75" x14ac:dyDescent="0.25">
      <c r="G46" s="272"/>
      <c r="H46" s="392"/>
      <c r="I46" s="474"/>
      <c r="O46" s="481">
        <v>300000</v>
      </c>
      <c r="P46" s="472">
        <v>44419</v>
      </c>
      <c r="Q46" s="366"/>
    </row>
    <row r="47" spans="7:17" ht="15.75" x14ac:dyDescent="0.25">
      <c r="G47" s="272"/>
      <c r="H47" s="392"/>
      <c r="I47" s="474"/>
      <c r="O47" s="481">
        <v>324890</v>
      </c>
      <c r="P47" s="472">
        <v>44421</v>
      </c>
      <c r="Q47" s="366"/>
    </row>
    <row r="48" spans="7:17" ht="15.75" x14ac:dyDescent="0.25">
      <c r="G48" s="272"/>
      <c r="H48" s="392"/>
      <c r="I48" s="474"/>
      <c r="O48" s="481">
        <v>159870</v>
      </c>
      <c r="P48" s="472">
        <v>44424</v>
      </c>
      <c r="Q48" s="366"/>
    </row>
    <row r="49" spans="7:17" ht="16.5" customHeight="1" x14ac:dyDescent="0.25">
      <c r="G49" s="272"/>
      <c r="H49" s="392"/>
      <c r="I49" s="474"/>
      <c r="O49" s="481">
        <v>105</v>
      </c>
      <c r="P49" s="472">
        <v>44424</v>
      </c>
      <c r="Q49" s="366"/>
    </row>
    <row r="50" spans="7:17" ht="16.5" customHeight="1" x14ac:dyDescent="0.25">
      <c r="G50" s="272"/>
      <c r="H50" s="392"/>
      <c r="I50" s="474"/>
      <c r="O50" s="481">
        <v>384800</v>
      </c>
      <c r="P50" s="472">
        <v>44426</v>
      </c>
      <c r="Q50" s="366"/>
    </row>
    <row r="51" spans="7:17" ht="15.75" x14ac:dyDescent="0.25">
      <c r="G51" s="272"/>
      <c r="H51" s="392"/>
      <c r="I51" s="474"/>
      <c r="O51" s="482">
        <v>177370</v>
      </c>
      <c r="P51" s="474">
        <v>44427</v>
      </c>
      <c r="Q51" s="392"/>
    </row>
    <row r="52" spans="7:17" ht="16.5" thickBot="1" x14ac:dyDescent="0.3">
      <c r="G52" s="272"/>
      <c r="H52" s="392"/>
      <c r="I52" s="474"/>
      <c r="O52" s="476">
        <v>0</v>
      </c>
      <c r="P52" s="42"/>
      <c r="Q52" s="392"/>
    </row>
    <row r="53" spans="7:17" ht="15.75" x14ac:dyDescent="0.25">
      <c r="G53" s="272"/>
      <c r="H53" s="667"/>
      <c r="I53" s="7"/>
      <c r="O53" s="621">
        <f>SUM(O41:O52)</f>
        <v>1682687</v>
      </c>
      <c r="P53" s="475"/>
      <c r="Q53" s="392"/>
    </row>
    <row r="54" spans="7:17" ht="16.5" thickBot="1" x14ac:dyDescent="0.3">
      <c r="G54" s="272"/>
      <c r="H54" s="667"/>
      <c r="I54" s="7"/>
      <c r="O54" s="622"/>
      <c r="P54" s="475"/>
      <c r="Q54" s="392"/>
    </row>
    <row r="55" spans="7:17" ht="15.75" x14ac:dyDescent="0.25">
      <c r="G55" s="272"/>
      <c r="H55" s="7"/>
      <c r="I55" s="7"/>
      <c r="O55" s="477"/>
      <c r="P55" s="42"/>
      <c r="Q55" s="392"/>
    </row>
    <row r="56" spans="7:17" ht="17.25" x14ac:dyDescent="0.3">
      <c r="G56" s="272"/>
      <c r="H56" s="666"/>
      <c r="I56" s="666"/>
      <c r="O56" s="623" t="s">
        <v>719</v>
      </c>
      <c r="P56" s="624"/>
      <c r="Q56" s="392"/>
    </row>
    <row r="57" spans="7:17" ht="15.75" x14ac:dyDescent="0.25">
      <c r="G57" s="272"/>
      <c r="H57" s="7"/>
      <c r="I57" s="7"/>
      <c r="O57" s="41"/>
      <c r="P57" s="42"/>
      <c r="Q57" s="392"/>
    </row>
    <row r="58" spans="7:17" ht="16.5" customHeight="1" x14ac:dyDescent="0.25">
      <c r="G58" s="272"/>
      <c r="H58" s="665"/>
      <c r="I58" s="665"/>
      <c r="O58" s="492">
        <f>O53-O37</f>
        <v>217886.90999999992</v>
      </c>
      <c r="P58" s="493" t="s">
        <v>727</v>
      </c>
      <c r="Q58" s="392"/>
    </row>
    <row r="59" spans="7:17" ht="22.5" customHeight="1" x14ac:dyDescent="0.25">
      <c r="G59" s="272"/>
      <c r="H59" s="665"/>
      <c r="I59" s="665"/>
      <c r="O59" s="505">
        <v>-383122.22</v>
      </c>
      <c r="P59" s="505" t="s">
        <v>728</v>
      </c>
      <c r="Q59" s="392"/>
    </row>
    <row r="60" spans="7:17" ht="18.75" x14ac:dyDescent="0.3">
      <c r="G60" s="272"/>
      <c r="H60" s="7"/>
      <c r="I60" s="7"/>
      <c r="O60" s="507">
        <v>-163726</v>
      </c>
      <c r="P60" s="118" t="s">
        <v>729</v>
      </c>
      <c r="Q60" s="392"/>
    </row>
    <row r="61" spans="7:17" x14ac:dyDescent="0.25">
      <c r="O61" s="508">
        <v>0</v>
      </c>
      <c r="P61" s="506"/>
    </row>
    <row r="62" spans="7:17" ht="21" x14ac:dyDescent="0.35">
      <c r="O62" s="661">
        <f>SUM(O58:O61)</f>
        <v>-328961.31000000006</v>
      </c>
      <c r="P62" s="662"/>
    </row>
  </sheetData>
  <mergeCells count="20">
    <mergeCell ref="O53:O54"/>
    <mergeCell ref="O56:P56"/>
    <mergeCell ref="L19:M19"/>
    <mergeCell ref="L21:M22"/>
    <mergeCell ref="O62:P62"/>
    <mergeCell ref="E2:E3"/>
    <mergeCell ref="B1:E1"/>
    <mergeCell ref="H1:J1"/>
    <mergeCell ref="L3:M3"/>
    <mergeCell ref="L16:L17"/>
    <mergeCell ref="H58:I59"/>
    <mergeCell ref="O1:P1"/>
    <mergeCell ref="O37:O38"/>
    <mergeCell ref="P37:P38"/>
    <mergeCell ref="O40:P40"/>
    <mergeCell ref="H37:H38"/>
    <mergeCell ref="I37:I38"/>
    <mergeCell ref="H40:I40"/>
    <mergeCell ref="H53:H54"/>
    <mergeCell ref="H56:I56"/>
  </mergeCells>
  <pageMargins left="0.37" right="0.13" top="0.43" bottom="0.27" header="0.3" footer="0.3"/>
  <pageSetup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F62"/>
  <sheetViews>
    <sheetView topLeftCell="A37" workbookViewId="0">
      <selection activeCell="A55" sqref="A55:F57"/>
    </sheetView>
  </sheetViews>
  <sheetFormatPr baseColWidth="10" defaultRowHeight="15" x14ac:dyDescent="0.25"/>
  <sheetData>
    <row r="1" spans="1:6" ht="16.5" thickBot="1" x14ac:dyDescent="0.3">
      <c r="A1" s="32"/>
      <c r="B1" s="658" t="s">
        <v>32</v>
      </c>
      <c r="C1" s="659"/>
      <c r="D1" s="659"/>
      <c r="E1" s="660"/>
      <c r="F1" s="4"/>
    </row>
    <row r="2" spans="1:6" x14ac:dyDescent="0.25">
      <c r="A2" s="19">
        <v>44414</v>
      </c>
      <c r="B2" s="196" t="s">
        <v>732</v>
      </c>
      <c r="C2" s="197">
        <v>148.18</v>
      </c>
      <c r="D2" s="198" t="s">
        <v>33</v>
      </c>
      <c r="E2" s="199" t="s">
        <v>611</v>
      </c>
      <c r="F2" s="72">
        <v>0</v>
      </c>
    </row>
    <row r="3" spans="1:6" x14ac:dyDescent="0.25">
      <c r="A3" s="19">
        <v>44414</v>
      </c>
      <c r="B3" s="196" t="s">
        <v>733</v>
      </c>
      <c r="C3" s="197">
        <v>25.45</v>
      </c>
      <c r="D3" s="200" t="s">
        <v>33</v>
      </c>
      <c r="E3" s="199" t="s">
        <v>27</v>
      </c>
      <c r="F3" s="72">
        <v>0</v>
      </c>
    </row>
    <row r="4" spans="1:6" x14ac:dyDescent="0.25">
      <c r="A4" s="19"/>
      <c r="B4" s="196" t="s">
        <v>611</v>
      </c>
      <c r="C4" s="197">
        <v>0</v>
      </c>
      <c r="D4" s="200" t="s">
        <v>33</v>
      </c>
      <c r="E4" s="199" t="s">
        <v>27</v>
      </c>
      <c r="F4" s="72">
        <v>0</v>
      </c>
    </row>
    <row r="5" spans="1:6" x14ac:dyDescent="0.25">
      <c r="A5" s="19"/>
      <c r="B5" s="196" t="s">
        <v>611</v>
      </c>
      <c r="C5" s="197">
        <v>0</v>
      </c>
      <c r="D5" s="200" t="s">
        <v>33</v>
      </c>
      <c r="E5" s="199" t="s">
        <v>27</v>
      </c>
      <c r="F5" s="72">
        <v>0</v>
      </c>
    </row>
    <row r="8" spans="1:6" ht="15.75" thickBot="1" x14ac:dyDescent="0.3"/>
    <row r="9" spans="1:6" ht="16.5" thickBot="1" x14ac:dyDescent="0.3">
      <c r="A9" s="32"/>
      <c r="B9" s="658" t="s">
        <v>32</v>
      </c>
      <c r="C9" s="659"/>
      <c r="D9" s="659"/>
      <c r="E9" s="660"/>
      <c r="F9" s="4"/>
    </row>
    <row r="10" spans="1:6" x14ac:dyDescent="0.25">
      <c r="A10" s="19">
        <v>44415</v>
      </c>
      <c r="B10" s="196" t="s">
        <v>735</v>
      </c>
      <c r="C10" s="197">
        <v>330.85</v>
      </c>
      <c r="D10" s="198" t="s">
        <v>33</v>
      </c>
      <c r="E10" s="199" t="s">
        <v>736</v>
      </c>
      <c r="F10" s="72">
        <v>295</v>
      </c>
    </row>
    <row r="11" spans="1:6" x14ac:dyDescent="0.25">
      <c r="A11" s="19">
        <v>44415</v>
      </c>
      <c r="B11" s="196" t="s">
        <v>737</v>
      </c>
      <c r="C11" s="197">
        <v>685.45</v>
      </c>
      <c r="D11" s="200" t="s">
        <v>33</v>
      </c>
      <c r="E11" s="199" t="s">
        <v>738</v>
      </c>
      <c r="F11" s="72">
        <v>203</v>
      </c>
    </row>
    <row r="12" spans="1:6" x14ac:dyDescent="0.25">
      <c r="A12" s="19">
        <v>44415</v>
      </c>
      <c r="B12" s="196" t="s">
        <v>739</v>
      </c>
      <c r="C12" s="197">
        <v>506.05</v>
      </c>
      <c r="D12" s="200" t="s">
        <v>33</v>
      </c>
      <c r="E12" s="199" t="s">
        <v>740</v>
      </c>
      <c r="F12" s="72">
        <v>495</v>
      </c>
    </row>
    <row r="13" spans="1:6" x14ac:dyDescent="0.25">
      <c r="A13" s="19"/>
      <c r="B13" s="196" t="s">
        <v>611</v>
      </c>
      <c r="C13" s="197">
        <v>0</v>
      </c>
      <c r="D13" s="200" t="s">
        <v>33</v>
      </c>
      <c r="E13" s="199" t="s">
        <v>27</v>
      </c>
      <c r="F13" s="72">
        <v>0</v>
      </c>
    </row>
    <row r="14" spans="1:6" x14ac:dyDescent="0.25">
      <c r="A14" s="19"/>
      <c r="B14" s="196" t="s">
        <v>611</v>
      </c>
      <c r="C14" s="197">
        <v>0</v>
      </c>
      <c r="D14" s="200" t="s">
        <v>33</v>
      </c>
      <c r="E14" s="199" t="s">
        <v>27</v>
      </c>
      <c r="F14" s="72">
        <v>0</v>
      </c>
    </row>
    <row r="15" spans="1:6" x14ac:dyDescent="0.25">
      <c r="A15" s="19"/>
      <c r="B15" s="196" t="s">
        <v>611</v>
      </c>
      <c r="C15" s="197">
        <v>0</v>
      </c>
      <c r="D15" s="200" t="s">
        <v>33</v>
      </c>
      <c r="E15" s="199" t="s">
        <v>27</v>
      </c>
      <c r="F15" s="72">
        <v>0</v>
      </c>
    </row>
    <row r="16" spans="1:6" x14ac:dyDescent="0.25">
      <c r="A16" s="19"/>
      <c r="B16" s="196" t="s">
        <v>611</v>
      </c>
      <c r="C16" s="197">
        <v>0</v>
      </c>
      <c r="D16" s="200" t="s">
        <v>33</v>
      </c>
      <c r="E16" s="199" t="s">
        <v>27</v>
      </c>
      <c r="F16" s="72">
        <v>0</v>
      </c>
    </row>
    <row r="17" spans="1:6" ht="15.75" thickBot="1" x14ac:dyDescent="0.3">
      <c r="A17" s="330"/>
      <c r="B17" s="196" t="s">
        <v>611</v>
      </c>
      <c r="C17" s="197">
        <v>0</v>
      </c>
      <c r="D17" s="331" t="s">
        <v>33</v>
      </c>
      <c r="E17" s="199" t="s">
        <v>27</v>
      </c>
      <c r="F17" s="72">
        <v>0</v>
      </c>
    </row>
    <row r="19" spans="1:6" ht="15.75" thickBot="1" x14ac:dyDescent="0.3"/>
    <row r="20" spans="1:6" ht="16.5" thickBot="1" x14ac:dyDescent="0.3">
      <c r="A20" s="32"/>
      <c r="B20" s="658" t="s">
        <v>32</v>
      </c>
      <c r="C20" s="659"/>
      <c r="D20" s="659"/>
      <c r="E20" s="660"/>
      <c r="F20" s="4"/>
    </row>
    <row r="21" spans="1:6" x14ac:dyDescent="0.25">
      <c r="A21" s="19">
        <v>44416</v>
      </c>
      <c r="B21" s="196" t="s">
        <v>742</v>
      </c>
      <c r="C21" s="197">
        <v>385.05</v>
      </c>
      <c r="D21" s="198" t="s">
        <v>33</v>
      </c>
      <c r="E21" s="199" t="s">
        <v>743</v>
      </c>
      <c r="F21" s="72">
        <v>289</v>
      </c>
    </row>
    <row r="22" spans="1:6" x14ac:dyDescent="0.25">
      <c r="A22" s="19">
        <v>44416</v>
      </c>
      <c r="B22" s="196" t="s">
        <v>744</v>
      </c>
      <c r="C22" s="197">
        <v>5190.05</v>
      </c>
      <c r="D22" s="200" t="s">
        <v>33</v>
      </c>
      <c r="E22" s="199" t="s">
        <v>745</v>
      </c>
      <c r="F22" s="72">
        <v>49</v>
      </c>
    </row>
    <row r="23" spans="1:6" x14ac:dyDescent="0.25">
      <c r="A23" s="19">
        <v>44416</v>
      </c>
      <c r="B23" s="196" t="s">
        <v>746</v>
      </c>
      <c r="C23" s="197">
        <v>114.81</v>
      </c>
      <c r="D23" s="200" t="s">
        <v>33</v>
      </c>
      <c r="E23" s="199" t="s">
        <v>747</v>
      </c>
      <c r="F23" s="72">
        <v>314</v>
      </c>
    </row>
    <row r="24" spans="1:6" x14ac:dyDescent="0.25">
      <c r="A24" s="19">
        <v>44416</v>
      </c>
      <c r="B24" s="196" t="s">
        <v>748</v>
      </c>
      <c r="C24" s="197">
        <v>112.91</v>
      </c>
      <c r="D24" s="200" t="s">
        <v>33</v>
      </c>
      <c r="E24" s="199" t="s">
        <v>749</v>
      </c>
      <c r="F24" s="72">
        <v>122</v>
      </c>
    </row>
    <row r="25" spans="1:6" x14ac:dyDescent="0.25">
      <c r="A25" s="19"/>
      <c r="B25" s="196" t="s">
        <v>611</v>
      </c>
      <c r="C25" s="197">
        <v>0</v>
      </c>
      <c r="D25" s="200" t="s">
        <v>33</v>
      </c>
      <c r="E25" s="199" t="s">
        <v>27</v>
      </c>
      <c r="F25" s="72">
        <v>0</v>
      </c>
    </row>
    <row r="26" spans="1:6" x14ac:dyDescent="0.25">
      <c r="A26" s="19"/>
      <c r="B26" s="196" t="s">
        <v>611</v>
      </c>
      <c r="C26" s="197">
        <v>0</v>
      </c>
      <c r="D26" s="200" t="s">
        <v>33</v>
      </c>
      <c r="E26" s="199" t="s">
        <v>27</v>
      </c>
      <c r="F26" s="72">
        <v>0</v>
      </c>
    </row>
    <row r="27" spans="1:6" x14ac:dyDescent="0.25">
      <c r="A27" s="19"/>
      <c r="B27" s="196" t="s">
        <v>611</v>
      </c>
      <c r="C27" s="197">
        <v>0</v>
      </c>
      <c r="D27" s="200" t="s">
        <v>33</v>
      </c>
      <c r="E27" s="199" t="s">
        <v>27</v>
      </c>
      <c r="F27" s="72">
        <v>0</v>
      </c>
    </row>
    <row r="28" spans="1:6" ht="15.75" thickBot="1" x14ac:dyDescent="0.3">
      <c r="A28" s="330"/>
      <c r="B28" s="196" t="s">
        <v>611</v>
      </c>
      <c r="C28" s="197">
        <v>0</v>
      </c>
      <c r="D28" s="331" t="s">
        <v>33</v>
      </c>
      <c r="E28" s="199" t="s">
        <v>27</v>
      </c>
      <c r="F28" s="72">
        <v>0</v>
      </c>
    </row>
    <row r="30" spans="1:6" ht="15.75" thickBot="1" x14ac:dyDescent="0.3"/>
    <row r="31" spans="1:6" ht="16.5" thickBot="1" x14ac:dyDescent="0.3">
      <c r="A31" s="32"/>
      <c r="B31" s="658" t="s">
        <v>32</v>
      </c>
      <c r="C31" s="659"/>
      <c r="D31" s="659"/>
      <c r="E31" s="660"/>
      <c r="F31" s="4"/>
    </row>
    <row r="32" spans="1:6" x14ac:dyDescent="0.25">
      <c r="A32" s="19">
        <v>44419</v>
      </c>
      <c r="B32" s="196" t="s">
        <v>754</v>
      </c>
      <c r="C32" s="197">
        <v>7694.4</v>
      </c>
      <c r="D32" s="198" t="s">
        <v>33</v>
      </c>
      <c r="E32" s="199" t="s">
        <v>755</v>
      </c>
      <c r="F32" s="72">
        <v>166</v>
      </c>
    </row>
    <row r="33" spans="1:6" x14ac:dyDescent="0.25">
      <c r="A33" s="19">
        <v>44419</v>
      </c>
      <c r="B33" s="196" t="s">
        <v>756</v>
      </c>
      <c r="C33" s="197">
        <v>347.44</v>
      </c>
      <c r="D33" s="200" t="s">
        <v>33</v>
      </c>
      <c r="E33" s="199" t="s">
        <v>757</v>
      </c>
      <c r="F33" s="72">
        <v>174</v>
      </c>
    </row>
    <row r="34" spans="1:6" x14ac:dyDescent="0.25">
      <c r="A34" s="19"/>
      <c r="B34" s="196" t="s">
        <v>611</v>
      </c>
      <c r="C34" s="197">
        <v>0</v>
      </c>
      <c r="D34" s="200" t="s">
        <v>33</v>
      </c>
      <c r="E34" s="199" t="s">
        <v>27</v>
      </c>
      <c r="F34" s="72">
        <v>0</v>
      </c>
    </row>
    <row r="35" spans="1:6" x14ac:dyDescent="0.25">
      <c r="A35" s="19"/>
      <c r="B35" s="196" t="s">
        <v>611</v>
      </c>
      <c r="C35" s="197">
        <v>0</v>
      </c>
      <c r="D35" s="200" t="s">
        <v>33</v>
      </c>
      <c r="E35" s="199" t="s">
        <v>27</v>
      </c>
      <c r="F35" s="72">
        <v>0</v>
      </c>
    </row>
    <row r="36" spans="1:6" x14ac:dyDescent="0.25">
      <c r="A36" s="19"/>
      <c r="B36" s="196" t="s">
        <v>611</v>
      </c>
      <c r="C36" s="197">
        <v>0</v>
      </c>
      <c r="D36" s="200" t="s">
        <v>33</v>
      </c>
      <c r="E36" s="199" t="s">
        <v>27</v>
      </c>
      <c r="F36" s="72">
        <v>0</v>
      </c>
    </row>
    <row r="37" spans="1:6" x14ac:dyDescent="0.25">
      <c r="A37" s="19"/>
      <c r="B37" s="196" t="s">
        <v>611</v>
      </c>
      <c r="C37" s="197">
        <v>0</v>
      </c>
      <c r="D37" s="200" t="s">
        <v>33</v>
      </c>
      <c r="E37" s="199" t="s">
        <v>27</v>
      </c>
      <c r="F37" s="72">
        <v>0</v>
      </c>
    </row>
    <row r="38" spans="1:6" x14ac:dyDescent="0.25">
      <c r="A38" s="19"/>
      <c r="B38" s="196" t="s">
        <v>611</v>
      </c>
      <c r="C38" s="197">
        <v>0</v>
      </c>
      <c r="D38" s="200" t="s">
        <v>33</v>
      </c>
      <c r="E38" s="199" t="s">
        <v>27</v>
      </c>
      <c r="F38" s="72">
        <v>0</v>
      </c>
    </row>
    <row r="39" spans="1:6" ht="15.75" thickBot="1" x14ac:dyDescent="0.3">
      <c r="A39" s="330"/>
      <c r="B39" s="196" t="s">
        <v>611</v>
      </c>
      <c r="C39" s="197">
        <v>0</v>
      </c>
      <c r="D39" s="331" t="s">
        <v>33</v>
      </c>
      <c r="E39" s="199" t="s">
        <v>27</v>
      </c>
      <c r="F39" s="72">
        <v>0</v>
      </c>
    </row>
    <row r="41" spans="1:6" ht="15.75" thickBot="1" x14ac:dyDescent="0.3"/>
    <row r="42" spans="1:6" ht="16.5" thickBot="1" x14ac:dyDescent="0.3">
      <c r="A42" s="32"/>
      <c r="B42" s="658" t="s">
        <v>32</v>
      </c>
      <c r="C42" s="659"/>
      <c r="D42" s="659"/>
      <c r="E42" s="660"/>
      <c r="F42" s="4"/>
    </row>
    <row r="43" spans="1:6" x14ac:dyDescent="0.25">
      <c r="A43" s="19">
        <v>44420</v>
      </c>
      <c r="B43" s="196" t="s">
        <v>759</v>
      </c>
      <c r="C43" s="197">
        <v>208.91</v>
      </c>
      <c r="D43" s="198" t="s">
        <v>33</v>
      </c>
      <c r="E43" s="199" t="s">
        <v>760</v>
      </c>
      <c r="F43" s="72">
        <v>189</v>
      </c>
    </row>
    <row r="44" spans="1:6" x14ac:dyDescent="0.25">
      <c r="A44" s="19">
        <v>44420</v>
      </c>
      <c r="B44" s="196" t="s">
        <v>761</v>
      </c>
      <c r="C44" s="197">
        <v>4.5999999999999996</v>
      </c>
      <c r="D44" s="200" t="s">
        <v>33</v>
      </c>
      <c r="E44" s="199" t="s">
        <v>762</v>
      </c>
      <c r="F44" s="72">
        <v>55</v>
      </c>
    </row>
    <row r="45" spans="1:6" x14ac:dyDescent="0.25">
      <c r="A45" s="19"/>
      <c r="B45" s="196" t="s">
        <v>611</v>
      </c>
      <c r="C45" s="197">
        <v>0</v>
      </c>
      <c r="D45" s="200" t="s">
        <v>33</v>
      </c>
      <c r="E45" s="199" t="s">
        <v>27</v>
      </c>
      <c r="F45" s="72">
        <v>0</v>
      </c>
    </row>
    <row r="46" spans="1:6" x14ac:dyDescent="0.25">
      <c r="A46" s="19"/>
      <c r="B46" s="196" t="s">
        <v>611</v>
      </c>
      <c r="C46" s="197">
        <v>0</v>
      </c>
      <c r="D46" s="200" t="s">
        <v>33</v>
      </c>
      <c r="E46" s="199" t="s">
        <v>27</v>
      </c>
      <c r="F46" s="72">
        <v>0</v>
      </c>
    </row>
    <row r="47" spans="1:6" x14ac:dyDescent="0.25">
      <c r="A47" s="19"/>
      <c r="B47" s="196" t="s">
        <v>611</v>
      </c>
      <c r="C47" s="197">
        <v>0</v>
      </c>
      <c r="D47" s="200" t="s">
        <v>33</v>
      </c>
      <c r="E47" s="199" t="s">
        <v>27</v>
      </c>
      <c r="F47" s="72">
        <v>0</v>
      </c>
    </row>
    <row r="48" spans="1:6" x14ac:dyDescent="0.25">
      <c r="A48" s="19"/>
      <c r="B48" s="196" t="s">
        <v>611</v>
      </c>
      <c r="C48" s="197">
        <v>0</v>
      </c>
      <c r="D48" s="200" t="s">
        <v>33</v>
      </c>
      <c r="E48" s="199" t="s">
        <v>27</v>
      </c>
      <c r="F48" s="72">
        <v>0</v>
      </c>
    </row>
    <row r="49" spans="1:6" x14ac:dyDescent="0.25">
      <c r="A49" s="19"/>
      <c r="B49" s="196" t="s">
        <v>611</v>
      </c>
      <c r="C49" s="197">
        <v>0</v>
      </c>
      <c r="D49" s="200" t="s">
        <v>33</v>
      </c>
      <c r="E49" s="199" t="s">
        <v>27</v>
      </c>
      <c r="F49" s="72">
        <v>0</v>
      </c>
    </row>
    <row r="50" spans="1:6" ht="15.75" thickBot="1" x14ac:dyDescent="0.3">
      <c r="A50" s="330"/>
      <c r="B50" s="196" t="s">
        <v>611</v>
      </c>
      <c r="C50" s="197">
        <v>0</v>
      </c>
      <c r="D50" s="331" t="s">
        <v>33</v>
      </c>
      <c r="E50" s="199" t="s">
        <v>27</v>
      </c>
      <c r="F50" s="72">
        <v>0</v>
      </c>
    </row>
    <row r="53" spans="1:6" ht="15.75" thickBot="1" x14ac:dyDescent="0.3"/>
    <row r="54" spans="1:6" ht="16.5" thickBot="1" x14ac:dyDescent="0.3">
      <c r="A54" s="32"/>
      <c r="B54" s="658" t="s">
        <v>32</v>
      </c>
      <c r="C54" s="659"/>
      <c r="D54" s="659"/>
      <c r="E54" s="660"/>
      <c r="F54" s="4"/>
    </row>
    <row r="55" spans="1:6" x14ac:dyDescent="0.25">
      <c r="A55" s="19">
        <v>44421</v>
      </c>
      <c r="B55" s="196" t="s">
        <v>764</v>
      </c>
      <c r="C55" s="197">
        <v>106.5</v>
      </c>
      <c r="D55" s="198" t="s">
        <v>33</v>
      </c>
      <c r="E55" s="199" t="s">
        <v>765</v>
      </c>
      <c r="F55" s="72">
        <v>100</v>
      </c>
    </row>
    <row r="56" spans="1:6" x14ac:dyDescent="0.25">
      <c r="A56" s="19">
        <v>44421</v>
      </c>
      <c r="B56" s="196" t="s">
        <v>766</v>
      </c>
      <c r="C56" s="197">
        <v>208.61</v>
      </c>
      <c r="D56" s="200" t="s">
        <v>33</v>
      </c>
      <c r="E56" s="199" t="s">
        <v>767</v>
      </c>
      <c r="F56" s="72">
        <v>113</v>
      </c>
    </row>
    <row r="57" spans="1:6" x14ac:dyDescent="0.25">
      <c r="A57" s="19"/>
      <c r="B57" s="196" t="s">
        <v>611</v>
      </c>
      <c r="C57" s="197">
        <v>0</v>
      </c>
      <c r="D57" s="200" t="s">
        <v>33</v>
      </c>
      <c r="E57" s="199" t="s">
        <v>27</v>
      </c>
      <c r="F57" s="72">
        <v>0</v>
      </c>
    </row>
    <row r="58" spans="1:6" x14ac:dyDescent="0.25">
      <c r="A58" s="19"/>
      <c r="B58" s="196" t="s">
        <v>611</v>
      </c>
      <c r="C58" s="197">
        <v>0</v>
      </c>
      <c r="D58" s="200" t="s">
        <v>33</v>
      </c>
      <c r="E58" s="199" t="s">
        <v>27</v>
      </c>
      <c r="F58" s="72">
        <v>0</v>
      </c>
    </row>
    <row r="59" spans="1:6" x14ac:dyDescent="0.25">
      <c r="A59" s="19"/>
      <c r="B59" s="196" t="s">
        <v>611</v>
      </c>
      <c r="C59" s="197">
        <v>0</v>
      </c>
      <c r="D59" s="200" t="s">
        <v>33</v>
      </c>
      <c r="E59" s="199" t="s">
        <v>27</v>
      </c>
      <c r="F59" s="72">
        <v>0</v>
      </c>
    </row>
    <row r="60" spans="1:6" x14ac:dyDescent="0.25">
      <c r="A60" s="19"/>
      <c r="B60" s="196" t="s">
        <v>611</v>
      </c>
      <c r="C60" s="197">
        <v>0</v>
      </c>
      <c r="D60" s="200" t="s">
        <v>33</v>
      </c>
      <c r="E60" s="199" t="s">
        <v>27</v>
      </c>
      <c r="F60" s="72">
        <v>0</v>
      </c>
    </row>
    <row r="61" spans="1:6" x14ac:dyDescent="0.25">
      <c r="A61" s="19"/>
      <c r="B61" s="196" t="s">
        <v>611</v>
      </c>
      <c r="C61" s="197">
        <v>0</v>
      </c>
      <c r="D61" s="200" t="s">
        <v>33</v>
      </c>
      <c r="E61" s="199" t="s">
        <v>27</v>
      </c>
      <c r="F61" s="72">
        <v>0</v>
      </c>
    </row>
    <row r="62" spans="1:6" ht="15.75" thickBot="1" x14ac:dyDescent="0.3">
      <c r="A62" s="330"/>
      <c r="B62" s="196" t="s">
        <v>611</v>
      </c>
      <c r="C62" s="197">
        <v>0</v>
      </c>
      <c r="D62" s="331" t="s">
        <v>33</v>
      </c>
      <c r="E62" s="199" t="s">
        <v>27</v>
      </c>
      <c r="F62" s="72">
        <v>0</v>
      </c>
    </row>
  </sheetData>
  <mergeCells count="6">
    <mergeCell ref="B54:E54"/>
    <mergeCell ref="B1:E1"/>
    <mergeCell ref="B9:E9"/>
    <mergeCell ref="B20:E20"/>
    <mergeCell ref="B31:E31"/>
    <mergeCell ref="B42:E42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"/>
  <sheetViews>
    <sheetView workbookViewId="0">
      <selection activeCell="B3" sqref="B3"/>
    </sheetView>
  </sheetViews>
  <sheetFormatPr baseColWidth="10" defaultRowHeight="15" x14ac:dyDescent="0.25"/>
  <cols>
    <col min="2" max="7" width="14.85546875" style="8" customWidth="1"/>
    <col min="8" max="8" width="14.85546875" customWidth="1"/>
  </cols>
  <sheetData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7030A0"/>
  </sheetPr>
  <dimension ref="A1:W88"/>
  <sheetViews>
    <sheetView topLeftCell="F28" zoomScale="115" zoomScaleNormal="115" workbookViewId="0">
      <selection activeCell="H73" sqref="H73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9" customWidth="1"/>
    <col min="4" max="4" width="15.28515625" customWidth="1"/>
    <col min="6" max="6" width="17.85546875" style="9" customWidth="1"/>
    <col min="7" max="7" width="2.85546875" customWidth="1"/>
    <col min="9" max="9" width="14.140625" style="9" customWidth="1"/>
    <col min="10" max="10" width="11.7109375" style="16" customWidth="1"/>
    <col min="11" max="11" width="17.28515625" customWidth="1"/>
    <col min="12" max="12" width="14.5703125" style="8" customWidth="1"/>
    <col min="13" max="13" width="18.140625" style="9" customWidth="1"/>
    <col min="14" max="14" width="14.140625" style="4" customWidth="1"/>
    <col min="15" max="15" width="7.5703125" style="5" customWidth="1"/>
    <col min="16" max="16" width="15.5703125" style="6" bestFit="1" customWidth="1"/>
    <col min="17" max="17" width="14.42578125" style="6" customWidth="1"/>
    <col min="18" max="18" width="11.28515625" style="6" bestFit="1" customWidth="1"/>
    <col min="19" max="19" width="15.5703125" style="7" bestFit="1" customWidth="1"/>
    <col min="21" max="22" width="11.5703125" style="204"/>
    <col min="23" max="23" width="11.5703125" style="8"/>
  </cols>
  <sheetData>
    <row r="1" spans="1:23" ht="20.25" customHeight="1" thickBot="1" x14ac:dyDescent="0.4">
      <c r="C1" s="540" t="s">
        <v>147</v>
      </c>
      <c r="D1" s="540"/>
      <c r="E1" s="540"/>
      <c r="F1" s="540"/>
      <c r="G1" s="540"/>
      <c r="H1" s="540"/>
      <c r="I1" s="540"/>
      <c r="J1" s="540"/>
      <c r="K1" s="540"/>
      <c r="L1" s="2"/>
      <c r="M1" s="3"/>
      <c r="U1" s="209"/>
      <c r="V1" s="205" t="s">
        <v>52</v>
      </c>
      <c r="W1" s="206"/>
    </row>
    <row r="2" spans="1:23" ht="15" customHeight="1" thickBot="1" x14ac:dyDescent="0.3">
      <c r="C2" s="8"/>
      <c r="H2" s="10" t="s">
        <v>0</v>
      </c>
      <c r="I2" s="3"/>
      <c r="J2" s="11"/>
      <c r="L2" s="12"/>
      <c r="M2" s="3"/>
      <c r="N2" s="6"/>
      <c r="O2" s="13"/>
      <c r="U2" s="214" t="s">
        <v>53</v>
      </c>
      <c r="V2" s="215" t="s">
        <v>5</v>
      </c>
      <c r="W2" s="216" t="s">
        <v>28</v>
      </c>
    </row>
    <row r="3" spans="1:23" ht="18" customHeight="1" thickBot="1" x14ac:dyDescent="0.35">
      <c r="B3" s="541" t="s">
        <v>1</v>
      </c>
      <c r="C3" s="542"/>
      <c r="D3" s="14"/>
      <c r="E3" s="15"/>
      <c r="F3" s="15"/>
      <c r="H3" s="543" t="s">
        <v>2</v>
      </c>
      <c r="I3" s="543"/>
      <c r="K3" s="17" t="s">
        <v>3</v>
      </c>
      <c r="L3" s="17" t="s">
        <v>4</v>
      </c>
      <c r="M3" s="18"/>
      <c r="U3" s="213" t="s">
        <v>54</v>
      </c>
      <c r="V3" s="219">
        <v>44201</v>
      </c>
      <c r="W3" s="198">
        <v>2000</v>
      </c>
    </row>
    <row r="4" spans="1:23" ht="20.25" thickTop="1" thickBot="1" x14ac:dyDescent="0.35">
      <c r="A4" s="20" t="s">
        <v>6</v>
      </c>
      <c r="B4" s="21"/>
      <c r="C4" s="22">
        <v>209541.1</v>
      </c>
      <c r="D4" s="23">
        <v>44230</v>
      </c>
      <c r="E4" s="544" t="s">
        <v>7</v>
      </c>
      <c r="F4" s="545"/>
      <c r="H4" s="546" t="s">
        <v>8</v>
      </c>
      <c r="I4" s="547"/>
      <c r="J4" s="24"/>
      <c r="K4" s="25"/>
      <c r="L4" s="26"/>
      <c r="M4" s="27" t="s">
        <v>9</v>
      </c>
      <c r="N4" s="28" t="s">
        <v>10</v>
      </c>
      <c r="O4" s="29"/>
      <c r="P4" s="30"/>
      <c r="Q4" s="31"/>
      <c r="R4" s="30"/>
      <c r="S4" s="30"/>
      <c r="U4" s="213" t="s">
        <v>55</v>
      </c>
      <c r="V4" s="219">
        <v>44209</v>
      </c>
      <c r="W4" s="217">
        <v>2000</v>
      </c>
    </row>
    <row r="5" spans="1:23" ht="15.75" thickBot="1" x14ac:dyDescent="0.3">
      <c r="A5" s="34" t="s">
        <v>11</v>
      </c>
      <c r="B5" s="134">
        <v>44231</v>
      </c>
      <c r="C5" s="36">
        <v>6708</v>
      </c>
      <c r="D5" s="135" t="s">
        <v>148</v>
      </c>
      <c r="E5" s="136">
        <v>44231</v>
      </c>
      <c r="F5" s="37">
        <v>124309</v>
      </c>
      <c r="G5" s="137"/>
      <c r="H5" s="138">
        <v>44231</v>
      </c>
      <c r="I5" s="38">
        <v>495</v>
      </c>
      <c r="J5" s="39"/>
      <c r="K5" s="157"/>
      <c r="L5" s="6"/>
      <c r="M5" s="41">
        <v>118045</v>
      </c>
      <c r="N5" s="42">
        <v>3793</v>
      </c>
      <c r="O5" s="29"/>
      <c r="P5" s="7">
        <f>C5+I5+M5+N5</f>
        <v>129041</v>
      </c>
      <c r="Q5" s="201">
        <f>P5-F5</f>
        <v>4732</v>
      </c>
      <c r="R5" s="7"/>
      <c r="U5" s="213" t="s">
        <v>56</v>
      </c>
      <c r="V5" s="220">
        <v>44216</v>
      </c>
      <c r="W5" s="218">
        <v>2000</v>
      </c>
    </row>
    <row r="6" spans="1:23" ht="16.5" thickBot="1" x14ac:dyDescent="0.3">
      <c r="A6" s="34"/>
      <c r="B6" s="134">
        <v>44232</v>
      </c>
      <c r="C6" s="36">
        <v>1561</v>
      </c>
      <c r="D6" s="139" t="s">
        <v>45</v>
      </c>
      <c r="E6" s="136">
        <v>44232</v>
      </c>
      <c r="F6" s="37">
        <v>151459</v>
      </c>
      <c r="G6" s="137"/>
      <c r="H6" s="138">
        <v>44232</v>
      </c>
      <c r="I6" s="43">
        <v>11684</v>
      </c>
      <c r="J6" s="44">
        <v>44232</v>
      </c>
      <c r="K6" s="249" t="s">
        <v>149</v>
      </c>
      <c r="L6" s="46">
        <v>1797</v>
      </c>
      <c r="M6" s="41">
        <v>133494</v>
      </c>
      <c r="N6" s="42">
        <v>6884</v>
      </c>
      <c r="O6" s="47"/>
      <c r="P6" s="7">
        <f t="shared" ref="P6:P11" si="0">C6+I6+M6+N6+L6</f>
        <v>155420</v>
      </c>
      <c r="Q6" s="201">
        <f>P6-F6</f>
        <v>3961</v>
      </c>
      <c r="R6" s="48"/>
      <c r="U6" s="213" t="s">
        <v>57</v>
      </c>
      <c r="V6" s="220">
        <v>44222</v>
      </c>
      <c r="W6" s="218">
        <v>2000</v>
      </c>
    </row>
    <row r="7" spans="1:23" ht="15.75" thickBot="1" x14ac:dyDescent="0.3">
      <c r="A7" s="34"/>
      <c r="B7" s="134">
        <v>44233</v>
      </c>
      <c r="C7" s="36">
        <v>8941</v>
      </c>
      <c r="D7" s="140" t="s">
        <v>150</v>
      </c>
      <c r="E7" s="136">
        <v>44233</v>
      </c>
      <c r="F7" s="37">
        <v>122315</v>
      </c>
      <c r="G7" s="137"/>
      <c r="H7" s="138">
        <v>44233</v>
      </c>
      <c r="I7" s="49">
        <v>912</v>
      </c>
      <c r="J7" s="44">
        <v>44233</v>
      </c>
      <c r="K7" s="33" t="s">
        <v>151</v>
      </c>
      <c r="L7" s="46">
        <f>15237.95+400+4000</f>
        <v>19637.95</v>
      </c>
      <c r="M7" s="41">
        <v>89306</v>
      </c>
      <c r="N7" s="42">
        <v>12220</v>
      </c>
      <c r="O7" s="29"/>
      <c r="P7" s="7">
        <f>C7+I7+M7+N7+L7</f>
        <v>131016.95</v>
      </c>
      <c r="Q7" s="202">
        <f>P7-F7</f>
        <v>8701.9499999999971</v>
      </c>
      <c r="R7" s="50"/>
      <c r="U7" s="213" t="s">
        <v>58</v>
      </c>
      <c r="V7" s="220">
        <v>44230</v>
      </c>
      <c r="W7" s="218">
        <v>2000</v>
      </c>
    </row>
    <row r="8" spans="1:23" ht="15.75" thickBot="1" x14ac:dyDescent="0.3">
      <c r="A8" s="34"/>
      <c r="B8" s="134">
        <v>44234</v>
      </c>
      <c r="C8" s="36">
        <v>12367</v>
      </c>
      <c r="D8" s="141" t="s">
        <v>152</v>
      </c>
      <c r="E8" s="136">
        <v>44234</v>
      </c>
      <c r="F8" s="37">
        <v>112150</v>
      </c>
      <c r="G8" s="137"/>
      <c r="H8" s="138">
        <v>44234</v>
      </c>
      <c r="I8" s="49">
        <v>550</v>
      </c>
      <c r="J8" s="51"/>
      <c r="K8" s="158" t="s">
        <v>11</v>
      </c>
      <c r="L8" s="46"/>
      <c r="M8" s="41">
        <f>30573+89177</f>
        <v>119750</v>
      </c>
      <c r="N8" s="42">
        <v>9127</v>
      </c>
      <c r="O8" s="229" t="s">
        <v>207</v>
      </c>
      <c r="P8" s="7">
        <f t="shared" si="0"/>
        <v>141794</v>
      </c>
      <c r="Q8" s="201">
        <f>P8-F8</f>
        <v>29644</v>
      </c>
      <c r="R8" s="235" t="s">
        <v>153</v>
      </c>
      <c r="U8" s="213" t="s">
        <v>59</v>
      </c>
      <c r="V8" s="220">
        <v>44239</v>
      </c>
      <c r="W8" s="218">
        <v>2000</v>
      </c>
    </row>
    <row r="9" spans="1:23" ht="15.75" thickBot="1" x14ac:dyDescent="0.3">
      <c r="A9" s="34"/>
      <c r="B9" s="134">
        <v>44235</v>
      </c>
      <c r="C9" s="36">
        <v>6704</v>
      </c>
      <c r="D9" s="142" t="s">
        <v>154</v>
      </c>
      <c r="E9" s="136">
        <v>44235</v>
      </c>
      <c r="F9" s="37">
        <v>110682</v>
      </c>
      <c r="G9" s="137"/>
      <c r="H9" s="138">
        <v>44235</v>
      </c>
      <c r="I9" s="49">
        <v>495</v>
      </c>
      <c r="J9" s="52"/>
      <c r="K9" s="159"/>
      <c r="L9" s="46"/>
      <c r="M9" s="41">
        <v>99591</v>
      </c>
      <c r="N9" s="42">
        <v>3892</v>
      </c>
      <c r="O9" s="47"/>
      <c r="P9" s="7">
        <f t="shared" si="0"/>
        <v>110682</v>
      </c>
      <c r="Q9" s="6">
        <f t="shared" ref="Q9:Q12" si="1">P9-F9</f>
        <v>0</v>
      </c>
      <c r="R9" s="48"/>
      <c r="U9" s="213" t="s">
        <v>60</v>
      </c>
      <c r="V9" s="220">
        <v>44253</v>
      </c>
      <c r="W9" s="218">
        <v>2000</v>
      </c>
    </row>
    <row r="10" spans="1:23" ht="15.75" thickBot="1" x14ac:dyDescent="0.3">
      <c r="A10" s="34"/>
      <c r="B10" s="134">
        <v>44236</v>
      </c>
      <c r="C10" s="36">
        <v>4676</v>
      </c>
      <c r="D10" s="140" t="s">
        <v>107</v>
      </c>
      <c r="E10" s="136">
        <v>44236</v>
      </c>
      <c r="F10" s="37">
        <v>66711</v>
      </c>
      <c r="G10" s="137"/>
      <c r="H10" s="138">
        <v>44236</v>
      </c>
      <c r="I10" s="49">
        <v>653</v>
      </c>
      <c r="J10" s="52"/>
      <c r="K10" s="160"/>
      <c r="L10" s="53"/>
      <c r="M10" s="41">
        <f>51000+7650</f>
        <v>58650</v>
      </c>
      <c r="N10" s="42">
        <v>2732</v>
      </c>
      <c r="O10" s="47"/>
      <c r="P10" s="7">
        <f t="shared" si="0"/>
        <v>66711</v>
      </c>
      <c r="Q10" s="6">
        <f t="shared" si="1"/>
        <v>0</v>
      </c>
      <c r="R10" s="54"/>
      <c r="U10" s="213" t="s">
        <v>61</v>
      </c>
      <c r="V10" s="220">
        <v>44253</v>
      </c>
      <c r="W10" s="218">
        <v>2000</v>
      </c>
    </row>
    <row r="11" spans="1:23" ht="27" thickBot="1" x14ac:dyDescent="0.3">
      <c r="A11" s="34"/>
      <c r="B11" s="134">
        <v>44237</v>
      </c>
      <c r="C11" s="36">
        <v>3184</v>
      </c>
      <c r="D11" s="139" t="s">
        <v>155</v>
      </c>
      <c r="E11" s="136">
        <v>44237</v>
      </c>
      <c r="F11" s="37">
        <v>72062</v>
      </c>
      <c r="G11" s="137"/>
      <c r="H11" s="138">
        <v>44237</v>
      </c>
      <c r="I11" s="49">
        <v>553</v>
      </c>
      <c r="J11" s="55">
        <v>44237</v>
      </c>
      <c r="K11" s="277" t="s">
        <v>352</v>
      </c>
      <c r="L11" s="230">
        <v>0</v>
      </c>
      <c r="M11" s="41">
        <f>60687+5000</f>
        <v>65687</v>
      </c>
      <c r="N11" s="42">
        <v>2638</v>
      </c>
      <c r="O11" s="47"/>
      <c r="P11" s="7">
        <f t="shared" si="0"/>
        <v>72062</v>
      </c>
      <c r="Q11" s="6">
        <f t="shared" si="1"/>
        <v>0</v>
      </c>
      <c r="R11" s="48"/>
      <c r="U11" s="213" t="s">
        <v>62</v>
      </c>
      <c r="V11" s="220"/>
      <c r="W11" s="218"/>
    </row>
    <row r="12" spans="1:23" ht="15.75" thickBot="1" x14ac:dyDescent="0.3">
      <c r="A12" s="34"/>
      <c r="B12" s="134">
        <v>44238</v>
      </c>
      <c r="C12" s="36">
        <v>7511</v>
      </c>
      <c r="D12" s="139" t="s">
        <v>107</v>
      </c>
      <c r="E12" s="136">
        <v>44238</v>
      </c>
      <c r="F12" s="37">
        <v>104114</v>
      </c>
      <c r="G12" s="137"/>
      <c r="H12" s="138">
        <v>44238</v>
      </c>
      <c r="I12" s="49">
        <v>547</v>
      </c>
      <c r="J12" s="44"/>
      <c r="K12" s="158"/>
      <c r="L12" s="46"/>
      <c r="M12" s="41">
        <v>88008</v>
      </c>
      <c r="N12" s="42">
        <v>8048</v>
      </c>
      <c r="O12" s="47"/>
      <c r="P12" s="7">
        <f>C12+I12+M12+N12</f>
        <v>104114</v>
      </c>
      <c r="Q12" s="6">
        <f t="shared" si="1"/>
        <v>0</v>
      </c>
      <c r="R12" s="56"/>
      <c r="U12" s="213" t="s">
        <v>63</v>
      </c>
      <c r="V12" s="220"/>
      <c r="W12" s="218"/>
    </row>
    <row r="13" spans="1:23" ht="15.75" thickBot="1" x14ac:dyDescent="0.3">
      <c r="A13" s="34"/>
      <c r="B13" s="134">
        <v>44239</v>
      </c>
      <c r="C13" s="36">
        <v>9204</v>
      </c>
      <c r="D13" s="141" t="s">
        <v>156</v>
      </c>
      <c r="E13" s="136">
        <v>44239</v>
      </c>
      <c r="F13" s="37">
        <v>95582</v>
      </c>
      <c r="G13" s="137"/>
      <c r="H13" s="138">
        <v>44239</v>
      </c>
      <c r="I13" s="49">
        <v>13333</v>
      </c>
      <c r="J13" s="44"/>
      <c r="K13" s="158"/>
      <c r="L13" s="46"/>
      <c r="M13" s="41">
        <v>69815</v>
      </c>
      <c r="N13" s="42">
        <v>3231</v>
      </c>
      <c r="O13" s="47"/>
      <c r="P13" s="7">
        <f>N13+M13+I13+C13</f>
        <v>95583</v>
      </c>
      <c r="Q13" s="6">
        <f>P13-F13</f>
        <v>1</v>
      </c>
      <c r="R13" s="48"/>
      <c r="U13" s="213" t="s">
        <v>64</v>
      </c>
      <c r="V13" s="220"/>
      <c r="W13" s="218"/>
    </row>
    <row r="14" spans="1:23" ht="15.75" thickBot="1" x14ac:dyDescent="0.3">
      <c r="A14" s="34"/>
      <c r="B14" s="134">
        <v>44240</v>
      </c>
      <c r="C14" s="36">
        <v>2357</v>
      </c>
      <c r="D14" s="140" t="s">
        <v>157</v>
      </c>
      <c r="E14" s="136">
        <v>44240</v>
      </c>
      <c r="F14" s="37">
        <v>111360</v>
      </c>
      <c r="G14" s="137"/>
      <c r="H14" s="138">
        <v>44240</v>
      </c>
      <c r="I14" s="49">
        <v>614</v>
      </c>
      <c r="J14" s="44">
        <v>44240</v>
      </c>
      <c r="K14" s="158" t="s">
        <v>164</v>
      </c>
      <c r="L14" s="46">
        <f>12161.75+4000</f>
        <v>16161.75</v>
      </c>
      <c r="M14" s="41">
        <v>93915</v>
      </c>
      <c r="N14" s="42">
        <v>6687</v>
      </c>
      <c r="O14" s="47"/>
      <c r="P14" s="7">
        <f t="shared" ref="P14" si="2">C14+I14+M14+N14</f>
        <v>103573</v>
      </c>
      <c r="Q14" s="202">
        <f>P14-F14+L14</f>
        <v>8374.75</v>
      </c>
      <c r="R14" s="250">
        <v>1279</v>
      </c>
      <c r="U14" s="213" t="s">
        <v>65</v>
      </c>
      <c r="V14" s="220"/>
      <c r="W14" s="218"/>
    </row>
    <row r="15" spans="1:23" ht="15.75" thickBot="1" x14ac:dyDescent="0.3">
      <c r="A15" s="34"/>
      <c r="B15" s="134">
        <v>44241</v>
      </c>
      <c r="C15" s="36">
        <v>13323</v>
      </c>
      <c r="D15" s="139" t="s">
        <v>158</v>
      </c>
      <c r="E15" s="136">
        <v>44241</v>
      </c>
      <c r="F15" s="37">
        <v>125193</v>
      </c>
      <c r="G15" s="137"/>
      <c r="H15" s="138">
        <v>44241</v>
      </c>
      <c r="I15" s="49">
        <v>895</v>
      </c>
      <c r="J15" s="44">
        <v>44241</v>
      </c>
      <c r="K15" s="158" t="s">
        <v>165</v>
      </c>
      <c r="L15" s="46">
        <v>400</v>
      </c>
      <c r="M15" s="41">
        <v>96992</v>
      </c>
      <c r="N15" s="42">
        <v>13583</v>
      </c>
      <c r="O15" s="47"/>
      <c r="P15" s="7">
        <f>C15+I15+M15+N15+L15</f>
        <v>125193</v>
      </c>
      <c r="Q15" s="6">
        <f>P15-F15</f>
        <v>0</v>
      </c>
      <c r="R15" s="58"/>
      <c r="U15" s="213" t="s">
        <v>66</v>
      </c>
      <c r="V15" s="220"/>
      <c r="W15" s="218"/>
    </row>
    <row r="16" spans="1:23" ht="15.75" thickBot="1" x14ac:dyDescent="0.3">
      <c r="A16" s="34"/>
      <c r="B16" s="134">
        <v>44242</v>
      </c>
      <c r="C16" s="36">
        <v>5223</v>
      </c>
      <c r="D16" s="139" t="s">
        <v>159</v>
      </c>
      <c r="E16" s="136">
        <v>44242</v>
      </c>
      <c r="F16" s="37">
        <v>93184</v>
      </c>
      <c r="G16" s="137"/>
      <c r="H16" s="138">
        <v>44242</v>
      </c>
      <c r="I16" s="49">
        <v>1918.85</v>
      </c>
      <c r="J16" s="44">
        <v>44242</v>
      </c>
      <c r="K16" s="232" t="s">
        <v>160</v>
      </c>
      <c r="L16" s="6">
        <v>1428.57</v>
      </c>
      <c r="M16" s="41">
        <f>80636+3991</f>
        <v>84627</v>
      </c>
      <c r="N16" s="42">
        <v>3977</v>
      </c>
      <c r="O16" s="47"/>
      <c r="P16" s="7">
        <f>C16+I16+M16+N16+L16</f>
        <v>97174.420000000013</v>
      </c>
      <c r="Q16" s="201">
        <f t="shared" ref="Q16:Q21" si="3">P16-F16</f>
        <v>3990.4200000000128</v>
      </c>
      <c r="R16" s="58"/>
      <c r="U16" s="213" t="s">
        <v>67</v>
      </c>
      <c r="V16" s="220"/>
      <c r="W16" s="218"/>
    </row>
    <row r="17" spans="1:23" ht="15.75" thickBot="1" x14ac:dyDescent="0.3">
      <c r="A17" s="34"/>
      <c r="B17" s="134">
        <v>44243</v>
      </c>
      <c r="C17" s="36">
        <v>1477</v>
      </c>
      <c r="D17" s="141" t="s">
        <v>45</v>
      </c>
      <c r="E17" s="136">
        <v>44243</v>
      </c>
      <c r="F17" s="37">
        <v>71649</v>
      </c>
      <c r="G17" s="137"/>
      <c r="H17" s="138">
        <v>44243</v>
      </c>
      <c r="I17" s="49">
        <v>697</v>
      </c>
      <c r="J17" s="44"/>
      <c r="K17" s="158"/>
      <c r="L17" s="53"/>
      <c r="M17" s="41">
        <v>60923</v>
      </c>
      <c r="N17" s="42">
        <v>8552</v>
      </c>
      <c r="O17" s="47"/>
      <c r="P17" s="7">
        <f t="shared" ref="P17" si="4">C17+I17+M17+N17</f>
        <v>71649</v>
      </c>
      <c r="Q17" s="6">
        <f t="shared" si="3"/>
        <v>0</v>
      </c>
      <c r="R17" s="48"/>
      <c r="U17" s="213" t="s">
        <v>68</v>
      </c>
      <c r="V17" s="220"/>
      <c r="W17" s="218"/>
    </row>
    <row r="18" spans="1:23" ht="15.75" thickBot="1" x14ac:dyDescent="0.3">
      <c r="A18" s="34"/>
      <c r="B18" s="134">
        <v>44244</v>
      </c>
      <c r="C18" s="36">
        <v>2987</v>
      </c>
      <c r="D18" s="139" t="s">
        <v>121</v>
      </c>
      <c r="E18" s="136">
        <v>44244</v>
      </c>
      <c r="F18" s="37">
        <v>111822</v>
      </c>
      <c r="G18" s="137"/>
      <c r="H18" s="138">
        <v>44244</v>
      </c>
      <c r="I18" s="49">
        <v>385</v>
      </c>
      <c r="J18" s="44"/>
      <c r="K18" s="162"/>
      <c r="L18" s="46"/>
      <c r="M18" s="41">
        <f>106310+296</f>
        <v>106606</v>
      </c>
      <c r="N18" s="42">
        <v>2140</v>
      </c>
      <c r="O18" s="47"/>
      <c r="P18" s="7">
        <f>C18+I18+M18+N18+L18</f>
        <v>112118</v>
      </c>
      <c r="Q18" s="201">
        <f t="shared" si="3"/>
        <v>296</v>
      </c>
      <c r="R18" s="48"/>
      <c r="U18" s="213" t="s">
        <v>69</v>
      </c>
      <c r="V18" s="220"/>
      <c r="W18" s="218"/>
    </row>
    <row r="19" spans="1:23" ht="15.75" thickBot="1" x14ac:dyDescent="0.3">
      <c r="A19" s="34"/>
      <c r="B19" s="134">
        <v>44245</v>
      </c>
      <c r="C19" s="36">
        <v>6074</v>
      </c>
      <c r="D19" s="139" t="s">
        <v>161</v>
      </c>
      <c r="E19" s="136">
        <v>44245</v>
      </c>
      <c r="F19" s="37">
        <v>83993</v>
      </c>
      <c r="G19" s="137"/>
      <c r="H19" s="138">
        <v>44245</v>
      </c>
      <c r="I19" s="49">
        <v>630</v>
      </c>
      <c r="J19" s="44"/>
      <c r="K19" s="163"/>
      <c r="L19" s="59"/>
      <c r="M19" s="41">
        <v>74713</v>
      </c>
      <c r="N19" s="42">
        <v>2576</v>
      </c>
      <c r="O19" s="47"/>
      <c r="P19" s="7">
        <f>C19+I19+M19+N19+L19</f>
        <v>83993</v>
      </c>
      <c r="Q19" s="6">
        <f t="shared" si="3"/>
        <v>0</v>
      </c>
      <c r="R19" s="58"/>
      <c r="U19" s="213" t="s">
        <v>70</v>
      </c>
      <c r="V19" s="220"/>
      <c r="W19" s="218"/>
    </row>
    <row r="20" spans="1:23" ht="15.75" thickBot="1" x14ac:dyDescent="0.3">
      <c r="A20" s="34"/>
      <c r="B20" s="134">
        <v>44246</v>
      </c>
      <c r="C20" s="36">
        <v>9694.7999999999993</v>
      </c>
      <c r="D20" s="139" t="s">
        <v>162</v>
      </c>
      <c r="E20" s="136">
        <v>44246</v>
      </c>
      <c r="F20" s="37">
        <v>108669</v>
      </c>
      <c r="G20" s="137"/>
      <c r="H20" s="138">
        <v>44246</v>
      </c>
      <c r="I20" s="49">
        <v>10570</v>
      </c>
      <c r="J20" s="44"/>
      <c r="K20" s="164"/>
      <c r="L20" s="53"/>
      <c r="M20" s="41">
        <v>82163</v>
      </c>
      <c r="N20" s="42">
        <v>6241</v>
      </c>
      <c r="O20" s="47"/>
      <c r="P20" s="7">
        <f>C20+I20+M20+N20</f>
        <v>108668.8</v>
      </c>
      <c r="Q20" s="6">
        <f t="shared" si="3"/>
        <v>-0.19999999999708962</v>
      </c>
      <c r="R20" s="58"/>
      <c r="U20" s="213" t="s">
        <v>71</v>
      </c>
      <c r="V20" s="220"/>
      <c r="W20" s="218"/>
    </row>
    <row r="21" spans="1:23" ht="15.75" thickBot="1" x14ac:dyDescent="0.3">
      <c r="A21" s="34"/>
      <c r="B21" s="134">
        <v>44247</v>
      </c>
      <c r="C21" s="36">
        <v>0</v>
      </c>
      <c r="D21" s="139"/>
      <c r="E21" s="136">
        <v>44247</v>
      </c>
      <c r="F21" s="37">
        <v>157395</v>
      </c>
      <c r="G21" s="137"/>
      <c r="H21" s="138">
        <v>44247</v>
      </c>
      <c r="I21" s="49">
        <v>550</v>
      </c>
      <c r="J21" s="44">
        <v>44247</v>
      </c>
      <c r="K21" s="162" t="s">
        <v>163</v>
      </c>
      <c r="L21" s="53">
        <f>16411.32+4000+400</f>
        <v>20811.32</v>
      </c>
      <c r="M21" s="41">
        <v>134965</v>
      </c>
      <c r="N21" s="42">
        <v>9923</v>
      </c>
      <c r="O21" s="47"/>
      <c r="P21" s="7">
        <f>C21+I21+M21+N21+L21</f>
        <v>166249.32</v>
      </c>
      <c r="Q21" s="202">
        <f t="shared" si="3"/>
        <v>8854.320000000007</v>
      </c>
      <c r="R21" s="58"/>
      <c r="U21" s="213" t="s">
        <v>72</v>
      </c>
      <c r="V21" s="220"/>
      <c r="W21" s="218"/>
    </row>
    <row r="22" spans="1:23" ht="15.75" thickBot="1" x14ac:dyDescent="0.3">
      <c r="A22" s="34"/>
      <c r="B22" s="134">
        <v>44248</v>
      </c>
      <c r="C22" s="36">
        <v>17622</v>
      </c>
      <c r="D22" s="139" t="s">
        <v>166</v>
      </c>
      <c r="E22" s="136">
        <v>44248</v>
      </c>
      <c r="F22" s="37">
        <v>105314</v>
      </c>
      <c r="G22" s="137"/>
      <c r="H22" s="138">
        <v>44248</v>
      </c>
      <c r="I22" s="49">
        <v>550</v>
      </c>
      <c r="J22" s="52"/>
      <c r="K22" s="165"/>
      <c r="L22" s="61"/>
      <c r="M22" s="41">
        <f>73510+2481+1187</f>
        <v>77178</v>
      </c>
      <c r="N22" s="42">
        <v>9964</v>
      </c>
      <c r="O22" s="47"/>
      <c r="P22" s="7">
        <f>C22+I22+M22+N22+L22</f>
        <v>105314</v>
      </c>
      <c r="Q22" s="6">
        <f>P22-F22</f>
        <v>0</v>
      </c>
      <c r="R22" s="58"/>
      <c r="U22" s="213" t="s">
        <v>73</v>
      </c>
      <c r="V22" s="220"/>
      <c r="W22" s="218"/>
    </row>
    <row r="23" spans="1:23" ht="15.75" thickBot="1" x14ac:dyDescent="0.3">
      <c r="A23" s="34"/>
      <c r="B23" s="134">
        <v>44249</v>
      </c>
      <c r="C23" s="36">
        <v>4083</v>
      </c>
      <c r="D23" s="139" t="s">
        <v>167</v>
      </c>
      <c r="E23" s="136">
        <v>44249</v>
      </c>
      <c r="F23" s="37">
        <v>122387</v>
      </c>
      <c r="G23" s="137"/>
      <c r="H23" s="138">
        <v>44249</v>
      </c>
      <c r="I23" s="49">
        <v>554</v>
      </c>
      <c r="J23" s="62"/>
      <c r="K23" s="166"/>
      <c r="L23" s="63"/>
      <c r="M23" s="41">
        <v>111887</v>
      </c>
      <c r="N23" s="42">
        <v>5863</v>
      </c>
      <c r="O23" s="47"/>
      <c r="P23" s="7">
        <f>C23+I23+M23+N23+L23</f>
        <v>122387</v>
      </c>
      <c r="Q23" s="6">
        <f>P23-F23</f>
        <v>0</v>
      </c>
      <c r="R23" s="54"/>
      <c r="U23" s="213" t="s">
        <v>74</v>
      </c>
      <c r="V23" s="220"/>
      <c r="W23" s="218"/>
    </row>
    <row r="24" spans="1:23" ht="15.75" thickBot="1" x14ac:dyDescent="0.3">
      <c r="A24" s="34"/>
      <c r="B24" s="134">
        <v>44250</v>
      </c>
      <c r="C24" s="36">
        <v>14146</v>
      </c>
      <c r="D24" s="139" t="s">
        <v>168</v>
      </c>
      <c r="E24" s="136">
        <v>44250</v>
      </c>
      <c r="F24" s="37">
        <v>111503</v>
      </c>
      <c r="G24" s="137"/>
      <c r="H24" s="138">
        <v>44250</v>
      </c>
      <c r="I24" s="49">
        <v>586</v>
      </c>
      <c r="J24" s="156"/>
      <c r="K24" s="167"/>
      <c r="L24" s="64"/>
      <c r="M24" s="41">
        <v>94934</v>
      </c>
      <c r="N24" s="42">
        <v>1837</v>
      </c>
      <c r="O24" s="47"/>
      <c r="P24" s="7">
        <f>C24+I24+M24+N24+L24</f>
        <v>111503</v>
      </c>
      <c r="Q24" s="6">
        <f t="shared" ref="Q24:Q42" si="5">P24-F24</f>
        <v>0</v>
      </c>
      <c r="R24" s="48"/>
      <c r="U24" s="213" t="s">
        <v>75</v>
      </c>
      <c r="V24" s="220"/>
      <c r="W24" s="218"/>
    </row>
    <row r="25" spans="1:23" ht="15.75" thickBot="1" x14ac:dyDescent="0.3">
      <c r="A25" s="34"/>
      <c r="B25" s="134">
        <v>44251</v>
      </c>
      <c r="C25" s="36">
        <v>960</v>
      </c>
      <c r="D25" s="139" t="s">
        <v>169</v>
      </c>
      <c r="E25" s="136">
        <v>44251</v>
      </c>
      <c r="F25" s="37">
        <v>113897</v>
      </c>
      <c r="G25" s="137"/>
      <c r="H25" s="138">
        <v>44251</v>
      </c>
      <c r="I25" s="49">
        <v>553</v>
      </c>
      <c r="J25" s="65"/>
      <c r="K25" s="144"/>
      <c r="L25" s="66"/>
      <c r="M25" s="41">
        <v>106656</v>
      </c>
      <c r="N25" s="42">
        <v>5728</v>
      </c>
      <c r="O25" s="47"/>
      <c r="P25" s="7">
        <f t="shared" ref="P25:P26" si="6">C25+I25+M25+N25+L25</f>
        <v>113897</v>
      </c>
      <c r="Q25" s="6">
        <f t="shared" si="5"/>
        <v>0</v>
      </c>
      <c r="R25" s="48"/>
      <c r="U25" s="213" t="s">
        <v>76</v>
      </c>
      <c r="V25" s="220"/>
      <c r="W25" s="218"/>
    </row>
    <row r="26" spans="1:23" ht="15.75" thickBot="1" x14ac:dyDescent="0.3">
      <c r="A26" s="34"/>
      <c r="B26" s="134">
        <v>44252</v>
      </c>
      <c r="C26" s="36">
        <v>3084</v>
      </c>
      <c r="D26" s="139" t="s">
        <v>170</v>
      </c>
      <c r="E26" s="136">
        <v>44252</v>
      </c>
      <c r="F26" s="37">
        <v>107831</v>
      </c>
      <c r="G26" s="137"/>
      <c r="H26" s="138">
        <v>44252</v>
      </c>
      <c r="I26" s="49">
        <v>440</v>
      </c>
      <c r="J26" s="44"/>
      <c r="K26" s="167"/>
      <c r="L26" s="63"/>
      <c r="M26" s="41">
        <v>99723</v>
      </c>
      <c r="N26" s="42">
        <v>4584</v>
      </c>
      <c r="O26" s="47"/>
      <c r="P26" s="7">
        <f t="shared" si="6"/>
        <v>107831</v>
      </c>
      <c r="Q26" s="6">
        <f t="shared" si="5"/>
        <v>0</v>
      </c>
      <c r="R26" s="48"/>
      <c r="U26" s="213" t="s">
        <v>77</v>
      </c>
      <c r="V26" s="220"/>
      <c r="W26" s="218"/>
    </row>
    <row r="27" spans="1:23" ht="15" customHeight="1" thickBot="1" x14ac:dyDescent="0.3">
      <c r="A27" s="34"/>
      <c r="B27" s="134">
        <v>44253</v>
      </c>
      <c r="C27" s="36">
        <v>4863</v>
      </c>
      <c r="D27" s="141" t="s">
        <v>107</v>
      </c>
      <c r="E27" s="136">
        <v>44253</v>
      </c>
      <c r="F27" s="37">
        <v>104397</v>
      </c>
      <c r="G27" s="137"/>
      <c r="H27" s="138">
        <v>44253</v>
      </c>
      <c r="I27" s="49">
        <v>14554</v>
      </c>
      <c r="J27" s="67"/>
      <c r="K27" s="168"/>
      <c r="L27" s="66"/>
      <c r="M27" s="41">
        <f>68411+8500</f>
        <v>76911</v>
      </c>
      <c r="N27" s="42">
        <v>8069</v>
      </c>
      <c r="O27" s="47"/>
      <c r="P27" s="7">
        <f>C27+I27+M27+N27</f>
        <v>104397</v>
      </c>
      <c r="Q27" s="6">
        <f t="shared" si="5"/>
        <v>0</v>
      </c>
      <c r="R27" s="48"/>
      <c r="U27" s="213" t="s">
        <v>78</v>
      </c>
      <c r="V27" s="220"/>
      <c r="W27" s="218"/>
    </row>
    <row r="28" spans="1:23" ht="15.75" thickBot="1" x14ac:dyDescent="0.3">
      <c r="A28" s="34"/>
      <c r="B28" s="134">
        <v>44254</v>
      </c>
      <c r="C28" s="36">
        <v>5395</v>
      </c>
      <c r="D28" s="141" t="s">
        <v>171</v>
      </c>
      <c r="E28" s="136">
        <v>44254</v>
      </c>
      <c r="F28" s="37">
        <v>132668</v>
      </c>
      <c r="G28" s="137"/>
      <c r="H28" s="138">
        <v>44254</v>
      </c>
      <c r="I28" s="49">
        <v>495</v>
      </c>
      <c r="J28" s="233">
        <v>44254</v>
      </c>
      <c r="K28" s="234" t="s">
        <v>172</v>
      </c>
      <c r="L28" s="66">
        <f>20000+13402.01+4000+400</f>
        <v>37802.01</v>
      </c>
      <c r="M28" s="41">
        <v>91220</v>
      </c>
      <c r="N28" s="42">
        <v>5305</v>
      </c>
      <c r="O28" s="47"/>
      <c r="P28" s="7">
        <f>C28+I28+M28+N28+L28</f>
        <v>140217.01</v>
      </c>
      <c r="Q28" s="202">
        <f>P28-F28</f>
        <v>7549.0100000000093</v>
      </c>
      <c r="R28" s="48"/>
      <c r="U28" s="213" t="s">
        <v>79</v>
      </c>
      <c r="V28" s="220"/>
      <c r="W28" s="218"/>
    </row>
    <row r="29" spans="1:23" ht="15.75" thickBot="1" x14ac:dyDescent="0.3">
      <c r="A29" s="34"/>
      <c r="B29" s="134">
        <v>44255</v>
      </c>
      <c r="C29" s="36">
        <v>15296</v>
      </c>
      <c r="D29" s="143" t="s">
        <v>173</v>
      </c>
      <c r="E29" s="136">
        <v>44255</v>
      </c>
      <c r="F29" s="37">
        <v>154211</v>
      </c>
      <c r="G29" s="137"/>
      <c r="H29" s="138">
        <v>44255</v>
      </c>
      <c r="I29" s="49">
        <v>495</v>
      </c>
      <c r="J29" s="67"/>
      <c r="K29" s="169"/>
      <c r="L29" s="66"/>
      <c r="M29" s="41">
        <f>100486+19422+10150</f>
        <v>130058</v>
      </c>
      <c r="N29" s="42">
        <v>8162</v>
      </c>
      <c r="O29" s="47" t="s">
        <v>208</v>
      </c>
      <c r="P29" s="7">
        <f>C29+I29+M29+N29+L29</f>
        <v>154011</v>
      </c>
      <c r="Q29" s="231">
        <f>P29-F29</f>
        <v>-200</v>
      </c>
      <c r="R29" s="58" t="s">
        <v>209</v>
      </c>
      <c r="U29" s="213" t="s">
        <v>80</v>
      </c>
      <c r="V29" s="220"/>
      <c r="W29" s="218"/>
    </row>
    <row r="30" spans="1:23" ht="15.75" thickBot="1" x14ac:dyDescent="0.3">
      <c r="A30" s="34"/>
      <c r="B30" s="134">
        <v>44256</v>
      </c>
      <c r="C30" s="36">
        <v>9266</v>
      </c>
      <c r="D30" s="143" t="s">
        <v>107</v>
      </c>
      <c r="E30" s="136">
        <v>44256</v>
      </c>
      <c r="F30" s="37">
        <v>134030</v>
      </c>
      <c r="G30" s="137"/>
      <c r="H30" s="138">
        <v>44256</v>
      </c>
      <c r="I30" s="69">
        <v>495</v>
      </c>
      <c r="J30" s="67"/>
      <c r="K30" s="158"/>
      <c r="L30" s="46"/>
      <c r="M30" s="41">
        <v>119197</v>
      </c>
      <c r="N30" s="42">
        <v>5072</v>
      </c>
      <c r="O30" s="47"/>
      <c r="P30" s="7">
        <f>C30+I30+M30+N30+L30</f>
        <v>134030</v>
      </c>
      <c r="Q30" s="6">
        <f t="shared" si="5"/>
        <v>0</v>
      </c>
      <c r="R30" s="48"/>
      <c r="U30" s="213" t="s">
        <v>81</v>
      </c>
      <c r="V30" s="221"/>
      <c r="W30" s="207"/>
    </row>
    <row r="31" spans="1:23" ht="15.75" thickBot="1" x14ac:dyDescent="0.3">
      <c r="A31" s="34"/>
      <c r="B31" s="134">
        <v>44257</v>
      </c>
      <c r="C31" s="36">
        <v>1185</v>
      </c>
      <c r="D31" s="143" t="s">
        <v>45</v>
      </c>
      <c r="E31" s="136">
        <v>44257</v>
      </c>
      <c r="F31" s="37">
        <v>100158</v>
      </c>
      <c r="G31" s="137"/>
      <c r="H31" s="138">
        <v>44257</v>
      </c>
      <c r="I31" s="69">
        <v>495</v>
      </c>
      <c r="J31" s="67"/>
      <c r="K31" s="144"/>
      <c r="L31" s="66">
        <v>0</v>
      </c>
      <c r="M31" s="41">
        <v>94341</v>
      </c>
      <c r="N31" s="42">
        <v>4137</v>
      </c>
      <c r="O31" s="47"/>
      <c r="P31" s="7">
        <f>C31+I31+M31+N31+L31</f>
        <v>100158</v>
      </c>
      <c r="Q31" s="6">
        <f t="shared" si="5"/>
        <v>0</v>
      </c>
      <c r="R31" s="48"/>
      <c r="U31" s="213" t="s">
        <v>82</v>
      </c>
      <c r="V31" s="221"/>
      <c r="W31" s="207"/>
    </row>
    <row r="32" spans="1:23" ht="15.75" thickBot="1" x14ac:dyDescent="0.3">
      <c r="A32" s="34"/>
      <c r="B32" s="134"/>
      <c r="C32" s="36"/>
      <c r="D32" s="143"/>
      <c r="E32" s="136"/>
      <c r="F32" s="70"/>
      <c r="G32" s="137"/>
      <c r="H32" s="138"/>
      <c r="I32" s="69"/>
      <c r="J32" s="67"/>
      <c r="K32" s="158"/>
      <c r="L32" s="46"/>
      <c r="M32" s="41">
        <v>0</v>
      </c>
      <c r="N32" s="42">
        <v>0</v>
      </c>
      <c r="O32" s="47"/>
      <c r="P32" s="7">
        <f>C32+I32+M32+N32+L32</f>
        <v>0</v>
      </c>
      <c r="Q32" s="6">
        <f t="shared" si="5"/>
        <v>0</v>
      </c>
      <c r="R32" s="48"/>
      <c r="U32" s="213" t="s">
        <v>83</v>
      </c>
      <c r="V32" s="221"/>
      <c r="W32" s="207"/>
    </row>
    <row r="33" spans="1:23" ht="16.5" thickBot="1" x14ac:dyDescent="0.3">
      <c r="A33" s="34"/>
      <c r="B33" s="236">
        <v>44231</v>
      </c>
      <c r="C33" s="225">
        <v>10917.98</v>
      </c>
      <c r="D33" s="237" t="s">
        <v>212</v>
      </c>
      <c r="E33" s="136"/>
      <c r="F33" s="71"/>
      <c r="G33" s="137"/>
      <c r="H33" s="138"/>
      <c r="I33" s="69"/>
      <c r="J33" s="233" t="s">
        <v>210</v>
      </c>
      <c r="K33" s="172" t="s">
        <v>211</v>
      </c>
      <c r="L33" s="71">
        <f>10260+9885+7560</f>
        <v>27705</v>
      </c>
      <c r="M33" s="41">
        <v>0</v>
      </c>
      <c r="N33" s="42">
        <v>0</v>
      </c>
      <c r="O33" s="47"/>
      <c r="P33" s="7">
        <v>0</v>
      </c>
      <c r="Q33" s="6">
        <f t="shared" si="5"/>
        <v>0</v>
      </c>
      <c r="R33" s="48"/>
      <c r="U33" s="213" t="s">
        <v>84</v>
      </c>
      <c r="V33" s="221"/>
      <c r="W33" s="207"/>
    </row>
    <row r="34" spans="1:23" ht="16.5" thickBot="1" x14ac:dyDescent="0.3">
      <c r="A34" s="34"/>
      <c r="B34" s="236">
        <v>44233</v>
      </c>
      <c r="C34" s="225">
        <v>11040.9</v>
      </c>
      <c r="D34" s="237" t="s">
        <v>215</v>
      </c>
      <c r="E34" s="136"/>
      <c r="F34" s="71"/>
      <c r="G34" s="137"/>
      <c r="H34" s="138"/>
      <c r="I34" s="69"/>
      <c r="J34" s="67">
        <v>44242</v>
      </c>
      <c r="K34" s="243" t="s">
        <v>223</v>
      </c>
      <c r="L34" s="6">
        <v>986</v>
      </c>
      <c r="M34" s="41">
        <v>0</v>
      </c>
      <c r="N34" s="42">
        <v>0</v>
      </c>
      <c r="O34" s="47"/>
      <c r="P34" s="7">
        <v>0</v>
      </c>
      <c r="Q34" s="6">
        <f t="shared" si="5"/>
        <v>0</v>
      </c>
      <c r="R34" s="48"/>
      <c r="U34" s="213" t="s">
        <v>85</v>
      </c>
      <c r="V34" s="221"/>
      <c r="W34" s="207"/>
    </row>
    <row r="35" spans="1:23" ht="16.5" thickBot="1" x14ac:dyDescent="0.3">
      <c r="A35" s="34"/>
      <c r="B35" s="236">
        <v>44235</v>
      </c>
      <c r="C35" s="225">
        <v>22458.1</v>
      </c>
      <c r="D35" s="237" t="s">
        <v>213</v>
      </c>
      <c r="E35" s="136"/>
      <c r="F35" s="71"/>
      <c r="G35" s="137"/>
      <c r="H35" s="138"/>
      <c r="I35" s="69"/>
      <c r="J35" s="67">
        <v>44242</v>
      </c>
      <c r="K35" s="172" t="s">
        <v>224</v>
      </c>
      <c r="L35" s="71">
        <f>13688+4408+6960</f>
        <v>25056</v>
      </c>
      <c r="M35" s="41">
        <v>0</v>
      </c>
      <c r="N35" s="42">
        <v>0</v>
      </c>
      <c r="O35" s="47"/>
      <c r="P35" s="7"/>
      <c r="Q35" s="6">
        <f t="shared" si="5"/>
        <v>0</v>
      </c>
      <c r="R35" s="48"/>
      <c r="U35" s="213" t="s">
        <v>86</v>
      </c>
      <c r="V35" s="221"/>
      <c r="W35" s="207"/>
    </row>
    <row r="36" spans="1:23" ht="15" customHeight="1" thickBot="1" x14ac:dyDescent="0.3">
      <c r="A36" s="34"/>
      <c r="B36" s="238">
        <v>44238</v>
      </c>
      <c r="C36" s="225">
        <v>29327.32</v>
      </c>
      <c r="D36" s="237" t="s">
        <v>214</v>
      </c>
      <c r="E36" s="136"/>
      <c r="F36" s="71"/>
      <c r="G36" s="137"/>
      <c r="H36" s="138"/>
      <c r="I36" s="69"/>
      <c r="J36" s="67">
        <v>44244</v>
      </c>
      <c r="K36" s="243" t="s">
        <v>132</v>
      </c>
      <c r="L36" s="6">
        <f>986.84+1394.81+1723.52+1395.89</f>
        <v>5501.06</v>
      </c>
      <c r="M36" s="41">
        <v>0</v>
      </c>
      <c r="N36" s="42">
        <v>0</v>
      </c>
      <c r="O36" s="47"/>
      <c r="P36" s="7"/>
      <c r="Q36" s="6">
        <f t="shared" si="5"/>
        <v>0</v>
      </c>
      <c r="R36" s="48"/>
      <c r="U36" s="213" t="s">
        <v>87</v>
      </c>
      <c r="V36" s="221"/>
      <c r="W36" s="207"/>
    </row>
    <row r="37" spans="1:23" ht="19.5" customHeight="1" thickBot="1" x14ac:dyDescent="0.35">
      <c r="A37" s="34"/>
      <c r="B37" s="226">
        <v>44242</v>
      </c>
      <c r="C37" s="225">
        <v>13416.16</v>
      </c>
      <c r="D37" s="237" t="s">
        <v>216</v>
      </c>
      <c r="E37" s="136"/>
      <c r="F37" s="239"/>
      <c r="G37" s="137"/>
      <c r="H37" s="138"/>
      <c r="I37" s="69"/>
      <c r="J37" s="67">
        <v>44251</v>
      </c>
      <c r="K37" s="245" t="s">
        <v>225</v>
      </c>
      <c r="L37" s="71">
        <v>10000</v>
      </c>
      <c r="M37" s="41">
        <v>0</v>
      </c>
      <c r="N37" s="42">
        <v>0</v>
      </c>
      <c r="O37" s="47"/>
      <c r="P37" s="7"/>
      <c r="Q37" s="6">
        <f t="shared" si="5"/>
        <v>0</v>
      </c>
      <c r="R37" s="48"/>
      <c r="U37" s="213" t="s">
        <v>88</v>
      </c>
      <c r="V37" s="221"/>
      <c r="W37" s="207"/>
    </row>
    <row r="38" spans="1:23" ht="15" customHeight="1" thickBot="1" x14ac:dyDescent="0.35">
      <c r="A38" s="34"/>
      <c r="B38" s="226">
        <v>44245</v>
      </c>
      <c r="C38" s="225">
        <v>14548.36</v>
      </c>
      <c r="D38" s="237" t="s">
        <v>217</v>
      </c>
      <c r="E38" s="136"/>
      <c r="F38" s="239"/>
      <c r="G38" s="137"/>
      <c r="H38" s="138"/>
      <c r="I38" s="69"/>
      <c r="J38" s="67" t="s">
        <v>210</v>
      </c>
      <c r="K38" s="172" t="s">
        <v>226</v>
      </c>
      <c r="L38" s="71">
        <f>198.99+398.99+407.02+498.99+398.99</f>
        <v>1902.98</v>
      </c>
      <c r="M38" s="41">
        <v>0</v>
      </c>
      <c r="N38" s="42">
        <v>0</v>
      </c>
      <c r="O38" s="47"/>
      <c r="P38" s="7"/>
      <c r="Q38" s="6">
        <f t="shared" si="5"/>
        <v>0</v>
      </c>
      <c r="R38" s="48"/>
      <c r="U38" s="213" t="s">
        <v>89</v>
      </c>
      <c r="V38" s="221"/>
      <c r="W38" s="207"/>
    </row>
    <row r="39" spans="1:23" ht="15" customHeight="1" thickBot="1" x14ac:dyDescent="0.35">
      <c r="A39" s="34"/>
      <c r="B39" s="226">
        <v>44246</v>
      </c>
      <c r="C39" s="225">
        <v>18201.509999999998</v>
      </c>
      <c r="D39" s="237" t="s">
        <v>218</v>
      </c>
      <c r="E39" s="136"/>
      <c r="F39" s="239"/>
      <c r="G39" s="137"/>
      <c r="H39" s="138"/>
      <c r="I39" s="69"/>
      <c r="J39" s="67" t="s">
        <v>210</v>
      </c>
      <c r="K39" s="243" t="s">
        <v>227</v>
      </c>
      <c r="L39" s="71">
        <v>3997.12</v>
      </c>
      <c r="M39" s="41">
        <v>0</v>
      </c>
      <c r="N39" s="42">
        <v>0</v>
      </c>
      <c r="O39" s="47"/>
      <c r="P39" s="7"/>
      <c r="Q39" s="6">
        <f t="shared" si="5"/>
        <v>0</v>
      </c>
      <c r="R39" s="48"/>
      <c r="U39" s="213" t="s">
        <v>90</v>
      </c>
      <c r="V39" s="221"/>
      <c r="W39" s="207"/>
    </row>
    <row r="40" spans="1:23" ht="15" customHeight="1" thickBot="1" x14ac:dyDescent="0.35">
      <c r="A40" s="34"/>
      <c r="B40" s="226">
        <v>44250</v>
      </c>
      <c r="C40" s="225">
        <v>31000.46</v>
      </c>
      <c r="D40" s="237" t="s">
        <v>219</v>
      </c>
      <c r="E40" s="136"/>
      <c r="F40" s="239"/>
      <c r="G40" s="137"/>
      <c r="H40" s="138"/>
      <c r="I40" s="69"/>
      <c r="J40" s="67" t="s">
        <v>210</v>
      </c>
      <c r="K40" s="171" t="s">
        <v>262</v>
      </c>
      <c r="L40" s="71">
        <v>9631.76</v>
      </c>
      <c r="M40" s="41">
        <v>0</v>
      </c>
      <c r="N40" s="42">
        <v>0</v>
      </c>
      <c r="O40" s="47"/>
      <c r="P40" s="7"/>
      <c r="Q40" s="6">
        <f t="shared" si="5"/>
        <v>0</v>
      </c>
      <c r="R40" s="48"/>
      <c r="U40" s="213" t="s">
        <v>91</v>
      </c>
      <c r="V40" s="221"/>
      <c r="W40" s="207"/>
    </row>
    <row r="41" spans="1:23" ht="15" customHeight="1" thickBot="1" x14ac:dyDescent="0.35">
      <c r="A41" s="34"/>
      <c r="B41" s="226">
        <v>44251</v>
      </c>
      <c r="C41" s="225">
        <v>12293.99</v>
      </c>
      <c r="D41" s="237" t="s">
        <v>220</v>
      </c>
      <c r="E41" s="136"/>
      <c r="F41" s="240"/>
      <c r="G41" s="137"/>
      <c r="H41" s="138"/>
      <c r="I41" s="69"/>
      <c r="J41" s="67" t="s">
        <v>210</v>
      </c>
      <c r="K41" s="171" t="s">
        <v>263</v>
      </c>
      <c r="L41" s="71">
        <v>1125.7</v>
      </c>
      <c r="M41" s="41">
        <v>0</v>
      </c>
      <c r="N41" s="42">
        <v>0</v>
      </c>
      <c r="O41" s="47"/>
      <c r="P41" s="7"/>
      <c r="Q41" s="6">
        <f t="shared" si="5"/>
        <v>0</v>
      </c>
      <c r="R41" s="48"/>
      <c r="U41" s="213" t="s">
        <v>92</v>
      </c>
      <c r="V41" s="221"/>
      <c r="W41" s="207"/>
    </row>
    <row r="42" spans="1:23" ht="15" customHeight="1" thickBot="1" x14ac:dyDescent="0.35">
      <c r="A42" s="34"/>
      <c r="B42" s="226">
        <v>44254</v>
      </c>
      <c r="C42" s="225">
        <v>12926.36</v>
      </c>
      <c r="D42" s="237" t="s">
        <v>221</v>
      </c>
      <c r="E42" s="136"/>
      <c r="F42" s="241"/>
      <c r="G42" s="137"/>
      <c r="H42" s="138"/>
      <c r="I42" s="69"/>
      <c r="J42" s="67" t="s">
        <v>210</v>
      </c>
      <c r="K42" s="244" t="s">
        <v>228</v>
      </c>
      <c r="L42" s="71">
        <v>4386.93</v>
      </c>
      <c r="M42" s="41">
        <v>0</v>
      </c>
      <c r="N42" s="42">
        <v>0</v>
      </c>
      <c r="O42" s="47"/>
      <c r="P42" s="7"/>
      <c r="Q42" s="6">
        <f t="shared" si="5"/>
        <v>0</v>
      </c>
      <c r="R42" s="48"/>
      <c r="U42" s="213" t="s">
        <v>93</v>
      </c>
      <c r="V42" s="221"/>
      <c r="W42" s="207"/>
    </row>
    <row r="43" spans="1:23" ht="16.149999999999999" customHeight="1" thickBot="1" x14ac:dyDescent="0.35">
      <c r="A43" s="34"/>
      <c r="B43" s="226">
        <v>44256</v>
      </c>
      <c r="C43" s="225">
        <v>20260.8</v>
      </c>
      <c r="D43" s="237" t="s">
        <v>222</v>
      </c>
      <c r="E43" s="136"/>
      <c r="F43" s="241"/>
      <c r="G43" s="137"/>
      <c r="H43" s="138"/>
      <c r="I43" s="69"/>
      <c r="J43" s="67" t="s">
        <v>258</v>
      </c>
      <c r="K43" s="258" t="s">
        <v>264</v>
      </c>
      <c r="L43" s="71">
        <f>3357+3357</f>
        <v>6714</v>
      </c>
      <c r="M43" s="41">
        <v>0</v>
      </c>
      <c r="N43" s="42">
        <v>0</v>
      </c>
      <c r="O43" s="47"/>
      <c r="P43" s="7"/>
      <c r="R43" s="48"/>
      <c r="U43" s="213" t="s">
        <v>94</v>
      </c>
      <c r="V43" s="221"/>
      <c r="W43" s="207"/>
    </row>
    <row r="44" spans="1:23" ht="16.149999999999999" customHeight="1" thickBot="1" x14ac:dyDescent="0.3">
      <c r="A44" s="34"/>
      <c r="B44" s="146"/>
      <c r="C44" s="71"/>
      <c r="D44" s="242"/>
      <c r="E44" s="136"/>
      <c r="F44" s="151"/>
      <c r="G44" s="137"/>
      <c r="H44" s="138"/>
      <c r="I44" s="69"/>
      <c r="J44" s="67">
        <v>44257</v>
      </c>
      <c r="K44" s="157" t="s">
        <v>226</v>
      </c>
      <c r="L44" s="71">
        <v>203</v>
      </c>
      <c r="M44" s="41">
        <v>0</v>
      </c>
      <c r="N44" s="42">
        <v>0</v>
      </c>
      <c r="O44" s="47"/>
      <c r="P44" s="7"/>
      <c r="R44" s="48"/>
      <c r="U44" s="213" t="s">
        <v>95</v>
      </c>
      <c r="V44" s="221"/>
      <c r="W44" s="207"/>
    </row>
    <row r="45" spans="1:23" ht="16.149999999999999" hidden="1" customHeight="1" thickBot="1" x14ac:dyDescent="0.3">
      <c r="A45" s="34"/>
      <c r="B45" s="146"/>
      <c r="C45" s="71"/>
      <c r="D45" s="242"/>
      <c r="E45" s="136"/>
      <c r="F45" s="151"/>
      <c r="G45" s="137"/>
      <c r="H45" s="138"/>
      <c r="I45" s="69"/>
      <c r="J45" s="67"/>
      <c r="K45" s="40" t="s">
        <v>141</v>
      </c>
      <c r="L45" s="71"/>
      <c r="M45" s="41">
        <v>0</v>
      </c>
      <c r="N45" s="42">
        <v>0</v>
      </c>
      <c r="O45" s="47"/>
      <c r="P45" s="7"/>
      <c r="R45" s="48"/>
      <c r="U45" s="213" t="s">
        <v>96</v>
      </c>
      <c r="V45" s="221"/>
      <c r="W45" s="207"/>
    </row>
    <row r="46" spans="1:23" ht="16.149999999999999" hidden="1" customHeight="1" thickBot="1" x14ac:dyDescent="0.3">
      <c r="A46" s="34"/>
      <c r="B46" s="146"/>
      <c r="C46" s="71"/>
      <c r="D46" s="242"/>
      <c r="E46" s="136"/>
      <c r="F46" s="151"/>
      <c r="G46" s="137"/>
      <c r="H46" s="138"/>
      <c r="I46" s="69"/>
      <c r="J46" s="67"/>
      <c r="K46" s="40" t="s">
        <v>141</v>
      </c>
      <c r="L46" s="75"/>
      <c r="M46" s="41">
        <v>0</v>
      </c>
      <c r="N46" s="42">
        <v>0</v>
      </c>
      <c r="O46" s="47"/>
      <c r="P46" s="7"/>
      <c r="R46" s="48"/>
      <c r="U46" s="213" t="s">
        <v>97</v>
      </c>
      <c r="V46" s="221"/>
      <c r="W46" s="207"/>
    </row>
    <row r="47" spans="1:23" ht="16.149999999999999" hidden="1" customHeight="1" thickBot="1" x14ac:dyDescent="0.3">
      <c r="A47" s="34"/>
      <c r="B47" s="146"/>
      <c r="C47" s="71"/>
      <c r="D47" s="242"/>
      <c r="E47" s="136"/>
      <c r="F47" s="151"/>
      <c r="G47" s="137"/>
      <c r="H47" s="138"/>
      <c r="I47" s="69"/>
      <c r="J47" s="67"/>
      <c r="K47" s="40" t="s">
        <v>141</v>
      </c>
      <c r="L47" s="75"/>
      <c r="M47" s="41">
        <v>0</v>
      </c>
      <c r="N47" s="42">
        <v>0</v>
      </c>
      <c r="O47" s="47"/>
      <c r="P47" s="7"/>
      <c r="R47" s="48"/>
      <c r="U47" s="213" t="s">
        <v>98</v>
      </c>
      <c r="V47" s="221"/>
      <c r="W47" s="207"/>
    </row>
    <row r="48" spans="1:23" ht="16.149999999999999" hidden="1" customHeight="1" thickBot="1" x14ac:dyDescent="0.3">
      <c r="A48" s="34"/>
      <c r="B48" s="146"/>
      <c r="C48" s="71"/>
      <c r="D48" s="151"/>
      <c r="E48" s="150"/>
      <c r="F48" s="74"/>
      <c r="G48" s="137"/>
      <c r="H48" s="138"/>
      <c r="I48" s="69"/>
      <c r="J48" s="67"/>
      <c r="K48" s="40" t="s">
        <v>141</v>
      </c>
      <c r="L48" s="50"/>
      <c r="M48" s="77"/>
      <c r="N48" s="42"/>
      <c r="O48" s="47"/>
      <c r="P48" s="7"/>
      <c r="Q48" s="7"/>
      <c r="R48" s="48"/>
      <c r="U48" s="213" t="s">
        <v>99</v>
      </c>
      <c r="V48" s="221"/>
      <c r="W48" s="207"/>
    </row>
    <row r="49" spans="1:23" ht="16.5" hidden="1" thickBot="1" x14ac:dyDescent="0.3">
      <c r="A49" s="34"/>
      <c r="B49" s="146"/>
      <c r="C49" s="71"/>
      <c r="D49" s="151"/>
      <c r="E49" s="150"/>
      <c r="F49" s="74"/>
      <c r="G49" s="137"/>
      <c r="H49" s="138"/>
      <c r="I49" s="69"/>
      <c r="J49" s="67"/>
      <c r="K49" s="40" t="s">
        <v>141</v>
      </c>
      <c r="L49" s="50"/>
      <c r="M49" s="77"/>
      <c r="N49" s="42"/>
      <c r="O49" s="47"/>
      <c r="P49" s="7"/>
      <c r="Q49" s="7"/>
      <c r="R49" s="48"/>
      <c r="U49" s="213" t="s">
        <v>100</v>
      </c>
      <c r="V49" s="221"/>
      <c r="W49" s="207"/>
    </row>
    <row r="50" spans="1:23" ht="16.5" hidden="1" thickBot="1" x14ac:dyDescent="0.3">
      <c r="A50" s="34"/>
      <c r="B50" s="146"/>
      <c r="C50" s="71"/>
      <c r="D50" s="152"/>
      <c r="E50" s="149"/>
      <c r="F50" s="74"/>
      <c r="G50" s="137"/>
      <c r="H50" s="138"/>
      <c r="I50" s="69"/>
      <c r="J50" s="67"/>
      <c r="K50" s="40" t="s">
        <v>141</v>
      </c>
      <c r="L50" s="75"/>
      <c r="M50" s="77"/>
      <c r="N50" s="42"/>
      <c r="O50" s="47"/>
      <c r="P50" s="7"/>
      <c r="Q50" s="7"/>
      <c r="R50" s="48"/>
      <c r="U50" s="213" t="s">
        <v>101</v>
      </c>
      <c r="V50" s="221"/>
      <c r="W50" s="207"/>
    </row>
    <row r="51" spans="1:23" ht="16.5" hidden="1" thickBot="1" x14ac:dyDescent="0.3">
      <c r="A51" s="34"/>
      <c r="B51" s="146"/>
      <c r="C51" s="71"/>
      <c r="D51" s="151"/>
      <c r="E51" s="149"/>
      <c r="F51" s="74"/>
      <c r="G51" s="137"/>
      <c r="H51" s="138"/>
      <c r="I51" s="69"/>
      <c r="J51" s="67"/>
      <c r="K51" s="40" t="s">
        <v>141</v>
      </c>
      <c r="L51" s="75"/>
      <c r="M51" s="77"/>
      <c r="N51" s="42"/>
      <c r="O51" s="47"/>
      <c r="P51" s="7"/>
      <c r="Q51" s="7"/>
      <c r="R51" s="48"/>
      <c r="U51" s="213" t="s">
        <v>102</v>
      </c>
      <c r="V51" s="221"/>
      <c r="W51" s="207"/>
    </row>
    <row r="52" spans="1:23" ht="16.5" hidden="1" customHeight="1" thickBot="1" x14ac:dyDescent="0.35">
      <c r="A52" s="34"/>
      <c r="B52" s="146"/>
      <c r="C52" s="71"/>
      <c r="D52" s="153"/>
      <c r="E52" s="136"/>
      <c r="F52" s="71"/>
      <c r="G52" s="137"/>
      <c r="H52" s="138"/>
      <c r="I52" s="69"/>
      <c r="J52" s="67"/>
      <c r="K52" s="40" t="s">
        <v>141</v>
      </c>
      <c r="L52" s="75"/>
      <c r="M52" s="77"/>
      <c r="N52" s="42"/>
      <c r="O52" s="47"/>
      <c r="P52" s="7"/>
      <c r="Q52" s="7"/>
      <c r="R52" s="48"/>
      <c r="U52" s="213" t="s">
        <v>103</v>
      </c>
      <c r="V52" s="221"/>
      <c r="W52" s="207"/>
    </row>
    <row r="53" spans="1:23" ht="15.75" hidden="1" customHeight="1" thickBot="1" x14ac:dyDescent="0.35">
      <c r="A53" s="34"/>
      <c r="B53" s="146"/>
      <c r="C53" s="71"/>
      <c r="D53" s="153"/>
      <c r="E53" s="136"/>
      <c r="F53" s="71"/>
      <c r="G53" s="137"/>
      <c r="H53" s="138"/>
      <c r="I53" s="69"/>
      <c r="J53" s="67"/>
      <c r="K53" s="40" t="s">
        <v>141</v>
      </c>
      <c r="L53" s="75"/>
      <c r="M53" s="77"/>
      <c r="N53" s="42"/>
      <c r="O53" s="47"/>
      <c r="P53" s="7"/>
      <c r="Q53" s="7"/>
      <c r="R53" s="48"/>
      <c r="U53" s="213" t="s">
        <v>104</v>
      </c>
      <c r="V53" s="221"/>
      <c r="W53" s="207"/>
    </row>
    <row r="54" spans="1:23" ht="15.75" hidden="1" customHeight="1" thickBot="1" x14ac:dyDescent="0.35">
      <c r="A54" s="34"/>
      <c r="B54" s="146"/>
      <c r="C54" s="71"/>
      <c r="D54" s="153"/>
      <c r="E54" s="136"/>
      <c r="F54" s="71"/>
      <c r="G54" s="137"/>
      <c r="H54" s="138"/>
      <c r="I54" s="69"/>
      <c r="J54" s="67"/>
      <c r="K54" s="40" t="s">
        <v>141</v>
      </c>
      <c r="L54" s="75"/>
      <c r="M54" s="41"/>
      <c r="N54" s="42"/>
      <c r="O54" s="47"/>
      <c r="P54" s="7"/>
      <c r="Q54" s="7"/>
      <c r="R54" s="48"/>
      <c r="U54" s="213" t="s">
        <v>105</v>
      </c>
      <c r="V54" s="221"/>
      <c r="W54" s="207"/>
    </row>
    <row r="55" spans="1:23" ht="15.75" hidden="1" customHeight="1" thickBot="1" x14ac:dyDescent="0.35">
      <c r="A55" s="34"/>
      <c r="B55" s="146"/>
      <c r="C55" s="71"/>
      <c r="D55" s="153"/>
      <c r="E55" s="136"/>
      <c r="F55" s="71"/>
      <c r="G55" s="137"/>
      <c r="H55" s="138"/>
      <c r="I55" s="69"/>
      <c r="J55" s="67"/>
      <c r="K55" s="40" t="s">
        <v>141</v>
      </c>
      <c r="L55" s="75"/>
      <c r="M55" s="41">
        <v>0</v>
      </c>
      <c r="N55" s="42">
        <v>0</v>
      </c>
      <c r="O55" s="47"/>
      <c r="P55" s="7"/>
      <c r="Q55" s="7"/>
      <c r="R55" s="48"/>
      <c r="U55" s="212"/>
      <c r="V55" s="222"/>
      <c r="W55" s="207"/>
    </row>
    <row r="56" spans="1:23" ht="15.75" hidden="1" customHeight="1" thickBot="1" x14ac:dyDescent="0.35">
      <c r="A56" s="34"/>
      <c r="B56" s="146"/>
      <c r="C56" s="71"/>
      <c r="D56" s="153"/>
      <c r="E56" s="154"/>
      <c r="F56" s="79"/>
      <c r="G56" s="137"/>
      <c r="H56" s="145"/>
      <c r="I56" s="80"/>
      <c r="J56" s="67"/>
      <c r="K56" s="40" t="s">
        <v>141</v>
      </c>
      <c r="L56" s="50"/>
      <c r="M56" s="41"/>
      <c r="N56" s="42"/>
      <c r="O56" s="47"/>
      <c r="P56" s="7"/>
      <c r="Q56" s="7"/>
      <c r="R56" s="48"/>
      <c r="U56" s="212"/>
      <c r="V56" s="222"/>
      <c r="W56" s="207"/>
    </row>
    <row r="57" spans="1:23" ht="15.75" hidden="1" customHeight="1" thickBot="1" x14ac:dyDescent="0.3">
      <c r="A57" s="34"/>
      <c r="B57" s="146"/>
      <c r="C57" s="71"/>
      <c r="D57" s="155"/>
      <c r="E57" s="154"/>
      <c r="F57" s="79"/>
      <c r="G57" s="137"/>
      <c r="H57" s="145"/>
      <c r="I57" s="80"/>
      <c r="J57" s="67"/>
      <c r="K57" s="40" t="s">
        <v>141</v>
      </c>
      <c r="L57" s="50"/>
      <c r="M57" s="41"/>
      <c r="N57" s="42"/>
      <c r="O57" s="47"/>
      <c r="P57" s="7"/>
      <c r="Q57" s="7"/>
      <c r="R57" s="48"/>
      <c r="U57" s="212"/>
      <c r="V57" s="222"/>
      <c r="W57" s="207"/>
    </row>
    <row r="58" spans="1:23" ht="15.75" hidden="1" customHeight="1" thickBot="1" x14ac:dyDescent="0.3">
      <c r="A58" s="34"/>
      <c r="B58" s="146"/>
      <c r="C58" s="71"/>
      <c r="D58" s="155"/>
      <c r="E58" s="154"/>
      <c r="F58" s="79"/>
      <c r="G58" s="137"/>
      <c r="H58" s="145"/>
      <c r="I58" s="80"/>
      <c r="J58" s="67"/>
      <c r="K58" s="40" t="s">
        <v>141</v>
      </c>
      <c r="L58" s="50"/>
      <c r="M58" s="41"/>
      <c r="N58" s="42"/>
      <c r="O58" s="47"/>
      <c r="P58" s="7"/>
      <c r="Q58" s="7"/>
      <c r="R58" s="48"/>
      <c r="U58" s="212"/>
      <c r="V58" s="222"/>
      <c r="W58" s="207"/>
    </row>
    <row r="59" spans="1:23" ht="15.75" hidden="1" customHeight="1" thickBot="1" x14ac:dyDescent="0.3">
      <c r="A59" s="34"/>
      <c r="B59" s="146"/>
      <c r="C59" s="71"/>
      <c r="D59" s="155"/>
      <c r="E59" s="154"/>
      <c r="F59" s="79"/>
      <c r="G59" s="137"/>
      <c r="H59" s="145"/>
      <c r="I59" s="80"/>
      <c r="J59" s="67"/>
      <c r="K59" s="40" t="s">
        <v>141</v>
      </c>
      <c r="L59" s="50"/>
      <c r="M59" s="41"/>
      <c r="N59" s="42"/>
      <c r="O59" s="47"/>
      <c r="P59" s="7"/>
      <c r="Q59" s="7"/>
      <c r="R59" s="48"/>
      <c r="U59" s="212"/>
      <c r="V59" s="222"/>
      <c r="W59" s="207"/>
    </row>
    <row r="60" spans="1:23" ht="15.75" hidden="1" customHeight="1" thickBot="1" x14ac:dyDescent="0.3">
      <c r="A60" s="34"/>
      <c r="B60" s="35"/>
      <c r="C60" s="71"/>
      <c r="D60" s="82"/>
      <c r="E60" s="78"/>
      <c r="F60" s="79"/>
      <c r="H60" s="73"/>
      <c r="I60" s="80"/>
      <c r="J60" s="67"/>
      <c r="K60" s="40" t="s">
        <v>141</v>
      </c>
      <c r="L60" s="50"/>
      <c r="M60" s="41"/>
      <c r="N60" s="42"/>
      <c r="O60" s="47"/>
      <c r="P60" s="7"/>
      <c r="Q60" s="7"/>
      <c r="R60" s="48"/>
      <c r="U60" s="212"/>
      <c r="V60" s="222"/>
      <c r="W60" s="207"/>
    </row>
    <row r="61" spans="1:23" ht="15.75" thickBot="1" x14ac:dyDescent="0.3">
      <c r="A61" s="34"/>
      <c r="B61" s="35"/>
      <c r="C61" s="36">
        <v>0</v>
      </c>
      <c r="D61" s="82"/>
      <c r="E61" s="78"/>
      <c r="F61" s="79"/>
      <c r="H61" s="73"/>
      <c r="I61" s="80"/>
      <c r="J61" s="67"/>
      <c r="K61" s="40" t="s">
        <v>141</v>
      </c>
      <c r="L61" s="6">
        <v>0</v>
      </c>
      <c r="M61" s="41">
        <v>0</v>
      </c>
      <c r="N61" s="42">
        <v>0</v>
      </c>
      <c r="O61" s="47"/>
      <c r="P61" s="84"/>
      <c r="Q61" s="84"/>
      <c r="R61" s="48"/>
      <c r="U61" s="210"/>
      <c r="V61" s="222"/>
      <c r="W61" s="207"/>
    </row>
    <row r="62" spans="1:23" ht="16.5" thickBot="1" x14ac:dyDescent="0.3">
      <c r="B62" s="85" t="s">
        <v>13</v>
      </c>
      <c r="C62" s="86">
        <f>SUM(C5:C61)</f>
        <v>374283.74</v>
      </c>
      <c r="D62" s="87"/>
      <c r="E62" s="88" t="s">
        <v>13</v>
      </c>
      <c r="F62" s="89">
        <f>SUM(F5:F61)</f>
        <v>3009045</v>
      </c>
      <c r="G62" s="87"/>
      <c r="H62" s="90" t="s">
        <v>14</v>
      </c>
      <c r="I62" s="91">
        <f>SUM(I5:I61)</f>
        <v>64698.85</v>
      </c>
      <c r="J62" s="92"/>
      <c r="K62" s="93" t="s">
        <v>15</v>
      </c>
      <c r="L62" s="94">
        <f>SUM(L5:L61)</f>
        <v>195248.15000000002</v>
      </c>
      <c r="M62" s="95">
        <f>SUM(M5:M61)</f>
        <v>2579355</v>
      </c>
      <c r="N62" s="95">
        <f>SUM(N5:N61)</f>
        <v>164965</v>
      </c>
      <c r="O62" s="96"/>
      <c r="P62" s="7">
        <f>SUM(P5:P61)</f>
        <v>3068787.5</v>
      </c>
      <c r="Q62" s="7">
        <f>SUM(Q5:Q61)</f>
        <v>75904.250000000029</v>
      </c>
      <c r="R62" s="97"/>
      <c r="U62" s="210"/>
      <c r="V62" s="222"/>
      <c r="W62" s="207"/>
    </row>
    <row r="63" spans="1:23" ht="20.25" thickTop="1" thickBot="1" x14ac:dyDescent="0.3">
      <c r="C63" s="8" t="s">
        <v>11</v>
      </c>
      <c r="O63" s="96"/>
      <c r="P63" s="7"/>
      <c r="Q63" s="7"/>
      <c r="R63" s="98"/>
      <c r="S63" s="99"/>
      <c r="U63" s="211"/>
      <c r="V63" s="223"/>
      <c r="W63" s="208"/>
    </row>
    <row r="64" spans="1:23" ht="17.25" customHeight="1" thickBot="1" x14ac:dyDescent="0.3">
      <c r="A64" s="60"/>
      <c r="B64" s="100"/>
      <c r="C64" s="4"/>
      <c r="H64" s="548" t="s">
        <v>16</v>
      </c>
      <c r="I64" s="549"/>
      <c r="J64" s="101"/>
      <c r="K64" s="550">
        <f>I62+L62</f>
        <v>259947.00000000003</v>
      </c>
      <c r="L64" s="551"/>
      <c r="M64" s="552">
        <f>M62+N62</f>
        <v>2744320</v>
      </c>
      <c r="N64" s="553"/>
      <c r="O64" s="102"/>
      <c r="P64" s="99"/>
      <c r="Q64" s="99"/>
      <c r="S64" s="174"/>
    </row>
    <row r="65" spans="2:19" ht="19.5" customHeight="1" thickBot="1" x14ac:dyDescent="0.3">
      <c r="D65" s="560" t="s">
        <v>17</v>
      </c>
      <c r="E65" s="560"/>
      <c r="F65" s="103">
        <f>F62-K64-C62</f>
        <v>2374814.2599999998</v>
      </c>
      <c r="I65" s="104"/>
      <c r="J65" s="105"/>
      <c r="P65" s="561">
        <f>P62+Q62</f>
        <v>3144691.75</v>
      </c>
      <c r="Q65" s="562"/>
      <c r="S65" s="50"/>
    </row>
    <row r="66" spans="2:19" ht="15.75" customHeight="1" x14ac:dyDescent="0.3">
      <c r="D66" s="563" t="s">
        <v>18</v>
      </c>
      <c r="E66" s="563"/>
      <c r="F66" s="95">
        <v>-2261593.1</v>
      </c>
      <c r="I66" s="564" t="s">
        <v>19</v>
      </c>
      <c r="J66" s="565"/>
      <c r="K66" s="566">
        <f>F68+F69+F70</f>
        <v>355407.6199999997</v>
      </c>
      <c r="L66" s="567"/>
      <c r="P66" s="50"/>
      <c r="S66" s="107"/>
    </row>
    <row r="67" spans="2:19" ht="19.5" thickBot="1" x14ac:dyDescent="0.35">
      <c r="D67" s="108"/>
      <c r="E67" s="60"/>
      <c r="F67" s="109">
        <v>0</v>
      </c>
      <c r="I67" s="110"/>
      <c r="J67" s="111"/>
      <c r="K67" s="112"/>
      <c r="L67" s="113"/>
      <c r="O67" s="5" t="s">
        <v>11</v>
      </c>
      <c r="P67" s="107"/>
      <c r="Q67" s="7"/>
      <c r="S67" s="50"/>
    </row>
    <row r="68" spans="2:19" ht="18.75" customHeight="1" thickTop="1" x14ac:dyDescent="0.3">
      <c r="C68" s="9" t="s">
        <v>11</v>
      </c>
      <c r="E68" s="60" t="s">
        <v>20</v>
      </c>
      <c r="F68" s="95">
        <f>SUM(F65:F67)</f>
        <v>113221.15999999968</v>
      </c>
      <c r="H68" s="34"/>
      <c r="I68" s="114" t="s">
        <v>21</v>
      </c>
      <c r="J68" s="115"/>
      <c r="K68" s="568">
        <f>-C4</f>
        <v>-209541.1</v>
      </c>
      <c r="L68" s="569"/>
      <c r="M68" s="116"/>
      <c r="P68" s="50"/>
      <c r="Q68" s="7"/>
      <c r="S68" s="50"/>
    </row>
    <row r="69" spans="2:19" ht="16.5" thickBot="1" x14ac:dyDescent="0.3">
      <c r="D69" s="117" t="s">
        <v>22</v>
      </c>
      <c r="E69" s="60" t="s">
        <v>23</v>
      </c>
      <c r="F69" s="118">
        <v>19172.2</v>
      </c>
      <c r="P69" s="50"/>
      <c r="Q69" s="7"/>
      <c r="S69" s="50"/>
    </row>
    <row r="70" spans="2:19" ht="20.25" thickTop="1" thickBot="1" x14ac:dyDescent="0.35">
      <c r="C70" s="119">
        <v>44257</v>
      </c>
      <c r="D70" s="554" t="s">
        <v>24</v>
      </c>
      <c r="E70" s="555"/>
      <c r="F70" s="120">
        <v>223014.26</v>
      </c>
      <c r="I70" s="556" t="s">
        <v>25</v>
      </c>
      <c r="J70" s="557"/>
      <c r="K70" s="558">
        <f>K66+K68</f>
        <v>145866.5199999997</v>
      </c>
      <c r="L70" s="559"/>
      <c r="P70" s="50"/>
      <c r="Q70" s="7"/>
      <c r="S70" s="121"/>
    </row>
    <row r="71" spans="2:19" ht="18.75" x14ac:dyDescent="0.3">
      <c r="C71" s="122"/>
      <c r="D71" s="123"/>
      <c r="E71" s="57"/>
      <c r="F71" s="124"/>
      <c r="J71" s="125"/>
      <c r="M71" s="126"/>
      <c r="P71" s="121"/>
      <c r="Q71" s="7"/>
    </row>
    <row r="72" spans="2:19" x14ac:dyDescent="0.25">
      <c r="P72" s="7"/>
      <c r="Q72" s="7"/>
    </row>
    <row r="73" spans="2:19" ht="15.75" x14ac:dyDescent="0.25">
      <c r="B73" s="127"/>
      <c r="C73" s="128"/>
      <c r="D73" s="129"/>
      <c r="E73" s="7"/>
      <c r="M73" s="2"/>
      <c r="N73" s="60"/>
      <c r="P73" s="7"/>
      <c r="Q73" s="7"/>
      <c r="R73" s="165"/>
      <c r="S73" s="106"/>
    </row>
    <row r="74" spans="2:19" ht="15.75" x14ac:dyDescent="0.25">
      <c r="B74" s="127"/>
      <c r="C74" s="130"/>
      <c r="E74" s="7"/>
      <c r="M74" s="2"/>
      <c r="N74" s="60"/>
      <c r="O74" s="131"/>
      <c r="P74" s="173"/>
      <c r="Q74" s="165"/>
      <c r="R74" s="165"/>
      <c r="S74" s="60"/>
    </row>
    <row r="75" spans="2:19" ht="15.75" x14ac:dyDescent="0.25">
      <c r="B75" s="127"/>
      <c r="C75" s="130"/>
      <c r="E75" s="7"/>
      <c r="F75" s="132"/>
      <c r="L75" s="133"/>
      <c r="M75" s="4"/>
      <c r="O75" s="131"/>
      <c r="P75" s="165"/>
      <c r="Q75" s="165"/>
    </row>
    <row r="76" spans="2:19" ht="15.75" x14ac:dyDescent="0.25">
      <c r="B76" s="127"/>
      <c r="C76" s="130"/>
      <c r="E76" s="7"/>
      <c r="M76" s="4"/>
    </row>
    <row r="77" spans="2:19" ht="15.75" x14ac:dyDescent="0.25">
      <c r="B77" s="127"/>
      <c r="C77" s="130"/>
      <c r="E77" s="7"/>
      <c r="M77" s="4"/>
    </row>
    <row r="78" spans="2:19" x14ac:dyDescent="0.25">
      <c r="M78" s="4"/>
    </row>
    <row r="79" spans="2:19" x14ac:dyDescent="0.25">
      <c r="M79" s="4"/>
    </row>
    <row r="80" spans="2:19" x14ac:dyDescent="0.25">
      <c r="M80" s="4"/>
    </row>
    <row r="81" spans="13:13" x14ac:dyDescent="0.25">
      <c r="M81" s="4"/>
    </row>
    <row r="82" spans="13:13" x14ac:dyDescent="0.25">
      <c r="M82" s="4"/>
    </row>
    <row r="83" spans="13:13" x14ac:dyDescent="0.25">
      <c r="M83" s="4"/>
    </row>
    <row r="84" spans="13:13" x14ac:dyDescent="0.25">
      <c r="M84" s="4"/>
    </row>
    <row r="85" spans="13:13" x14ac:dyDescent="0.25">
      <c r="M85" s="4"/>
    </row>
    <row r="86" spans="13:13" x14ac:dyDescent="0.25">
      <c r="M86" s="4"/>
    </row>
    <row r="87" spans="13:13" x14ac:dyDescent="0.25">
      <c r="M87" s="4"/>
    </row>
    <row r="88" spans="13:13" x14ac:dyDescent="0.25">
      <c r="M88" s="4"/>
    </row>
  </sheetData>
  <mergeCells count="17">
    <mergeCell ref="K68:L68"/>
    <mergeCell ref="D70:E70"/>
    <mergeCell ref="I70:J70"/>
    <mergeCell ref="K70:L70"/>
    <mergeCell ref="M64:N64"/>
    <mergeCell ref="D65:E65"/>
    <mergeCell ref="P65:Q65"/>
    <mergeCell ref="D66:E66"/>
    <mergeCell ref="I66:J66"/>
    <mergeCell ref="K66:L66"/>
    <mergeCell ref="C1:K1"/>
    <mergeCell ref="B3:C3"/>
    <mergeCell ref="H3:I3"/>
    <mergeCell ref="E4:F4"/>
    <mergeCell ref="H4:I4"/>
    <mergeCell ref="H64:I64"/>
    <mergeCell ref="K64:L64"/>
  </mergeCells>
  <phoneticPr fontId="41" type="noConversion"/>
  <pageMargins left="0.51181102362204722" right="0.15748031496062992" top="0.31496062992125984" bottom="0.31496062992125984" header="0.31496062992125984" footer="0.31496062992125984"/>
  <pageSetup paperSize="5"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G103"/>
  <sheetViews>
    <sheetView topLeftCell="A37" zoomScale="145" zoomScaleNormal="145" workbookViewId="0">
      <selection activeCell="D28" sqref="D28"/>
    </sheetView>
  </sheetViews>
  <sheetFormatPr baseColWidth="10" defaultRowHeight="15" x14ac:dyDescent="0.25"/>
  <cols>
    <col min="1" max="1" width="13.42578125" style="60" bestFit="1" customWidth="1"/>
    <col min="2" max="2" width="12.85546875" bestFit="1" customWidth="1"/>
    <col min="3" max="3" width="15.85546875" style="9" bestFit="1" customWidth="1"/>
    <col min="4" max="4" width="12.42578125" bestFit="1" customWidth="1"/>
    <col min="5" max="5" width="15.140625" style="9" bestFit="1" customWidth="1"/>
    <col min="6" max="6" width="19.5703125" style="8" bestFit="1" customWidth="1"/>
  </cols>
  <sheetData>
    <row r="1" spans="1:7" ht="36.75" customHeight="1" x14ac:dyDescent="0.35">
      <c r="B1" s="175" t="s">
        <v>31</v>
      </c>
      <c r="C1" s="176"/>
      <c r="D1" s="177"/>
      <c r="E1" s="176"/>
      <c r="F1" s="178"/>
    </row>
    <row r="2" spans="1:7" ht="16.5" thickBot="1" x14ac:dyDescent="0.3">
      <c r="A2" s="179" t="s">
        <v>5</v>
      </c>
      <c r="B2" s="179" t="s">
        <v>27</v>
      </c>
      <c r="C2" s="180" t="s">
        <v>28</v>
      </c>
      <c r="D2" s="179" t="s">
        <v>29</v>
      </c>
      <c r="E2" s="180" t="s">
        <v>30</v>
      </c>
      <c r="F2" s="180" t="s">
        <v>28</v>
      </c>
    </row>
    <row r="3" spans="1:7" ht="18.75" x14ac:dyDescent="0.3">
      <c r="A3" s="192">
        <v>44231</v>
      </c>
      <c r="B3" s="193" t="s">
        <v>196</v>
      </c>
      <c r="C3" s="71">
        <v>122195.35</v>
      </c>
      <c r="D3" s="194"/>
      <c r="E3" s="6"/>
      <c r="F3" s="182">
        <f>C3-E3</f>
        <v>122195.35</v>
      </c>
    </row>
    <row r="4" spans="1:7" ht="18.75" x14ac:dyDescent="0.3">
      <c r="A4" s="192">
        <v>44231</v>
      </c>
      <c r="B4" s="193" t="s">
        <v>197</v>
      </c>
      <c r="C4" s="71">
        <v>6621.8</v>
      </c>
      <c r="D4" s="195"/>
      <c r="E4" s="71"/>
      <c r="F4" s="183">
        <f>F3+C4-E4</f>
        <v>128817.15000000001</v>
      </c>
      <c r="G4" s="184"/>
    </row>
    <row r="5" spans="1:7" x14ac:dyDescent="0.25">
      <c r="A5" s="195">
        <v>44231</v>
      </c>
      <c r="B5" s="193" t="s">
        <v>198</v>
      </c>
      <c r="C5" s="71">
        <v>12579.6</v>
      </c>
      <c r="D5" s="195"/>
      <c r="E5" s="71"/>
      <c r="F5" s="185">
        <f t="shared" ref="F5:F66" si="0">F4+C5-E5</f>
        <v>141396.75</v>
      </c>
    </row>
    <row r="6" spans="1:7" x14ac:dyDescent="0.25">
      <c r="A6" s="195">
        <v>44232</v>
      </c>
      <c r="B6" s="193" t="s">
        <v>199</v>
      </c>
      <c r="C6" s="71">
        <v>205306.85</v>
      </c>
      <c r="D6" s="195">
        <v>44232</v>
      </c>
      <c r="E6" s="71">
        <v>346703.6</v>
      </c>
      <c r="F6" s="185">
        <f t="shared" si="0"/>
        <v>0</v>
      </c>
    </row>
    <row r="7" spans="1:7" x14ac:dyDescent="0.25">
      <c r="A7" s="195">
        <v>44233</v>
      </c>
      <c r="B7" s="193" t="s">
        <v>200</v>
      </c>
      <c r="C7" s="71">
        <v>124129.04</v>
      </c>
      <c r="D7" s="195"/>
      <c r="E7" s="71"/>
      <c r="F7" s="185">
        <f t="shared" si="0"/>
        <v>124129.04</v>
      </c>
    </row>
    <row r="8" spans="1:7" x14ac:dyDescent="0.25">
      <c r="A8" s="195">
        <v>44233</v>
      </c>
      <c r="B8" s="193" t="s">
        <v>201</v>
      </c>
      <c r="C8" s="71">
        <v>17314</v>
      </c>
      <c r="D8" s="195"/>
      <c r="E8" s="71"/>
      <c r="F8" s="185">
        <f t="shared" si="0"/>
        <v>141443.03999999998</v>
      </c>
    </row>
    <row r="9" spans="1:7" x14ac:dyDescent="0.25">
      <c r="A9" s="195">
        <v>44234</v>
      </c>
      <c r="B9" s="193" t="s">
        <v>202</v>
      </c>
      <c r="C9" s="71">
        <v>3618.4</v>
      </c>
      <c r="D9" s="195"/>
      <c r="E9" s="71"/>
      <c r="F9" s="185">
        <f t="shared" si="0"/>
        <v>145061.43999999997</v>
      </c>
    </row>
    <row r="10" spans="1:7" ht="18.75" x14ac:dyDescent="0.3">
      <c r="A10" s="195">
        <v>44236</v>
      </c>
      <c r="B10" s="193" t="s">
        <v>203</v>
      </c>
      <c r="C10" s="71">
        <v>149911.4</v>
      </c>
      <c r="D10" s="195"/>
      <c r="E10" s="71"/>
      <c r="F10" s="185">
        <f t="shared" si="0"/>
        <v>294972.83999999997</v>
      </c>
      <c r="G10" s="184"/>
    </row>
    <row r="11" spans="1:7" x14ac:dyDescent="0.25">
      <c r="A11" s="192">
        <v>44237</v>
      </c>
      <c r="B11" s="193" t="s">
        <v>204</v>
      </c>
      <c r="C11" s="71">
        <v>2349.8000000000002</v>
      </c>
      <c r="D11" s="195"/>
      <c r="E11" s="71"/>
      <c r="F11" s="185">
        <f t="shared" si="0"/>
        <v>297322.63999999996</v>
      </c>
    </row>
    <row r="12" spans="1:7" x14ac:dyDescent="0.25">
      <c r="A12" s="195">
        <v>44237</v>
      </c>
      <c r="B12" s="193" t="s">
        <v>205</v>
      </c>
      <c r="C12" s="71">
        <v>6415.9</v>
      </c>
      <c r="D12" s="195"/>
      <c r="E12" s="71"/>
      <c r="F12" s="185">
        <f t="shared" si="0"/>
        <v>303738.53999999998</v>
      </c>
    </row>
    <row r="13" spans="1:7" x14ac:dyDescent="0.25">
      <c r="A13" s="195">
        <v>44238</v>
      </c>
      <c r="B13" s="193" t="s">
        <v>206</v>
      </c>
      <c r="C13" s="71">
        <v>130332.1</v>
      </c>
      <c r="D13" s="195">
        <v>44240</v>
      </c>
      <c r="E13" s="71">
        <v>434070.64</v>
      </c>
      <c r="F13" s="185">
        <f t="shared" si="0"/>
        <v>0</v>
      </c>
    </row>
    <row r="14" spans="1:7" x14ac:dyDescent="0.25">
      <c r="A14" s="195">
        <v>44240</v>
      </c>
      <c r="B14" s="193" t="s">
        <v>229</v>
      </c>
      <c r="C14" s="71">
        <v>37237.589999999997</v>
      </c>
      <c r="D14" s="195"/>
      <c r="E14" s="71"/>
      <c r="F14" s="185">
        <f t="shared" si="0"/>
        <v>37237.589999999997</v>
      </c>
    </row>
    <row r="15" spans="1:7" x14ac:dyDescent="0.25">
      <c r="A15" s="195">
        <v>44240</v>
      </c>
      <c r="B15" s="193" t="s">
        <v>230</v>
      </c>
      <c r="C15" s="71">
        <v>158845.38</v>
      </c>
      <c r="D15" s="195"/>
      <c r="E15" s="71"/>
      <c r="F15" s="185">
        <f t="shared" si="0"/>
        <v>196082.97</v>
      </c>
    </row>
    <row r="16" spans="1:7" x14ac:dyDescent="0.25">
      <c r="A16" s="195">
        <v>44240</v>
      </c>
      <c r="B16" s="193" t="s">
        <v>231</v>
      </c>
      <c r="C16" s="71">
        <v>6020</v>
      </c>
      <c r="D16" s="195"/>
      <c r="E16" s="71"/>
      <c r="F16" s="185">
        <f t="shared" si="0"/>
        <v>202102.97</v>
      </c>
    </row>
    <row r="17" spans="1:7" x14ac:dyDescent="0.25">
      <c r="A17" s="195">
        <v>44241</v>
      </c>
      <c r="B17" s="193" t="s">
        <v>232</v>
      </c>
      <c r="C17" s="71">
        <v>1135.2</v>
      </c>
      <c r="D17" s="195"/>
      <c r="E17" s="71"/>
      <c r="F17" s="185">
        <f t="shared" si="0"/>
        <v>203238.17</v>
      </c>
    </row>
    <row r="18" spans="1:7" x14ac:dyDescent="0.25">
      <c r="A18" s="195">
        <v>44243</v>
      </c>
      <c r="B18" s="193" t="s">
        <v>233</v>
      </c>
      <c r="C18" s="71">
        <v>9671.2000000000007</v>
      </c>
      <c r="D18" s="195"/>
      <c r="E18" s="71"/>
      <c r="F18" s="185">
        <f t="shared" si="0"/>
        <v>212909.37000000002</v>
      </c>
    </row>
    <row r="19" spans="1:7" x14ac:dyDescent="0.25">
      <c r="A19" s="195">
        <v>44243</v>
      </c>
      <c r="B19" s="193" t="s">
        <v>234</v>
      </c>
      <c r="C19" s="71">
        <v>52366.1</v>
      </c>
      <c r="D19" s="195"/>
      <c r="E19" s="71"/>
      <c r="F19" s="185">
        <f t="shared" si="0"/>
        <v>265275.47000000003</v>
      </c>
    </row>
    <row r="20" spans="1:7" x14ac:dyDescent="0.25">
      <c r="A20" s="195">
        <v>44243</v>
      </c>
      <c r="B20" s="193" t="s">
        <v>235</v>
      </c>
      <c r="C20" s="71">
        <v>37063.199999999997</v>
      </c>
      <c r="D20" s="195"/>
      <c r="E20" s="71"/>
      <c r="F20" s="185">
        <f t="shared" si="0"/>
        <v>302338.67000000004</v>
      </c>
    </row>
    <row r="21" spans="1:7" x14ac:dyDescent="0.25">
      <c r="A21" s="195">
        <v>44243</v>
      </c>
      <c r="B21" s="193" t="s">
        <v>236</v>
      </c>
      <c r="C21" s="71">
        <v>11964.4</v>
      </c>
      <c r="D21" s="195"/>
      <c r="E21" s="71"/>
      <c r="F21" s="185">
        <f t="shared" si="0"/>
        <v>314303.07000000007</v>
      </c>
    </row>
    <row r="22" spans="1:7" ht="18.75" x14ac:dyDescent="0.3">
      <c r="A22" s="195">
        <v>44244</v>
      </c>
      <c r="B22" s="193" t="s">
        <v>237</v>
      </c>
      <c r="C22" s="71">
        <v>21381.3</v>
      </c>
      <c r="D22" s="195"/>
      <c r="E22" s="71"/>
      <c r="F22" s="185">
        <f t="shared" si="0"/>
        <v>335684.37000000005</v>
      </c>
      <c r="G22" s="184"/>
    </row>
    <row r="23" spans="1:7" x14ac:dyDescent="0.25">
      <c r="A23" s="195">
        <v>44244</v>
      </c>
      <c r="B23" s="193" t="s">
        <v>238</v>
      </c>
      <c r="C23" s="71">
        <v>107864</v>
      </c>
      <c r="D23" s="195"/>
      <c r="E23" s="71"/>
      <c r="F23" s="185">
        <f t="shared" si="0"/>
        <v>443548.37000000005</v>
      </c>
    </row>
    <row r="24" spans="1:7" x14ac:dyDescent="0.25">
      <c r="A24" s="195">
        <v>44245</v>
      </c>
      <c r="B24" s="193" t="s">
        <v>239</v>
      </c>
      <c r="C24" s="71">
        <v>114513</v>
      </c>
      <c r="D24" s="195">
        <v>44247</v>
      </c>
      <c r="E24" s="71">
        <v>558061.37</v>
      </c>
      <c r="F24" s="185">
        <f t="shared" si="0"/>
        <v>0</v>
      </c>
    </row>
    <row r="25" spans="1:7" x14ac:dyDescent="0.25">
      <c r="A25" s="195">
        <v>44247</v>
      </c>
      <c r="B25" s="193" t="s">
        <v>240</v>
      </c>
      <c r="C25" s="71">
        <v>52132.2</v>
      </c>
      <c r="D25" s="195"/>
      <c r="E25" s="71"/>
      <c r="F25" s="185">
        <f t="shared" si="0"/>
        <v>52132.2</v>
      </c>
    </row>
    <row r="26" spans="1:7" x14ac:dyDescent="0.25">
      <c r="A26" s="195">
        <v>44247</v>
      </c>
      <c r="B26" s="193" t="s">
        <v>241</v>
      </c>
      <c r="C26" s="71">
        <v>149529.79999999999</v>
      </c>
      <c r="D26" s="195"/>
      <c r="E26" s="71"/>
      <c r="F26" s="185">
        <f t="shared" si="0"/>
        <v>201662</v>
      </c>
    </row>
    <row r="27" spans="1:7" x14ac:dyDescent="0.25">
      <c r="A27" s="195">
        <v>44247</v>
      </c>
      <c r="B27" s="193" t="s">
        <v>242</v>
      </c>
      <c r="C27" s="71">
        <v>843.6</v>
      </c>
      <c r="D27" s="195"/>
      <c r="E27" s="71"/>
      <c r="F27" s="185">
        <f t="shared" si="0"/>
        <v>202505.60000000001</v>
      </c>
    </row>
    <row r="28" spans="1:7" x14ac:dyDescent="0.25">
      <c r="A28" s="195">
        <v>44247</v>
      </c>
      <c r="B28" s="193" t="s">
        <v>243</v>
      </c>
      <c r="C28" s="71">
        <v>1600</v>
      </c>
      <c r="D28" s="195"/>
      <c r="E28" s="71"/>
      <c r="F28" s="185">
        <f t="shared" si="0"/>
        <v>204105.60000000001</v>
      </c>
    </row>
    <row r="29" spans="1:7" x14ac:dyDescent="0.25">
      <c r="A29" s="195">
        <v>44249</v>
      </c>
      <c r="B29" s="193" t="s">
        <v>244</v>
      </c>
      <c r="C29" s="71">
        <v>92525.8</v>
      </c>
      <c r="D29" s="195"/>
      <c r="E29" s="71"/>
      <c r="F29" s="185">
        <f t="shared" si="0"/>
        <v>296631.40000000002</v>
      </c>
    </row>
    <row r="30" spans="1:7" ht="18.75" x14ac:dyDescent="0.3">
      <c r="A30" s="195">
        <v>44249</v>
      </c>
      <c r="B30" s="193" t="s">
        <v>245</v>
      </c>
      <c r="C30" s="71">
        <v>111144.6</v>
      </c>
      <c r="D30" s="195"/>
      <c r="E30" s="71"/>
      <c r="F30" s="185">
        <f t="shared" si="0"/>
        <v>407776</v>
      </c>
      <c r="G30" s="184"/>
    </row>
    <row r="31" spans="1:7" x14ac:dyDescent="0.25">
      <c r="A31" s="195">
        <v>44249</v>
      </c>
      <c r="B31" s="193" t="s">
        <v>246</v>
      </c>
      <c r="C31" s="71">
        <v>967.2</v>
      </c>
      <c r="D31" s="195"/>
      <c r="E31" s="71"/>
      <c r="F31" s="185">
        <f t="shared" si="0"/>
        <v>408743.2</v>
      </c>
    </row>
    <row r="32" spans="1:7" x14ac:dyDescent="0.25">
      <c r="A32" s="192">
        <v>44249</v>
      </c>
      <c r="B32" s="193" t="s">
        <v>247</v>
      </c>
      <c r="C32" s="71">
        <v>1679.6</v>
      </c>
      <c r="D32" s="195"/>
      <c r="E32" s="71"/>
      <c r="F32" s="185">
        <f t="shared" si="0"/>
        <v>410422.8</v>
      </c>
    </row>
    <row r="33" spans="1:6" x14ac:dyDescent="0.25">
      <c r="A33" s="192">
        <v>44250</v>
      </c>
      <c r="B33" s="193" t="s">
        <v>248</v>
      </c>
      <c r="C33" s="71">
        <v>97357.55</v>
      </c>
      <c r="D33" s="195"/>
      <c r="E33" s="71"/>
      <c r="F33" s="185">
        <f t="shared" si="0"/>
        <v>507780.35</v>
      </c>
    </row>
    <row r="34" spans="1:6" x14ac:dyDescent="0.25">
      <c r="A34" s="192">
        <v>44250</v>
      </c>
      <c r="B34" s="193" t="s">
        <v>249</v>
      </c>
      <c r="C34" s="71">
        <v>871.04</v>
      </c>
      <c r="D34" s="195"/>
      <c r="E34" s="71"/>
      <c r="F34" s="185">
        <f t="shared" si="0"/>
        <v>508651.38999999996</v>
      </c>
    </row>
    <row r="35" spans="1:6" x14ac:dyDescent="0.25">
      <c r="A35" s="192">
        <v>44252</v>
      </c>
      <c r="B35" s="193" t="s">
        <v>250</v>
      </c>
      <c r="C35" s="71">
        <v>174683.2</v>
      </c>
      <c r="D35" s="195">
        <v>44253</v>
      </c>
      <c r="E35" s="71">
        <v>683334.59</v>
      </c>
      <c r="F35" s="185">
        <f t="shared" si="0"/>
        <v>0</v>
      </c>
    </row>
    <row r="36" spans="1:6" x14ac:dyDescent="0.25">
      <c r="A36" s="192">
        <v>44253</v>
      </c>
      <c r="B36" s="193" t="s">
        <v>251</v>
      </c>
      <c r="C36" s="71">
        <v>2040</v>
      </c>
      <c r="D36" s="195"/>
      <c r="E36" s="71"/>
      <c r="F36" s="185">
        <f t="shared" si="0"/>
        <v>2040</v>
      </c>
    </row>
    <row r="37" spans="1:6" x14ac:dyDescent="0.25">
      <c r="A37" s="195">
        <v>44254</v>
      </c>
      <c r="B37" s="193" t="s">
        <v>252</v>
      </c>
      <c r="C37" s="71">
        <v>51887.5</v>
      </c>
      <c r="D37" s="195"/>
      <c r="E37" s="71"/>
      <c r="F37" s="185">
        <f t="shared" si="0"/>
        <v>53927.5</v>
      </c>
    </row>
    <row r="38" spans="1:6" x14ac:dyDescent="0.25">
      <c r="A38" s="195">
        <v>44254</v>
      </c>
      <c r="B38" s="193" t="s">
        <v>253</v>
      </c>
      <c r="C38" s="71">
        <v>76144.800000000003</v>
      </c>
      <c r="D38" s="195"/>
      <c r="E38" s="71"/>
      <c r="F38" s="185">
        <f t="shared" si="0"/>
        <v>130072.3</v>
      </c>
    </row>
    <row r="39" spans="1:6" x14ac:dyDescent="0.25">
      <c r="A39" s="195">
        <v>44256</v>
      </c>
      <c r="B39" s="193" t="s">
        <v>254</v>
      </c>
      <c r="C39" s="71">
        <v>100359.2</v>
      </c>
      <c r="D39" s="195"/>
      <c r="E39" s="71"/>
      <c r="F39" s="185">
        <f t="shared" si="0"/>
        <v>230431.5</v>
      </c>
    </row>
    <row r="40" spans="1:6" x14ac:dyDescent="0.25">
      <c r="A40" s="192">
        <v>44256</v>
      </c>
      <c r="B40" s="193" t="s">
        <v>255</v>
      </c>
      <c r="C40" s="71">
        <v>8991.4</v>
      </c>
      <c r="D40" s="195">
        <v>44260</v>
      </c>
      <c r="E40" s="71">
        <v>239422.9</v>
      </c>
      <c r="F40" s="185">
        <f t="shared" si="0"/>
        <v>0</v>
      </c>
    </row>
    <row r="41" spans="1:6" x14ac:dyDescent="0.25">
      <c r="A41" s="192"/>
      <c r="B41" s="193"/>
      <c r="C41" s="71">
        <v>0</v>
      </c>
      <c r="D41" s="195"/>
      <c r="E41" s="71"/>
      <c r="F41" s="185">
        <f t="shared" si="0"/>
        <v>0</v>
      </c>
    </row>
    <row r="42" spans="1:6" x14ac:dyDescent="0.25">
      <c r="A42" s="192"/>
      <c r="B42" s="193"/>
      <c r="C42" s="71">
        <v>0</v>
      </c>
      <c r="D42" s="195"/>
      <c r="E42" s="71"/>
      <c r="F42" s="185">
        <f t="shared" si="0"/>
        <v>0</v>
      </c>
    </row>
    <row r="43" spans="1:6" hidden="1" x14ac:dyDescent="0.25">
      <c r="A43" s="192"/>
      <c r="B43" s="193"/>
      <c r="C43" s="71"/>
      <c r="D43" s="195"/>
      <c r="E43" s="71"/>
      <c r="F43" s="185">
        <f t="shared" si="0"/>
        <v>0</v>
      </c>
    </row>
    <row r="44" spans="1:6" hidden="1" x14ac:dyDescent="0.25">
      <c r="A44" s="192"/>
      <c r="B44" s="193"/>
      <c r="C44" s="71"/>
      <c r="D44" s="195"/>
      <c r="E44" s="71"/>
      <c r="F44" s="185">
        <f t="shared" si="0"/>
        <v>0</v>
      </c>
    </row>
    <row r="45" spans="1:6" hidden="1" x14ac:dyDescent="0.25">
      <c r="A45" s="192"/>
      <c r="B45" s="193"/>
      <c r="C45" s="71"/>
      <c r="D45" s="195"/>
      <c r="E45" s="71"/>
      <c r="F45" s="185">
        <f t="shared" si="0"/>
        <v>0</v>
      </c>
    </row>
    <row r="46" spans="1:6" hidden="1" x14ac:dyDescent="0.25">
      <c r="A46" s="192"/>
      <c r="B46" s="193"/>
      <c r="C46" s="71"/>
      <c r="D46" s="195"/>
      <c r="E46" s="71"/>
      <c r="F46" s="185">
        <f t="shared" si="0"/>
        <v>0</v>
      </c>
    </row>
    <row r="47" spans="1:6" hidden="1" x14ac:dyDescent="0.25">
      <c r="A47" s="192"/>
      <c r="B47" s="193"/>
      <c r="C47" s="71"/>
      <c r="D47" s="195"/>
      <c r="E47" s="71"/>
      <c r="F47" s="185">
        <f t="shared" si="0"/>
        <v>0</v>
      </c>
    </row>
    <row r="48" spans="1:6" hidden="1" x14ac:dyDescent="0.25">
      <c r="A48" s="192"/>
      <c r="B48" s="193"/>
      <c r="C48" s="71"/>
      <c r="D48" s="195"/>
      <c r="E48" s="71"/>
      <c r="F48" s="185">
        <f t="shared" si="0"/>
        <v>0</v>
      </c>
    </row>
    <row r="49" spans="1:6" hidden="1" x14ac:dyDescent="0.25">
      <c r="A49" s="192"/>
      <c r="B49" s="193"/>
      <c r="C49" s="71"/>
      <c r="D49" s="195"/>
      <c r="E49" s="71"/>
      <c r="F49" s="185">
        <f t="shared" si="0"/>
        <v>0</v>
      </c>
    </row>
    <row r="50" spans="1:6" hidden="1" x14ac:dyDescent="0.25">
      <c r="A50" s="192"/>
      <c r="B50" s="193"/>
      <c r="C50" s="71"/>
      <c r="D50" s="195"/>
      <c r="E50" s="71"/>
      <c r="F50" s="185">
        <f t="shared" si="0"/>
        <v>0</v>
      </c>
    </row>
    <row r="51" spans="1:6" hidden="1" x14ac:dyDescent="0.25">
      <c r="A51" s="192"/>
      <c r="B51" s="193"/>
      <c r="C51" s="71"/>
      <c r="D51" s="195"/>
      <c r="E51" s="71"/>
      <c r="F51" s="185">
        <f t="shared" si="0"/>
        <v>0</v>
      </c>
    </row>
    <row r="52" spans="1:6" hidden="1" x14ac:dyDescent="0.25">
      <c r="A52" s="192"/>
      <c r="B52" s="193"/>
      <c r="C52" s="71"/>
      <c r="D52" s="195"/>
      <c r="E52" s="71"/>
      <c r="F52" s="185">
        <f t="shared" si="0"/>
        <v>0</v>
      </c>
    </row>
    <row r="53" spans="1:6" hidden="1" x14ac:dyDescent="0.25">
      <c r="A53" s="192"/>
      <c r="B53" s="193"/>
      <c r="C53" s="71"/>
      <c r="D53" s="195"/>
      <c r="E53" s="71"/>
      <c r="F53" s="185">
        <f t="shared" si="0"/>
        <v>0</v>
      </c>
    </row>
    <row r="54" spans="1:6" hidden="1" x14ac:dyDescent="0.25">
      <c r="A54" s="192"/>
      <c r="B54" s="193"/>
      <c r="C54" s="71"/>
      <c r="D54" s="195"/>
      <c r="E54" s="71"/>
      <c r="F54" s="185">
        <f t="shared" si="0"/>
        <v>0</v>
      </c>
    </row>
    <row r="55" spans="1:6" hidden="1" x14ac:dyDescent="0.25">
      <c r="A55" s="192"/>
      <c r="B55" s="193"/>
      <c r="C55" s="71"/>
      <c r="D55" s="195"/>
      <c r="E55" s="71"/>
      <c r="F55" s="185">
        <f t="shared" si="0"/>
        <v>0</v>
      </c>
    </row>
    <row r="56" spans="1:6" hidden="1" x14ac:dyDescent="0.25">
      <c r="A56" s="192"/>
      <c r="B56" s="193"/>
      <c r="C56" s="71"/>
      <c r="D56" s="195"/>
      <c r="E56" s="71"/>
      <c r="F56" s="185">
        <f t="shared" si="0"/>
        <v>0</v>
      </c>
    </row>
    <row r="57" spans="1:6" hidden="1" x14ac:dyDescent="0.25">
      <c r="A57" s="192"/>
      <c r="B57" s="193"/>
      <c r="C57" s="71"/>
      <c r="D57" s="195"/>
      <c r="E57" s="71"/>
      <c r="F57" s="185">
        <f t="shared" si="0"/>
        <v>0</v>
      </c>
    </row>
    <row r="58" spans="1:6" hidden="1" x14ac:dyDescent="0.25">
      <c r="A58" s="192"/>
      <c r="B58" s="193"/>
      <c r="C58" s="71"/>
      <c r="D58" s="195"/>
      <c r="E58" s="71"/>
      <c r="F58" s="185">
        <f t="shared" si="0"/>
        <v>0</v>
      </c>
    </row>
    <row r="59" spans="1:6" hidden="1" x14ac:dyDescent="0.25">
      <c r="A59" s="192"/>
      <c r="B59" s="193"/>
      <c r="C59" s="71"/>
      <c r="D59" s="195"/>
      <c r="E59" s="71"/>
      <c r="F59" s="185">
        <f t="shared" si="0"/>
        <v>0</v>
      </c>
    </row>
    <row r="60" spans="1:6" hidden="1" x14ac:dyDescent="0.25">
      <c r="A60" s="192"/>
      <c r="B60" s="193"/>
      <c r="C60" s="71"/>
      <c r="D60" s="195"/>
      <c r="E60" s="71"/>
      <c r="F60" s="185">
        <f t="shared" si="0"/>
        <v>0</v>
      </c>
    </row>
    <row r="61" spans="1:6" hidden="1" x14ac:dyDescent="0.25">
      <c r="A61" s="186"/>
      <c r="B61" s="187"/>
      <c r="C61" s="7"/>
      <c r="D61" s="181"/>
      <c r="E61" s="7"/>
      <c r="F61" s="185">
        <f t="shared" si="0"/>
        <v>0</v>
      </c>
    </row>
    <row r="62" spans="1:6" hidden="1" x14ac:dyDescent="0.25">
      <c r="A62" s="186"/>
      <c r="B62" s="187"/>
      <c r="C62" s="7"/>
      <c r="D62" s="181"/>
      <c r="E62" s="7"/>
      <c r="F62" s="185">
        <f t="shared" si="0"/>
        <v>0</v>
      </c>
    </row>
    <row r="63" spans="1:6" hidden="1" x14ac:dyDescent="0.25">
      <c r="A63" s="186"/>
      <c r="B63" s="187"/>
      <c r="C63" s="7"/>
      <c r="D63" s="181"/>
      <c r="E63" s="7"/>
      <c r="F63" s="185">
        <f t="shared" si="0"/>
        <v>0</v>
      </c>
    </row>
    <row r="64" spans="1:6" hidden="1" x14ac:dyDescent="0.25">
      <c r="A64" s="186"/>
      <c r="B64" s="187"/>
      <c r="C64" s="7"/>
      <c r="D64" s="181"/>
      <c r="E64" s="7"/>
      <c r="F64" s="185">
        <f t="shared" si="0"/>
        <v>0</v>
      </c>
    </row>
    <row r="65" spans="1:6" hidden="1" x14ac:dyDescent="0.25">
      <c r="A65" s="186"/>
      <c r="B65" s="187"/>
      <c r="C65" s="7"/>
      <c r="D65" s="181"/>
      <c r="E65" s="7"/>
      <c r="F65" s="185">
        <f t="shared" si="0"/>
        <v>0</v>
      </c>
    </row>
    <row r="66" spans="1:6" ht="15.75" thickBot="1" x14ac:dyDescent="0.3">
      <c r="A66" s="188"/>
      <c r="B66" s="189"/>
      <c r="C66" s="84">
        <v>0</v>
      </c>
      <c r="D66" s="190"/>
      <c r="E66" s="84"/>
      <c r="F66" s="185">
        <f t="shared" si="0"/>
        <v>0</v>
      </c>
    </row>
    <row r="67" spans="1:6" ht="19.5" thickTop="1" x14ac:dyDescent="0.3">
      <c r="B67" s="60"/>
      <c r="C67" s="4">
        <f>SUM(C3:C66)</f>
        <v>2261593.1</v>
      </c>
      <c r="D67" s="1"/>
      <c r="E67" s="4">
        <f>SUM(E3:E66)</f>
        <v>2261593.0999999996</v>
      </c>
      <c r="F67" s="191">
        <f>F66</f>
        <v>0</v>
      </c>
    </row>
    <row r="68" spans="1:6" x14ac:dyDescent="0.25">
      <c r="B68" s="60"/>
      <c r="C68" s="4"/>
      <c r="D68" s="1"/>
      <c r="E68" s="8"/>
      <c r="F68" s="4"/>
    </row>
    <row r="69" spans="1:6" x14ac:dyDescent="0.25">
      <c r="B69" s="60"/>
      <c r="C69" s="4"/>
      <c r="D69" s="1"/>
      <c r="E69" s="8"/>
      <c r="F69" s="4"/>
    </row>
    <row r="70" spans="1:6" x14ac:dyDescent="0.25">
      <c r="A70"/>
      <c r="B70" s="34"/>
      <c r="D70" s="34"/>
    </row>
    <row r="71" spans="1:6" x14ac:dyDescent="0.25">
      <c r="A71"/>
      <c r="B71" s="34"/>
      <c r="D71" s="34"/>
    </row>
    <row r="72" spans="1:6" x14ac:dyDescent="0.25">
      <c r="A72"/>
      <c r="B72" s="34"/>
      <c r="D72" s="34"/>
    </row>
    <row r="73" spans="1:6" x14ac:dyDescent="0.25">
      <c r="A73"/>
      <c r="B73" s="34"/>
      <c r="D73" s="34"/>
      <c r="F73"/>
    </row>
    <row r="74" spans="1:6" x14ac:dyDescent="0.25">
      <c r="A74"/>
      <c r="B74" s="34"/>
      <c r="D74" s="34"/>
      <c r="F74"/>
    </row>
    <row r="75" spans="1:6" x14ac:dyDescent="0.25">
      <c r="A75"/>
      <c r="B75" s="34"/>
      <c r="D75" s="34"/>
      <c r="F75"/>
    </row>
    <row r="76" spans="1:6" x14ac:dyDescent="0.25">
      <c r="A76"/>
      <c r="B76" s="34"/>
      <c r="D76" s="34"/>
      <c r="F76"/>
    </row>
    <row r="77" spans="1:6" x14ac:dyDescent="0.25">
      <c r="A77"/>
      <c r="B77" s="34"/>
      <c r="D77" s="34"/>
      <c r="F77"/>
    </row>
    <row r="78" spans="1:6" x14ac:dyDescent="0.25">
      <c r="A78"/>
      <c r="B78" s="34"/>
      <c r="D78" s="34"/>
      <c r="F78"/>
    </row>
    <row r="79" spans="1:6" x14ac:dyDescent="0.25">
      <c r="A79"/>
      <c r="B79" s="34"/>
      <c r="D79" s="34"/>
      <c r="F79"/>
    </row>
    <row r="80" spans="1:6" x14ac:dyDescent="0.25">
      <c r="A80"/>
      <c r="B80" s="34"/>
      <c r="D80" s="34"/>
      <c r="F80"/>
    </row>
    <row r="81" spans="1:6" x14ac:dyDescent="0.25">
      <c r="A81"/>
      <c r="B81" s="34"/>
      <c r="D81" s="34"/>
      <c r="F81"/>
    </row>
    <row r="82" spans="1:6" x14ac:dyDescent="0.25">
      <c r="A82"/>
      <c r="B82" s="34"/>
      <c r="D82" s="34"/>
      <c r="E82"/>
      <c r="F82"/>
    </row>
    <row r="83" spans="1:6" x14ac:dyDescent="0.25">
      <c r="A83"/>
      <c r="B83" s="34"/>
      <c r="D83" s="34"/>
      <c r="E83"/>
      <c r="F83"/>
    </row>
    <row r="84" spans="1:6" x14ac:dyDescent="0.25">
      <c r="A84"/>
      <c r="B84" s="34"/>
      <c r="D84" s="34"/>
      <c r="E84"/>
      <c r="F84"/>
    </row>
    <row r="85" spans="1:6" x14ac:dyDescent="0.25">
      <c r="A85"/>
      <c r="B85" s="34"/>
      <c r="D85" s="34"/>
      <c r="E85"/>
      <c r="F85"/>
    </row>
    <row r="86" spans="1:6" x14ac:dyDescent="0.25">
      <c r="A86"/>
      <c r="B86" s="34"/>
      <c r="D86" s="34"/>
      <c r="E86"/>
      <c r="F86"/>
    </row>
    <row r="87" spans="1:6" x14ac:dyDescent="0.25">
      <c r="A87"/>
      <c r="B87" s="34"/>
      <c r="D87" s="34"/>
      <c r="E87"/>
      <c r="F87"/>
    </row>
    <row r="88" spans="1:6" x14ac:dyDescent="0.25">
      <c r="B88" s="34"/>
      <c r="D88" s="34"/>
      <c r="E88"/>
    </row>
    <row r="89" spans="1:6" x14ac:dyDescent="0.25">
      <c r="B89" s="34"/>
      <c r="D89" s="34"/>
      <c r="E89"/>
    </row>
    <row r="90" spans="1:6" x14ac:dyDescent="0.25">
      <c r="B90" s="34"/>
      <c r="D90" s="34"/>
      <c r="E90"/>
    </row>
    <row r="91" spans="1:6" x14ac:dyDescent="0.25">
      <c r="B91" s="34"/>
      <c r="D91" s="34"/>
      <c r="E91"/>
    </row>
    <row r="92" spans="1:6" x14ac:dyDescent="0.25">
      <c r="B92" s="34"/>
      <c r="D92" s="34"/>
      <c r="E92"/>
    </row>
    <row r="93" spans="1:6" x14ac:dyDescent="0.25">
      <c r="B93" s="34"/>
      <c r="D93" s="34"/>
      <c r="E93"/>
    </row>
    <row r="94" spans="1:6" x14ac:dyDescent="0.25">
      <c r="B94" s="34"/>
      <c r="D94" s="34"/>
      <c r="E94"/>
    </row>
    <row r="95" spans="1:6" x14ac:dyDescent="0.25">
      <c r="B95" s="34"/>
      <c r="D95" s="34"/>
      <c r="E95"/>
    </row>
    <row r="96" spans="1:6" x14ac:dyDescent="0.25">
      <c r="B96" s="34"/>
      <c r="D96" s="34"/>
      <c r="E96"/>
    </row>
    <row r="97" spans="2:4" x14ac:dyDescent="0.25">
      <c r="B97" s="34"/>
    </row>
    <row r="98" spans="2:4" x14ac:dyDescent="0.25">
      <c r="B98" s="34"/>
    </row>
    <row r="99" spans="2:4" x14ac:dyDescent="0.25">
      <c r="B99" s="34"/>
      <c r="D99" s="34"/>
    </row>
    <row r="100" spans="2:4" x14ac:dyDescent="0.25">
      <c r="B100" s="34"/>
    </row>
    <row r="101" spans="2:4" x14ac:dyDescent="0.25">
      <c r="B101" s="34"/>
    </row>
    <row r="102" spans="2:4" x14ac:dyDescent="0.25">
      <c r="B102" s="34"/>
    </row>
    <row r="103" spans="2:4" ht="18.75" x14ac:dyDescent="0.3">
      <c r="C103" s="126"/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 tint="-0.249977111117893"/>
  </sheetPr>
  <dimension ref="A1:W90"/>
  <sheetViews>
    <sheetView topLeftCell="E34" zoomScale="115" zoomScaleNormal="115" workbookViewId="0">
      <selection activeCell="M36" sqref="M36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9" customWidth="1"/>
    <col min="4" max="4" width="15.28515625" customWidth="1"/>
    <col min="6" max="6" width="17.85546875" style="9" customWidth="1"/>
    <col min="7" max="7" width="2.85546875" customWidth="1"/>
    <col min="9" max="9" width="14.140625" style="9" customWidth="1"/>
    <col min="10" max="10" width="11.7109375" style="16" customWidth="1"/>
    <col min="11" max="11" width="17.28515625" customWidth="1"/>
    <col min="12" max="12" width="14.5703125" style="8" customWidth="1"/>
    <col min="13" max="13" width="18.140625" style="9" customWidth="1"/>
    <col min="14" max="14" width="14.140625" style="4" customWidth="1"/>
    <col min="15" max="15" width="7.5703125" style="13" customWidth="1"/>
    <col min="16" max="16" width="15.5703125" style="6" bestFit="1" customWidth="1"/>
    <col min="17" max="17" width="14.42578125" style="6" customWidth="1"/>
    <col min="18" max="18" width="11.28515625" style="6" bestFit="1" customWidth="1"/>
    <col min="19" max="19" width="15.5703125" style="7" bestFit="1" customWidth="1"/>
    <col min="21" max="22" width="11.42578125" style="204"/>
    <col min="23" max="23" width="11.42578125" style="8"/>
  </cols>
  <sheetData>
    <row r="1" spans="1:23" ht="20.25" customHeight="1" thickBot="1" x14ac:dyDescent="0.4">
      <c r="C1" s="540" t="s">
        <v>429</v>
      </c>
      <c r="D1" s="540"/>
      <c r="E1" s="540"/>
      <c r="F1" s="540"/>
      <c r="G1" s="540"/>
      <c r="H1" s="540"/>
      <c r="I1" s="540"/>
      <c r="J1" s="540"/>
      <c r="K1" s="540"/>
      <c r="L1" s="2"/>
      <c r="M1" s="3"/>
      <c r="U1" s="209"/>
      <c r="V1" s="205" t="s">
        <v>52</v>
      </c>
      <c r="W1" s="206"/>
    </row>
    <row r="2" spans="1:23" ht="15" customHeight="1" thickBot="1" x14ac:dyDescent="0.3">
      <c r="C2" s="8"/>
      <c r="H2" s="10" t="s">
        <v>0</v>
      </c>
      <c r="I2" s="3"/>
      <c r="J2" s="11"/>
      <c r="L2" s="12"/>
      <c r="M2" s="3"/>
      <c r="N2" s="6"/>
      <c r="U2" s="214" t="s">
        <v>53</v>
      </c>
      <c r="V2" s="215" t="s">
        <v>5</v>
      </c>
      <c r="W2" s="216" t="s">
        <v>28</v>
      </c>
    </row>
    <row r="3" spans="1:23" ht="18" customHeight="1" thickBot="1" x14ac:dyDescent="0.35">
      <c r="B3" s="541" t="s">
        <v>1</v>
      </c>
      <c r="C3" s="542"/>
      <c r="D3" s="14"/>
      <c r="E3" s="15"/>
      <c r="F3" s="15"/>
      <c r="H3" s="543" t="s">
        <v>2</v>
      </c>
      <c r="I3" s="543"/>
      <c r="K3" s="17" t="s">
        <v>3</v>
      </c>
      <c r="L3" s="17" t="s">
        <v>4</v>
      </c>
      <c r="M3" s="18"/>
      <c r="U3" s="213" t="s">
        <v>54</v>
      </c>
      <c r="V3" s="219">
        <v>44201</v>
      </c>
      <c r="W3" s="198">
        <v>2000</v>
      </c>
    </row>
    <row r="4" spans="1:23" ht="20.25" thickTop="1" thickBot="1" x14ac:dyDescent="0.35">
      <c r="A4" s="20" t="s">
        <v>6</v>
      </c>
      <c r="B4" s="21"/>
      <c r="C4" s="22">
        <v>223014.26</v>
      </c>
      <c r="D4" s="23">
        <v>44257</v>
      </c>
      <c r="E4" s="544" t="s">
        <v>7</v>
      </c>
      <c r="F4" s="545"/>
      <c r="H4" s="546" t="s">
        <v>8</v>
      </c>
      <c r="I4" s="547"/>
      <c r="J4" s="24"/>
      <c r="K4" s="25"/>
      <c r="L4" s="26"/>
      <c r="M4" s="27" t="s">
        <v>9</v>
      </c>
      <c r="N4" s="28" t="s">
        <v>10</v>
      </c>
      <c r="O4" s="29"/>
      <c r="P4" s="30"/>
      <c r="Q4" s="31"/>
      <c r="R4" s="30"/>
      <c r="S4" s="30"/>
      <c r="U4" s="213" t="s">
        <v>55</v>
      </c>
      <c r="V4" s="219">
        <v>44209</v>
      </c>
      <c r="W4" s="217">
        <v>2000</v>
      </c>
    </row>
    <row r="5" spans="1:23" ht="15.75" thickBot="1" x14ac:dyDescent="0.3">
      <c r="A5" s="34" t="s">
        <v>11</v>
      </c>
      <c r="B5" s="134">
        <v>44258</v>
      </c>
      <c r="C5" s="36">
        <v>4929</v>
      </c>
      <c r="D5" s="135" t="s">
        <v>256</v>
      </c>
      <c r="E5" s="136">
        <v>44258</v>
      </c>
      <c r="F5" s="37">
        <v>81428</v>
      </c>
      <c r="G5" s="137"/>
      <c r="H5" s="138">
        <v>44258</v>
      </c>
      <c r="I5" s="38">
        <v>2440</v>
      </c>
      <c r="J5" s="39"/>
      <c r="K5" s="157"/>
      <c r="L5" s="6"/>
      <c r="M5" s="41">
        <v>81602</v>
      </c>
      <c r="N5" s="42">
        <v>1975</v>
      </c>
      <c r="O5" s="29"/>
      <c r="P5" s="7">
        <f>C5+I5+M5+N5</f>
        <v>90946</v>
      </c>
      <c r="Q5" s="201">
        <f>P5-F5</f>
        <v>9518</v>
      </c>
      <c r="R5" s="7"/>
      <c r="U5" s="213" t="s">
        <v>56</v>
      </c>
      <c r="V5" s="220">
        <v>44216</v>
      </c>
      <c r="W5" s="218">
        <v>2000</v>
      </c>
    </row>
    <row r="6" spans="1:23" ht="16.5" thickBot="1" x14ac:dyDescent="0.3">
      <c r="A6" s="34"/>
      <c r="B6" s="134">
        <v>44259</v>
      </c>
      <c r="C6" s="36">
        <v>5975</v>
      </c>
      <c r="D6" s="139" t="s">
        <v>130</v>
      </c>
      <c r="E6" s="136">
        <v>44259</v>
      </c>
      <c r="F6" s="37">
        <v>82406</v>
      </c>
      <c r="G6" s="137"/>
      <c r="H6" s="138">
        <v>44259</v>
      </c>
      <c r="I6" s="43">
        <v>385</v>
      </c>
      <c r="J6" s="44"/>
      <c r="K6" s="151"/>
      <c r="L6" s="46"/>
      <c r="M6" s="41">
        <v>72554</v>
      </c>
      <c r="N6" s="42">
        <v>3492</v>
      </c>
      <c r="O6" s="47"/>
      <c r="P6" s="7">
        <f t="shared" ref="P6:P9" si="0">C6+I6+M6+N6+L6</f>
        <v>82406</v>
      </c>
      <c r="Q6" s="6">
        <f>P6-F6</f>
        <v>0</v>
      </c>
      <c r="R6" s="48"/>
      <c r="U6" s="213" t="s">
        <v>57</v>
      </c>
      <c r="V6" s="220">
        <v>44222</v>
      </c>
      <c r="W6" s="218">
        <v>2000</v>
      </c>
    </row>
    <row r="7" spans="1:23" ht="15.75" thickBot="1" x14ac:dyDescent="0.3">
      <c r="A7" s="34"/>
      <c r="B7" s="134">
        <v>44260</v>
      </c>
      <c r="C7" s="36">
        <v>2969</v>
      </c>
      <c r="D7" s="140" t="s">
        <v>257</v>
      </c>
      <c r="E7" s="136">
        <v>44260</v>
      </c>
      <c r="F7" s="37">
        <v>106878</v>
      </c>
      <c r="G7" s="137"/>
      <c r="H7" s="138">
        <v>44260</v>
      </c>
      <c r="I7" s="49">
        <v>10554</v>
      </c>
      <c r="J7" s="44"/>
      <c r="K7" s="158" t="s">
        <v>11</v>
      </c>
      <c r="L7" s="46"/>
      <c r="M7" s="41">
        <v>87277</v>
      </c>
      <c r="N7" s="42">
        <v>6078</v>
      </c>
      <c r="O7" s="29"/>
      <c r="P7" s="7">
        <f>C7+I7+M7+N7+L7</f>
        <v>106878</v>
      </c>
      <c r="Q7" s="6">
        <f>P7-F7</f>
        <v>0</v>
      </c>
      <c r="R7" s="50"/>
      <c r="U7" s="213" t="s">
        <v>58</v>
      </c>
      <c r="V7" s="220">
        <v>44230</v>
      </c>
      <c r="W7" s="218">
        <v>2000</v>
      </c>
    </row>
    <row r="8" spans="1:23" ht="15.75" thickBot="1" x14ac:dyDescent="0.3">
      <c r="A8" s="34"/>
      <c r="B8" s="134">
        <v>44261</v>
      </c>
      <c r="C8" s="36">
        <v>1443</v>
      </c>
      <c r="D8" s="141" t="s">
        <v>45</v>
      </c>
      <c r="E8" s="136">
        <v>44261</v>
      </c>
      <c r="F8" s="37">
        <v>124944</v>
      </c>
      <c r="G8" s="137"/>
      <c r="H8" s="138">
        <v>44261</v>
      </c>
      <c r="I8" s="49">
        <v>4668</v>
      </c>
      <c r="J8" s="51">
        <v>44261</v>
      </c>
      <c r="K8" s="158" t="s">
        <v>265</v>
      </c>
      <c r="L8" s="46">
        <f>15682.9+4000+400</f>
        <v>20082.900000000001</v>
      </c>
      <c r="M8" s="41">
        <v>98690</v>
      </c>
      <c r="N8" s="42">
        <v>11386</v>
      </c>
      <c r="O8" s="247"/>
      <c r="P8" s="7">
        <f t="shared" si="0"/>
        <v>136269.9</v>
      </c>
      <c r="Q8" s="202">
        <f>P8-F8</f>
        <v>11325.899999999994</v>
      </c>
      <c r="R8" s="259">
        <v>3074</v>
      </c>
      <c r="U8" s="213" t="s">
        <v>59</v>
      </c>
      <c r="V8" s="220">
        <v>44239</v>
      </c>
      <c r="W8" s="218">
        <v>2000</v>
      </c>
    </row>
    <row r="9" spans="1:23" ht="15.75" thickBot="1" x14ac:dyDescent="0.3">
      <c r="A9" s="34"/>
      <c r="B9" s="134">
        <v>44262</v>
      </c>
      <c r="C9" s="36">
        <v>17217</v>
      </c>
      <c r="D9" s="141" t="s">
        <v>266</v>
      </c>
      <c r="E9" s="136">
        <v>44262</v>
      </c>
      <c r="F9" s="37">
        <v>118834</v>
      </c>
      <c r="G9" s="137"/>
      <c r="H9" s="138">
        <v>44262</v>
      </c>
      <c r="I9" s="49">
        <v>0</v>
      </c>
      <c r="J9" s="52"/>
      <c r="K9" s="159"/>
      <c r="L9" s="46"/>
      <c r="M9" s="41">
        <v>93209</v>
      </c>
      <c r="N9" s="42">
        <v>8408</v>
      </c>
      <c r="O9" s="47"/>
      <c r="P9" s="7">
        <f t="shared" si="0"/>
        <v>118834</v>
      </c>
      <c r="Q9" s="6">
        <f t="shared" ref="Q9:Q12" si="1">P9-F9</f>
        <v>0</v>
      </c>
      <c r="R9" s="48"/>
      <c r="U9" s="213" t="s">
        <v>60</v>
      </c>
      <c r="V9" s="220">
        <v>44253</v>
      </c>
      <c r="W9" s="218">
        <v>2000</v>
      </c>
    </row>
    <row r="10" spans="1:23" ht="15.75" thickBot="1" x14ac:dyDescent="0.3">
      <c r="A10" s="34"/>
      <c r="B10" s="134">
        <v>44263</v>
      </c>
      <c r="C10" s="36">
        <v>10804</v>
      </c>
      <c r="D10" s="140" t="s">
        <v>267</v>
      </c>
      <c r="E10" s="136">
        <v>44263</v>
      </c>
      <c r="F10" s="37">
        <v>121712</v>
      </c>
      <c r="G10" s="137"/>
      <c r="H10" s="138">
        <v>44263</v>
      </c>
      <c r="I10" s="49">
        <v>990</v>
      </c>
      <c r="J10" s="52"/>
      <c r="K10" s="160"/>
      <c r="L10" s="53"/>
      <c r="M10" s="41">
        <v>107606</v>
      </c>
      <c r="N10" s="42">
        <v>2312</v>
      </c>
      <c r="O10" s="47"/>
      <c r="P10" s="7">
        <f>C10+I10+M10+N10+L10</f>
        <v>121712</v>
      </c>
      <c r="Q10" s="6">
        <f t="shared" si="1"/>
        <v>0</v>
      </c>
      <c r="R10" s="54"/>
      <c r="U10" s="213" t="s">
        <v>61</v>
      </c>
      <c r="V10" s="220">
        <v>44253</v>
      </c>
      <c r="W10" s="218">
        <v>2000</v>
      </c>
    </row>
    <row r="11" spans="1:23" ht="15.75" thickBot="1" x14ac:dyDescent="0.3">
      <c r="A11" s="34"/>
      <c r="B11" s="134">
        <v>44264</v>
      </c>
      <c r="C11" s="36">
        <v>6932</v>
      </c>
      <c r="D11" s="139" t="s">
        <v>268</v>
      </c>
      <c r="E11" s="136">
        <v>44264</v>
      </c>
      <c r="F11" s="37">
        <v>82017</v>
      </c>
      <c r="G11" s="137"/>
      <c r="H11" s="138">
        <v>44264</v>
      </c>
      <c r="I11" s="49">
        <v>650</v>
      </c>
      <c r="J11" s="55"/>
      <c r="K11" s="161"/>
      <c r="L11" s="46"/>
      <c r="M11" s="41">
        <v>67483</v>
      </c>
      <c r="N11" s="42">
        <v>6952</v>
      </c>
      <c r="O11" s="47"/>
      <c r="P11" s="7">
        <f t="shared" ref="P11:P14" si="2">C11+I11+M11+N11+L11</f>
        <v>82017</v>
      </c>
      <c r="Q11" s="6">
        <f t="shared" si="1"/>
        <v>0</v>
      </c>
      <c r="R11" s="48"/>
      <c r="U11" s="213" t="s">
        <v>62</v>
      </c>
      <c r="V11" s="220">
        <v>44258</v>
      </c>
      <c r="W11" s="218">
        <v>2000</v>
      </c>
    </row>
    <row r="12" spans="1:23" ht="15.75" thickBot="1" x14ac:dyDescent="0.3">
      <c r="A12" s="34"/>
      <c r="B12" s="134">
        <v>44265</v>
      </c>
      <c r="C12" s="36">
        <v>1772</v>
      </c>
      <c r="D12" s="139" t="s">
        <v>257</v>
      </c>
      <c r="E12" s="136">
        <v>44265</v>
      </c>
      <c r="F12" s="37">
        <v>76662</v>
      </c>
      <c r="G12" s="137"/>
      <c r="H12" s="138">
        <v>44265</v>
      </c>
      <c r="I12" s="49">
        <v>2495</v>
      </c>
      <c r="J12" s="44"/>
      <c r="K12" s="158"/>
      <c r="L12" s="46"/>
      <c r="M12" s="41">
        <f>68859+400</f>
        <v>69259</v>
      </c>
      <c r="N12" s="42">
        <v>3136</v>
      </c>
      <c r="O12" s="47"/>
      <c r="P12" s="7">
        <f t="shared" si="2"/>
        <v>76662</v>
      </c>
      <c r="Q12" s="6">
        <f t="shared" si="1"/>
        <v>0</v>
      </c>
      <c r="R12" s="56"/>
      <c r="U12" s="213" t="s">
        <v>63</v>
      </c>
      <c r="V12" s="220">
        <v>44265</v>
      </c>
      <c r="W12" s="218">
        <v>2000</v>
      </c>
    </row>
    <row r="13" spans="1:23" ht="15.75" thickBot="1" x14ac:dyDescent="0.3">
      <c r="A13" s="34"/>
      <c r="B13" s="134">
        <v>44266</v>
      </c>
      <c r="C13" s="36">
        <v>10510</v>
      </c>
      <c r="D13" s="141" t="s">
        <v>269</v>
      </c>
      <c r="E13" s="136">
        <v>44266</v>
      </c>
      <c r="F13" s="37">
        <v>97056</v>
      </c>
      <c r="G13" s="137"/>
      <c r="H13" s="138">
        <v>44266</v>
      </c>
      <c r="I13" s="49">
        <v>495</v>
      </c>
      <c r="J13" s="44"/>
      <c r="K13" s="158"/>
      <c r="L13" s="46"/>
      <c r="M13" s="41">
        <v>82544</v>
      </c>
      <c r="N13" s="42">
        <v>3507</v>
      </c>
      <c r="O13" s="47"/>
      <c r="P13" s="7">
        <f t="shared" si="2"/>
        <v>97056</v>
      </c>
      <c r="Q13" s="6">
        <f>P13-F13</f>
        <v>0</v>
      </c>
      <c r="R13" s="48"/>
      <c r="U13" s="213" t="s">
        <v>64</v>
      </c>
      <c r="V13" s="220">
        <v>44272</v>
      </c>
      <c r="W13" s="218">
        <v>2000</v>
      </c>
    </row>
    <row r="14" spans="1:23" ht="15.75" thickBot="1" x14ac:dyDescent="0.3">
      <c r="A14" s="34"/>
      <c r="B14" s="134">
        <v>44267</v>
      </c>
      <c r="C14" s="36">
        <v>7806</v>
      </c>
      <c r="D14" s="140" t="s">
        <v>130</v>
      </c>
      <c r="E14" s="136">
        <v>44267</v>
      </c>
      <c r="F14" s="37">
        <v>123020</v>
      </c>
      <c r="G14" s="137"/>
      <c r="H14" s="138">
        <v>44267</v>
      </c>
      <c r="I14" s="49">
        <v>10570</v>
      </c>
      <c r="J14" s="44"/>
      <c r="K14" s="158"/>
      <c r="L14" s="46"/>
      <c r="M14" s="41">
        <v>100882</v>
      </c>
      <c r="N14" s="42">
        <v>3762</v>
      </c>
      <c r="O14" s="47"/>
      <c r="P14" s="7">
        <f t="shared" si="2"/>
        <v>123020</v>
      </c>
      <c r="Q14" s="6">
        <f t="shared" ref="Q14:Q17" si="3">P14-F14</f>
        <v>0</v>
      </c>
      <c r="R14" s="54"/>
      <c r="U14" s="213" t="s">
        <v>65</v>
      </c>
      <c r="V14" s="220">
        <v>44281</v>
      </c>
      <c r="W14" s="218">
        <v>2000</v>
      </c>
    </row>
    <row r="15" spans="1:23" ht="15.75" thickBot="1" x14ac:dyDescent="0.3">
      <c r="A15" s="34"/>
      <c r="B15" s="134">
        <v>44268</v>
      </c>
      <c r="C15" s="36">
        <v>2108</v>
      </c>
      <c r="D15" s="139" t="s">
        <v>270</v>
      </c>
      <c r="E15" s="136">
        <v>44268</v>
      </c>
      <c r="F15" s="37">
        <v>138556</v>
      </c>
      <c r="G15" s="137"/>
      <c r="H15" s="138">
        <v>44268</v>
      </c>
      <c r="I15" s="49">
        <v>550</v>
      </c>
      <c r="J15" s="44">
        <v>44268</v>
      </c>
      <c r="K15" s="158" t="s">
        <v>271</v>
      </c>
      <c r="L15" s="46">
        <f>15882.75+4000+400</f>
        <v>20282.75</v>
      </c>
      <c r="M15" s="41">
        <v>116002</v>
      </c>
      <c r="N15" s="42">
        <v>8467</v>
      </c>
      <c r="O15" s="47"/>
      <c r="P15" s="7">
        <f>C15+I15+M15+N15+L15</f>
        <v>147409.75</v>
      </c>
      <c r="Q15" s="202">
        <f t="shared" si="3"/>
        <v>8853.75</v>
      </c>
      <c r="R15" s="58"/>
      <c r="U15" s="213" t="s">
        <v>66</v>
      </c>
      <c r="V15" s="220"/>
      <c r="W15" s="218"/>
    </row>
    <row r="16" spans="1:23" ht="15.75" thickBot="1" x14ac:dyDescent="0.3">
      <c r="A16" s="34"/>
      <c r="B16" s="134">
        <v>44269</v>
      </c>
      <c r="C16" s="36">
        <v>17118</v>
      </c>
      <c r="D16" s="139" t="s">
        <v>272</v>
      </c>
      <c r="E16" s="136">
        <v>44269</v>
      </c>
      <c r="F16" s="37">
        <v>112047</v>
      </c>
      <c r="G16" s="137"/>
      <c r="H16" s="138">
        <v>44269</v>
      </c>
      <c r="I16" s="49">
        <v>550</v>
      </c>
      <c r="J16" s="44"/>
      <c r="K16" s="232"/>
      <c r="L16" s="6"/>
      <c r="M16" s="41">
        <v>89676</v>
      </c>
      <c r="N16" s="42">
        <v>4703</v>
      </c>
      <c r="O16" s="47"/>
      <c r="P16" s="7">
        <f>C16+I16+M16+N16+L16</f>
        <v>112047</v>
      </c>
      <c r="Q16" s="6">
        <f t="shared" si="3"/>
        <v>0</v>
      </c>
      <c r="R16" s="58"/>
      <c r="U16" s="213" t="s">
        <v>67</v>
      </c>
      <c r="V16" s="220"/>
      <c r="W16" s="218"/>
    </row>
    <row r="17" spans="1:23" ht="15.75" thickBot="1" x14ac:dyDescent="0.3">
      <c r="A17" s="34"/>
      <c r="B17" s="134">
        <v>44270</v>
      </c>
      <c r="C17" s="36">
        <v>5155</v>
      </c>
      <c r="D17" s="141" t="s">
        <v>273</v>
      </c>
      <c r="E17" s="136">
        <v>44270</v>
      </c>
      <c r="F17" s="37">
        <v>161357</v>
      </c>
      <c r="G17" s="137"/>
      <c r="H17" s="138">
        <v>44270</v>
      </c>
      <c r="I17" s="49">
        <v>950</v>
      </c>
      <c r="J17" s="44"/>
      <c r="K17" s="158"/>
      <c r="L17" s="53"/>
      <c r="M17" s="41">
        <v>146517</v>
      </c>
      <c r="N17" s="42">
        <v>8735</v>
      </c>
      <c r="O17" s="47"/>
      <c r="P17" s="7">
        <f t="shared" ref="P17" si="4">C17+I17+M17+N17</f>
        <v>161357</v>
      </c>
      <c r="Q17" s="6">
        <f t="shared" si="3"/>
        <v>0</v>
      </c>
      <c r="R17" s="48"/>
      <c r="U17" s="213" t="s">
        <v>68</v>
      </c>
      <c r="V17" s="220"/>
      <c r="W17" s="218"/>
    </row>
    <row r="18" spans="1:23" ht="15.75" thickBot="1" x14ac:dyDescent="0.3">
      <c r="A18" s="34"/>
      <c r="B18" s="134">
        <v>44271</v>
      </c>
      <c r="C18" s="36">
        <v>8682</v>
      </c>
      <c r="D18" s="139" t="s">
        <v>274</v>
      </c>
      <c r="E18" s="136">
        <v>44271</v>
      </c>
      <c r="F18" s="37">
        <v>94902</v>
      </c>
      <c r="G18" s="137"/>
      <c r="H18" s="138">
        <v>44271</v>
      </c>
      <c r="I18" s="49">
        <v>1632</v>
      </c>
      <c r="J18" s="44"/>
      <c r="K18" s="162"/>
      <c r="L18" s="46"/>
      <c r="M18" s="41">
        <f>1971+77614</f>
        <v>79585</v>
      </c>
      <c r="N18" s="42">
        <v>5003</v>
      </c>
      <c r="O18" s="47"/>
      <c r="P18" s="7">
        <f>C18+I18+M18+N18+L18</f>
        <v>94902</v>
      </c>
      <c r="Q18" s="6">
        <f t="shared" ref="Q18:Q21" si="5">P18-F18</f>
        <v>0</v>
      </c>
      <c r="R18" s="48"/>
      <c r="U18" s="213" t="s">
        <v>69</v>
      </c>
      <c r="V18" s="220"/>
      <c r="W18" s="218"/>
    </row>
    <row r="19" spans="1:23" ht="15.75" thickBot="1" x14ac:dyDescent="0.3">
      <c r="A19" s="34"/>
      <c r="B19" s="134">
        <v>44272</v>
      </c>
      <c r="C19" s="36">
        <v>2739</v>
      </c>
      <c r="D19" s="139" t="s">
        <v>121</v>
      </c>
      <c r="E19" s="136">
        <v>44272</v>
      </c>
      <c r="F19" s="37">
        <v>95751</v>
      </c>
      <c r="G19" s="137"/>
      <c r="H19" s="138">
        <v>44272</v>
      </c>
      <c r="I19" s="49">
        <v>2495</v>
      </c>
      <c r="J19" s="44"/>
      <c r="K19" s="163"/>
      <c r="L19" s="59"/>
      <c r="M19" s="41">
        <v>87407</v>
      </c>
      <c r="N19" s="42">
        <v>3110</v>
      </c>
      <c r="O19" s="47"/>
      <c r="P19" s="7">
        <f>C19+I19+M19+N19+L19</f>
        <v>95751</v>
      </c>
      <c r="Q19" s="6">
        <f t="shared" si="5"/>
        <v>0</v>
      </c>
      <c r="R19" s="58"/>
      <c r="U19" s="213" t="s">
        <v>70</v>
      </c>
      <c r="V19" s="220"/>
      <c r="W19" s="218"/>
    </row>
    <row r="20" spans="1:23" ht="15.75" thickBot="1" x14ac:dyDescent="0.3">
      <c r="A20" s="34"/>
      <c r="B20" s="134">
        <v>44273</v>
      </c>
      <c r="C20" s="36">
        <v>1066</v>
      </c>
      <c r="D20" s="139" t="s">
        <v>45</v>
      </c>
      <c r="E20" s="136">
        <v>44273</v>
      </c>
      <c r="F20" s="37">
        <v>125913</v>
      </c>
      <c r="G20" s="137"/>
      <c r="H20" s="138">
        <v>44273</v>
      </c>
      <c r="I20" s="49">
        <v>495</v>
      </c>
      <c r="J20" s="44"/>
      <c r="K20" s="164"/>
      <c r="L20" s="53"/>
      <c r="M20" s="41">
        <v>122677</v>
      </c>
      <c r="N20" s="42">
        <v>1675</v>
      </c>
      <c r="O20" s="47"/>
      <c r="P20" s="7">
        <f>C20+I20+M20+N20</f>
        <v>125913</v>
      </c>
      <c r="Q20" s="6">
        <f t="shared" si="5"/>
        <v>0</v>
      </c>
      <c r="R20" s="58"/>
      <c r="U20" s="213" t="s">
        <v>71</v>
      </c>
      <c r="V20" s="220"/>
      <c r="W20" s="218"/>
    </row>
    <row r="21" spans="1:23" ht="15.75" thickBot="1" x14ac:dyDescent="0.3">
      <c r="A21" s="34"/>
      <c r="B21" s="134">
        <v>44274</v>
      </c>
      <c r="C21" s="36">
        <v>15559</v>
      </c>
      <c r="D21" s="139" t="s">
        <v>275</v>
      </c>
      <c r="E21" s="136">
        <v>44274</v>
      </c>
      <c r="F21" s="37">
        <v>166421</v>
      </c>
      <c r="G21" s="137"/>
      <c r="H21" s="138">
        <v>44274</v>
      </c>
      <c r="I21" s="49">
        <v>11171</v>
      </c>
      <c r="J21" s="44"/>
      <c r="K21" s="162"/>
      <c r="L21" s="53"/>
      <c r="M21" s="41">
        <v>134714</v>
      </c>
      <c r="N21" s="42">
        <v>4977</v>
      </c>
      <c r="O21" s="47"/>
      <c r="P21" s="7">
        <f>C21+I21+M21+N21+L21</f>
        <v>166421</v>
      </c>
      <c r="Q21" s="6">
        <f t="shared" si="5"/>
        <v>0</v>
      </c>
      <c r="R21" s="58"/>
      <c r="U21" s="213" t="s">
        <v>72</v>
      </c>
      <c r="V21" s="220"/>
      <c r="W21" s="218"/>
    </row>
    <row r="22" spans="1:23" ht="15.75" thickBot="1" x14ac:dyDescent="0.3">
      <c r="A22" s="34"/>
      <c r="B22" s="134">
        <v>44275</v>
      </c>
      <c r="C22" s="36">
        <v>5574</v>
      </c>
      <c r="D22" s="139" t="s">
        <v>276</v>
      </c>
      <c r="E22" s="136">
        <v>44275</v>
      </c>
      <c r="F22" s="37">
        <v>131368</v>
      </c>
      <c r="G22" s="137"/>
      <c r="H22" s="138">
        <v>44275</v>
      </c>
      <c r="I22" s="49">
        <v>4316</v>
      </c>
      <c r="J22" s="52">
        <v>44275</v>
      </c>
      <c r="K22" s="165" t="s">
        <v>277</v>
      </c>
      <c r="L22" s="61">
        <f>18782.75+4000+400</f>
        <v>23182.75</v>
      </c>
      <c r="M22" s="41">
        <v>97382</v>
      </c>
      <c r="N22" s="42">
        <v>9767</v>
      </c>
      <c r="O22" s="47"/>
      <c r="P22" s="7">
        <f>C22+I22+M22+N22+L22</f>
        <v>140221.75</v>
      </c>
      <c r="Q22" s="202">
        <f>P22-F22</f>
        <v>8853.75</v>
      </c>
      <c r="R22" s="58"/>
      <c r="U22" s="213" t="s">
        <v>73</v>
      </c>
      <c r="V22" s="220"/>
      <c r="W22" s="218"/>
    </row>
    <row r="23" spans="1:23" ht="15.75" thickBot="1" x14ac:dyDescent="0.3">
      <c r="A23" s="34"/>
      <c r="B23" s="134">
        <v>44276</v>
      </c>
      <c r="C23" s="36">
        <v>7949</v>
      </c>
      <c r="D23" s="139" t="s">
        <v>278</v>
      </c>
      <c r="E23" s="136">
        <v>44276</v>
      </c>
      <c r="F23" s="37">
        <v>149719</v>
      </c>
      <c r="G23" s="137"/>
      <c r="H23" s="138">
        <v>44276</v>
      </c>
      <c r="I23" s="49">
        <v>550</v>
      </c>
      <c r="J23" s="62"/>
      <c r="K23" s="166"/>
      <c r="L23" s="63"/>
      <c r="M23" s="41">
        <f>96034+35778</f>
        <v>131812</v>
      </c>
      <c r="N23" s="42">
        <v>11342</v>
      </c>
      <c r="O23" s="47" t="s">
        <v>279</v>
      </c>
      <c r="P23" s="7">
        <f>C23+I23+M23+N23+L23</f>
        <v>151653</v>
      </c>
      <c r="Q23" s="201">
        <f>P23-F23</f>
        <v>1934</v>
      </c>
      <c r="R23" s="54"/>
      <c r="U23" s="213" t="s">
        <v>74</v>
      </c>
      <c r="V23" s="220"/>
      <c r="W23" s="218"/>
    </row>
    <row r="24" spans="1:23" ht="15.75" thickBot="1" x14ac:dyDescent="0.3">
      <c r="A24" s="34"/>
      <c r="B24" s="134">
        <v>44277</v>
      </c>
      <c r="C24" s="36">
        <v>10804</v>
      </c>
      <c r="D24" s="139" t="s">
        <v>280</v>
      </c>
      <c r="E24" s="136">
        <v>44277</v>
      </c>
      <c r="F24" s="37">
        <v>106933</v>
      </c>
      <c r="G24" s="137"/>
      <c r="H24" s="138">
        <v>44277</v>
      </c>
      <c r="I24" s="49">
        <v>440</v>
      </c>
      <c r="J24" s="156"/>
      <c r="K24" s="167"/>
      <c r="L24" s="64"/>
      <c r="M24" s="41">
        <v>91729</v>
      </c>
      <c r="N24" s="260">
        <v>5331</v>
      </c>
      <c r="O24" s="261" t="s">
        <v>282</v>
      </c>
      <c r="P24" s="7">
        <f>C24+I24+M24+N24+L24</f>
        <v>108304</v>
      </c>
      <c r="Q24" s="201">
        <f t="shared" ref="Q24:Q39" si="6">P24-F24</f>
        <v>1371</v>
      </c>
      <c r="R24" s="48"/>
      <c r="U24" s="213" t="s">
        <v>75</v>
      </c>
      <c r="V24" s="220"/>
      <c r="W24" s="218"/>
    </row>
    <row r="25" spans="1:23" ht="15.75" thickBot="1" x14ac:dyDescent="0.3">
      <c r="A25" s="34"/>
      <c r="B25" s="134">
        <v>44278</v>
      </c>
      <c r="C25" s="36">
        <v>7181</v>
      </c>
      <c r="D25" s="139" t="s">
        <v>281</v>
      </c>
      <c r="E25" s="136">
        <v>44278</v>
      </c>
      <c r="F25" s="37">
        <v>127050</v>
      </c>
      <c r="G25" s="137"/>
      <c r="H25" s="138">
        <v>44278</v>
      </c>
      <c r="I25" s="49">
        <v>534</v>
      </c>
      <c r="J25" s="65"/>
      <c r="K25" s="144"/>
      <c r="L25" s="66"/>
      <c r="M25" s="41">
        <v>118054</v>
      </c>
      <c r="N25" s="260">
        <v>1281</v>
      </c>
      <c r="O25" s="262" t="s">
        <v>283</v>
      </c>
      <c r="P25" s="7">
        <f t="shared" ref="P25:P26" si="7">C25+I25+M25+N25+L25</f>
        <v>127050</v>
      </c>
      <c r="Q25" s="6">
        <f t="shared" si="6"/>
        <v>0</v>
      </c>
      <c r="R25" s="48"/>
      <c r="U25" s="213" t="s">
        <v>76</v>
      </c>
      <c r="V25" s="220"/>
      <c r="W25" s="218"/>
    </row>
    <row r="26" spans="1:23" ht="15.75" thickBot="1" x14ac:dyDescent="0.3">
      <c r="A26" s="34"/>
      <c r="B26" s="134">
        <v>44279</v>
      </c>
      <c r="C26" s="36">
        <v>4158</v>
      </c>
      <c r="D26" s="139" t="s">
        <v>284</v>
      </c>
      <c r="E26" s="136">
        <v>44279</v>
      </c>
      <c r="F26" s="37">
        <v>117994</v>
      </c>
      <c r="G26" s="137"/>
      <c r="H26" s="138">
        <v>44279</v>
      </c>
      <c r="I26" s="49">
        <v>495</v>
      </c>
      <c r="J26" s="44"/>
      <c r="K26" s="167"/>
      <c r="L26" s="63"/>
      <c r="M26" s="41">
        <v>111550</v>
      </c>
      <c r="N26" s="42">
        <v>1789</v>
      </c>
      <c r="O26" s="47"/>
      <c r="P26" s="7">
        <f t="shared" si="7"/>
        <v>117992</v>
      </c>
      <c r="Q26" s="6">
        <f t="shared" si="6"/>
        <v>-2</v>
      </c>
      <c r="R26" s="48"/>
      <c r="U26" s="213" t="s">
        <v>77</v>
      </c>
      <c r="V26" s="220"/>
      <c r="W26" s="218"/>
    </row>
    <row r="27" spans="1:23" ht="15" customHeight="1" thickBot="1" x14ac:dyDescent="0.3">
      <c r="A27" s="34"/>
      <c r="B27" s="134">
        <v>44280</v>
      </c>
      <c r="C27" s="36">
        <v>6787</v>
      </c>
      <c r="D27" s="141" t="s">
        <v>285</v>
      </c>
      <c r="E27" s="136">
        <v>44280</v>
      </c>
      <c r="F27" s="37">
        <v>92969</v>
      </c>
      <c r="G27" s="137"/>
      <c r="H27" s="138">
        <v>44280</v>
      </c>
      <c r="I27" s="49">
        <v>550</v>
      </c>
      <c r="J27" s="67"/>
      <c r="K27" s="168"/>
      <c r="L27" s="66"/>
      <c r="M27" s="41">
        <v>81327</v>
      </c>
      <c r="N27" s="42">
        <v>4305</v>
      </c>
      <c r="O27" s="47"/>
      <c r="P27" s="7">
        <f>C27+I27+M27+N27</f>
        <v>92969</v>
      </c>
      <c r="Q27" s="6">
        <f t="shared" si="6"/>
        <v>0</v>
      </c>
      <c r="R27" s="48"/>
      <c r="U27" s="213" t="s">
        <v>78</v>
      </c>
      <c r="V27" s="220"/>
      <c r="W27" s="218"/>
    </row>
    <row r="28" spans="1:23" ht="15.75" thickBot="1" x14ac:dyDescent="0.3">
      <c r="A28" s="34"/>
      <c r="B28" s="134">
        <v>44281</v>
      </c>
      <c r="C28" s="36">
        <v>2154</v>
      </c>
      <c r="D28" s="141" t="s">
        <v>45</v>
      </c>
      <c r="E28" s="136">
        <v>44281</v>
      </c>
      <c r="F28" s="37">
        <v>238542</v>
      </c>
      <c r="G28" s="137"/>
      <c r="H28" s="138">
        <v>44281</v>
      </c>
      <c r="I28" s="49">
        <v>13598</v>
      </c>
      <c r="J28" s="233"/>
      <c r="K28" s="168"/>
      <c r="L28" s="66"/>
      <c r="M28" s="41">
        <f>2108.5+215933</f>
        <v>218041.5</v>
      </c>
      <c r="N28" s="42">
        <v>4748</v>
      </c>
      <c r="O28" s="47" t="s">
        <v>279</v>
      </c>
      <c r="P28" s="7">
        <f>C28+I28+M28+N28+L28</f>
        <v>238541.5</v>
      </c>
      <c r="Q28" s="6">
        <f>P28-F28</f>
        <v>-0.5</v>
      </c>
      <c r="R28" s="48"/>
      <c r="U28" s="213" t="s">
        <v>79</v>
      </c>
      <c r="V28" s="220"/>
      <c r="W28" s="218"/>
    </row>
    <row r="29" spans="1:23" ht="15.75" thickBot="1" x14ac:dyDescent="0.3">
      <c r="A29" s="34"/>
      <c r="B29" s="134">
        <v>44282</v>
      </c>
      <c r="C29" s="36">
        <v>4276</v>
      </c>
      <c r="D29" s="143" t="s">
        <v>286</v>
      </c>
      <c r="E29" s="136">
        <v>44282</v>
      </c>
      <c r="F29" s="37">
        <v>185735</v>
      </c>
      <c r="G29" s="137"/>
      <c r="H29" s="138">
        <v>44282</v>
      </c>
      <c r="I29" s="49">
        <v>550</v>
      </c>
      <c r="J29" s="263">
        <v>44282</v>
      </c>
      <c r="K29" s="169" t="s">
        <v>287</v>
      </c>
      <c r="L29" s="66">
        <f>16771.17+400+4000</f>
        <v>21171.17</v>
      </c>
      <c r="M29" s="41">
        <v>157872</v>
      </c>
      <c r="N29" s="42">
        <v>10720</v>
      </c>
      <c r="O29" s="47"/>
      <c r="P29" s="7">
        <f>C29+I29+M29+N29+L29</f>
        <v>194589.16999999998</v>
      </c>
      <c r="Q29" s="202">
        <f>P29-F29</f>
        <v>8854.1699999999837</v>
      </c>
      <c r="R29" s="58"/>
      <c r="U29" s="213" t="s">
        <v>80</v>
      </c>
      <c r="V29" s="220"/>
      <c r="W29" s="218"/>
    </row>
    <row r="30" spans="1:23" ht="15.75" thickBot="1" x14ac:dyDescent="0.3">
      <c r="A30" s="34"/>
      <c r="B30" s="134">
        <v>44283</v>
      </c>
      <c r="C30" s="36">
        <v>24877</v>
      </c>
      <c r="D30" s="143" t="s">
        <v>288</v>
      </c>
      <c r="E30" s="136">
        <v>44283</v>
      </c>
      <c r="F30" s="37">
        <v>164558</v>
      </c>
      <c r="G30" s="137"/>
      <c r="H30" s="138">
        <v>44283</v>
      </c>
      <c r="I30" s="69">
        <v>550</v>
      </c>
      <c r="J30" s="67"/>
      <c r="K30" s="158"/>
      <c r="L30" s="46"/>
      <c r="M30" s="41">
        <v>131246</v>
      </c>
      <c r="N30" s="42">
        <v>7885</v>
      </c>
      <c r="O30" s="47"/>
      <c r="P30" s="7">
        <f>C30+I30+M30+N30+L30</f>
        <v>164558</v>
      </c>
      <c r="Q30" s="6">
        <f t="shared" si="6"/>
        <v>0</v>
      </c>
      <c r="R30" s="48"/>
      <c r="U30" s="213" t="s">
        <v>81</v>
      </c>
      <c r="V30" s="221"/>
      <c r="W30" s="207"/>
    </row>
    <row r="31" spans="1:23" ht="15.75" thickBot="1" x14ac:dyDescent="0.3">
      <c r="A31" s="34"/>
      <c r="B31" s="134">
        <v>44284</v>
      </c>
      <c r="C31" s="36">
        <v>21623</v>
      </c>
      <c r="D31" s="143" t="s">
        <v>289</v>
      </c>
      <c r="E31" s="136">
        <v>44284</v>
      </c>
      <c r="F31" s="37">
        <v>182732</v>
      </c>
      <c r="G31" s="137"/>
      <c r="H31" s="138">
        <v>44284</v>
      </c>
      <c r="I31" s="69">
        <v>550</v>
      </c>
      <c r="J31" s="67"/>
      <c r="K31" s="144"/>
      <c r="L31" s="66"/>
      <c r="M31" s="41">
        <v>150046</v>
      </c>
      <c r="N31" s="42">
        <v>10513</v>
      </c>
      <c r="O31" s="47"/>
      <c r="P31" s="7">
        <f>C31+I31+M31+N31+L31</f>
        <v>182732</v>
      </c>
      <c r="Q31" s="6">
        <f t="shared" si="6"/>
        <v>0</v>
      </c>
      <c r="R31" s="48"/>
      <c r="U31" s="213" t="s">
        <v>82</v>
      </c>
      <c r="V31" s="221"/>
      <c r="W31" s="207"/>
    </row>
    <row r="32" spans="1:23" ht="15.75" thickBot="1" x14ac:dyDescent="0.3">
      <c r="A32" s="34"/>
      <c r="B32" s="134">
        <v>44285</v>
      </c>
      <c r="C32" s="36">
        <v>330</v>
      </c>
      <c r="D32" s="143" t="s">
        <v>290</v>
      </c>
      <c r="E32" s="136">
        <v>44285</v>
      </c>
      <c r="F32" s="70">
        <v>131087</v>
      </c>
      <c r="G32" s="137"/>
      <c r="H32" s="138">
        <v>44285</v>
      </c>
      <c r="I32" s="69">
        <v>575</v>
      </c>
      <c r="J32" s="67">
        <v>44285</v>
      </c>
      <c r="K32" s="264" t="s">
        <v>291</v>
      </c>
      <c r="L32" s="46">
        <v>20000</v>
      </c>
      <c r="M32" s="41">
        <v>106964</v>
      </c>
      <c r="N32" s="42">
        <v>3218</v>
      </c>
      <c r="O32" s="47"/>
      <c r="P32" s="7">
        <f>C32+I32+M32+N32+L32</f>
        <v>131087</v>
      </c>
      <c r="Q32" s="6">
        <f t="shared" si="6"/>
        <v>0</v>
      </c>
      <c r="R32" s="48"/>
      <c r="U32" s="213" t="s">
        <v>83</v>
      </c>
      <c r="V32" s="221"/>
      <c r="W32" s="207"/>
    </row>
    <row r="33" spans="1:23" ht="16.5" thickBot="1" x14ac:dyDescent="0.3">
      <c r="A33" s="34"/>
      <c r="B33" s="134">
        <v>44286</v>
      </c>
      <c r="C33" s="71">
        <v>1340</v>
      </c>
      <c r="D33" s="242" t="s">
        <v>45</v>
      </c>
      <c r="E33" s="136">
        <v>44286</v>
      </c>
      <c r="F33" s="71">
        <v>124133</v>
      </c>
      <c r="G33" s="137"/>
      <c r="H33" s="138">
        <v>44286</v>
      </c>
      <c r="I33" s="69">
        <v>440</v>
      </c>
      <c r="J33" s="233"/>
      <c r="K33" s="172"/>
      <c r="L33" s="71"/>
      <c r="M33" s="41">
        <f>70000+48690</f>
        <v>118690</v>
      </c>
      <c r="N33" s="42">
        <v>3663</v>
      </c>
      <c r="O33" s="47" t="s">
        <v>279</v>
      </c>
      <c r="P33" s="7">
        <f t="shared" ref="P33:P39" si="8">C33+I33+M33+N33+L33</f>
        <v>124133</v>
      </c>
      <c r="Q33" s="6">
        <f t="shared" si="6"/>
        <v>0</v>
      </c>
      <c r="R33" s="48"/>
      <c r="U33" s="213" t="s">
        <v>84</v>
      </c>
      <c r="V33" s="221"/>
      <c r="W33" s="207"/>
    </row>
    <row r="34" spans="1:23" ht="15.75" thickBot="1" x14ac:dyDescent="0.3">
      <c r="A34" s="34"/>
      <c r="B34" s="134">
        <v>44287</v>
      </c>
      <c r="C34" s="71">
        <v>7415</v>
      </c>
      <c r="D34" s="267" t="s">
        <v>292</v>
      </c>
      <c r="E34" s="136">
        <v>44287</v>
      </c>
      <c r="F34" s="71">
        <v>126517</v>
      </c>
      <c r="G34" s="137"/>
      <c r="H34" s="138">
        <v>44287</v>
      </c>
      <c r="I34" s="69">
        <v>10515</v>
      </c>
      <c r="J34" s="67"/>
      <c r="K34" s="243"/>
      <c r="L34" s="6"/>
      <c r="M34" s="41">
        <v>97708</v>
      </c>
      <c r="N34" s="42">
        <v>10879</v>
      </c>
      <c r="O34" s="47" t="s">
        <v>293</v>
      </c>
      <c r="P34" s="7">
        <f t="shared" si="8"/>
        <v>126517</v>
      </c>
      <c r="Q34" s="6">
        <f t="shared" si="6"/>
        <v>0</v>
      </c>
      <c r="R34" s="48"/>
      <c r="U34" s="213" t="s">
        <v>85</v>
      </c>
      <c r="V34" s="221"/>
      <c r="W34" s="207"/>
    </row>
    <row r="35" spans="1:23" ht="15.75" thickBot="1" x14ac:dyDescent="0.3">
      <c r="A35" s="34"/>
      <c r="B35" s="134">
        <v>44288</v>
      </c>
      <c r="C35" s="71">
        <v>7748</v>
      </c>
      <c r="D35" s="267" t="s">
        <v>294</v>
      </c>
      <c r="E35" s="136">
        <v>44288</v>
      </c>
      <c r="F35" s="71">
        <v>95516</v>
      </c>
      <c r="G35" s="137"/>
      <c r="H35" s="138">
        <v>44288</v>
      </c>
      <c r="I35" s="69">
        <v>550</v>
      </c>
      <c r="J35" s="67"/>
      <c r="K35" s="172"/>
      <c r="L35" s="71"/>
      <c r="M35" s="41">
        <v>82796</v>
      </c>
      <c r="N35" s="42">
        <v>4422</v>
      </c>
      <c r="O35" s="47" t="s">
        <v>279</v>
      </c>
      <c r="P35" s="7">
        <f t="shared" si="8"/>
        <v>95516</v>
      </c>
      <c r="Q35" s="6">
        <f t="shared" si="6"/>
        <v>0</v>
      </c>
      <c r="R35" s="48" t="s">
        <v>11</v>
      </c>
      <c r="U35" s="213" t="s">
        <v>86</v>
      </c>
      <c r="V35" s="221"/>
      <c r="W35" s="207"/>
    </row>
    <row r="36" spans="1:23" ht="15" customHeight="1" thickBot="1" x14ac:dyDescent="0.3">
      <c r="A36" s="34"/>
      <c r="B36" s="134">
        <v>44289</v>
      </c>
      <c r="C36" s="71">
        <v>0</v>
      </c>
      <c r="D36" s="242"/>
      <c r="E36" s="136">
        <v>44289</v>
      </c>
      <c r="F36" s="71">
        <v>243027</v>
      </c>
      <c r="G36" s="137"/>
      <c r="H36" s="138">
        <v>44289</v>
      </c>
      <c r="I36" s="69">
        <v>550</v>
      </c>
      <c r="J36" s="67">
        <v>44289</v>
      </c>
      <c r="K36" s="243" t="s">
        <v>295</v>
      </c>
      <c r="L36" s="6">
        <f>18825.6+4000</f>
        <v>22825.599999999999</v>
      </c>
      <c r="M36" s="41">
        <v>216308</v>
      </c>
      <c r="N36" s="42">
        <v>12198</v>
      </c>
      <c r="O36" s="47" t="s">
        <v>279</v>
      </c>
      <c r="P36" s="7">
        <f t="shared" si="8"/>
        <v>251881.60000000001</v>
      </c>
      <c r="Q36" s="202">
        <f t="shared" si="6"/>
        <v>8854.6000000000058</v>
      </c>
      <c r="R36" s="48"/>
      <c r="U36" s="213" t="s">
        <v>87</v>
      </c>
      <c r="V36" s="221"/>
      <c r="W36" s="207"/>
    </row>
    <row r="37" spans="1:23" ht="19.5" customHeight="1" thickBot="1" x14ac:dyDescent="0.3">
      <c r="A37" s="34"/>
      <c r="B37" s="134">
        <v>44290</v>
      </c>
      <c r="C37" s="71">
        <v>8638</v>
      </c>
      <c r="D37" s="266" t="s">
        <v>130</v>
      </c>
      <c r="E37" s="136">
        <v>44290</v>
      </c>
      <c r="F37" s="265">
        <v>107110</v>
      </c>
      <c r="G37" s="137"/>
      <c r="H37" s="138">
        <v>44290</v>
      </c>
      <c r="I37" s="69">
        <v>1400</v>
      </c>
      <c r="J37" s="67"/>
      <c r="K37" s="246"/>
      <c r="L37" s="71"/>
      <c r="M37" s="41">
        <v>92402</v>
      </c>
      <c r="N37" s="42">
        <v>4670</v>
      </c>
      <c r="O37" s="47"/>
      <c r="P37" s="7">
        <f t="shared" si="8"/>
        <v>107110</v>
      </c>
      <c r="Q37" s="6">
        <f t="shared" si="6"/>
        <v>0</v>
      </c>
      <c r="R37" s="48"/>
      <c r="U37" s="213" t="s">
        <v>88</v>
      </c>
      <c r="V37" s="221"/>
      <c r="W37" s="207"/>
    </row>
    <row r="38" spans="1:23" ht="15" customHeight="1" thickBot="1" x14ac:dyDescent="0.3">
      <c r="A38" s="34"/>
      <c r="B38" s="134">
        <v>44291</v>
      </c>
      <c r="C38" s="71">
        <v>2136</v>
      </c>
      <c r="D38" s="266" t="s">
        <v>267</v>
      </c>
      <c r="E38" s="136">
        <v>44291</v>
      </c>
      <c r="F38" s="265">
        <v>231413</v>
      </c>
      <c r="G38" s="137"/>
      <c r="H38" s="138">
        <v>44291</v>
      </c>
      <c r="I38" s="69">
        <v>495</v>
      </c>
      <c r="J38" s="67"/>
      <c r="K38" s="40" t="s">
        <v>141</v>
      </c>
      <c r="L38" s="71">
        <v>0</v>
      </c>
      <c r="M38" s="41">
        <f>124118+65290+28216+4710</f>
        <v>222334</v>
      </c>
      <c r="N38" s="42">
        <v>6448</v>
      </c>
      <c r="O38" s="47" t="s">
        <v>279</v>
      </c>
      <c r="P38" s="7">
        <f>C38+I38+M38+N38+L38</f>
        <v>231413</v>
      </c>
      <c r="Q38" s="6">
        <f t="shared" si="6"/>
        <v>0</v>
      </c>
      <c r="R38" s="48"/>
      <c r="U38" s="213" t="s">
        <v>89</v>
      </c>
      <c r="V38" s="221"/>
      <c r="W38" s="207"/>
    </row>
    <row r="39" spans="1:23" ht="15" customHeight="1" thickBot="1" x14ac:dyDescent="0.35">
      <c r="A39" s="34"/>
      <c r="B39" s="146"/>
      <c r="C39" s="71"/>
      <c r="D39" s="242"/>
      <c r="E39" s="136"/>
      <c r="F39" s="239"/>
      <c r="G39" s="137"/>
      <c r="H39" s="138"/>
      <c r="I39" s="69"/>
      <c r="J39" s="67"/>
      <c r="K39" s="157"/>
      <c r="L39" s="71"/>
      <c r="M39" s="41">
        <v>0</v>
      </c>
      <c r="N39" s="42">
        <v>0</v>
      </c>
      <c r="O39" s="47"/>
      <c r="P39" s="7">
        <f t="shared" si="8"/>
        <v>0</v>
      </c>
      <c r="Q39" s="6">
        <f t="shared" si="6"/>
        <v>0</v>
      </c>
      <c r="R39" s="48"/>
      <c r="U39" s="213" t="s">
        <v>90</v>
      </c>
      <c r="V39" s="221"/>
      <c r="W39" s="207"/>
    </row>
    <row r="40" spans="1:23" ht="15" customHeight="1" thickBot="1" x14ac:dyDescent="0.35">
      <c r="A40" s="34"/>
      <c r="B40" s="226">
        <v>44259</v>
      </c>
      <c r="C40" s="225">
        <v>12918.81</v>
      </c>
      <c r="D40" s="237" t="s">
        <v>341</v>
      </c>
      <c r="E40" s="136"/>
      <c r="F40" s="240"/>
      <c r="G40" s="137"/>
      <c r="H40" s="138"/>
      <c r="I40" s="69"/>
      <c r="J40" s="67" t="s">
        <v>369</v>
      </c>
      <c r="K40" s="281" t="s">
        <v>368</v>
      </c>
      <c r="L40" s="71">
        <v>3549.87</v>
      </c>
      <c r="M40" s="41">
        <v>0</v>
      </c>
      <c r="N40" s="42">
        <v>0</v>
      </c>
      <c r="O40" s="47"/>
      <c r="P40" s="7"/>
      <c r="R40" s="48"/>
      <c r="U40" s="213" t="s">
        <v>92</v>
      </c>
      <c r="V40" s="221"/>
      <c r="W40" s="207"/>
    </row>
    <row r="41" spans="1:23" ht="15" customHeight="1" thickBot="1" x14ac:dyDescent="0.35">
      <c r="A41" s="34"/>
      <c r="B41" s="226">
        <v>44260</v>
      </c>
      <c r="C41" s="225">
        <v>26476.799999999999</v>
      </c>
      <c r="D41" s="237" t="s">
        <v>341</v>
      </c>
      <c r="E41" s="136"/>
      <c r="F41" s="241"/>
      <c r="G41" s="137"/>
      <c r="H41" s="138"/>
      <c r="I41" s="69"/>
      <c r="J41" s="67" t="s">
        <v>369</v>
      </c>
      <c r="K41" s="172" t="s">
        <v>135</v>
      </c>
      <c r="L41" s="71">
        <f>8100+8100+9885+9720</f>
        <v>35805</v>
      </c>
      <c r="M41" s="77">
        <v>0</v>
      </c>
      <c r="N41" s="42">
        <v>0</v>
      </c>
      <c r="O41" s="47"/>
      <c r="P41" s="7"/>
      <c r="R41" s="48"/>
      <c r="U41" s="213" t="s">
        <v>93</v>
      </c>
      <c r="V41" s="221"/>
      <c r="W41" s="207"/>
    </row>
    <row r="42" spans="1:23" ht="15.75" customHeight="1" thickBot="1" x14ac:dyDescent="0.35">
      <c r="A42" s="34"/>
      <c r="B42" s="226">
        <v>44264</v>
      </c>
      <c r="C42" s="225">
        <v>19097.66</v>
      </c>
      <c r="D42" s="237" t="s">
        <v>341</v>
      </c>
      <c r="E42" s="136"/>
      <c r="F42" s="241"/>
      <c r="G42" s="137"/>
      <c r="H42" s="138"/>
      <c r="I42" s="69"/>
      <c r="J42" s="67" t="s">
        <v>369</v>
      </c>
      <c r="K42" s="172" t="s">
        <v>370</v>
      </c>
      <c r="L42" s="71">
        <f>549+549</f>
        <v>1098</v>
      </c>
      <c r="M42" s="77">
        <v>0</v>
      </c>
      <c r="N42" s="42">
        <v>0</v>
      </c>
      <c r="O42" s="47"/>
      <c r="P42" s="7"/>
      <c r="R42" s="48"/>
      <c r="U42" s="213" t="s">
        <v>94</v>
      </c>
      <c r="V42" s="221"/>
      <c r="W42" s="207"/>
    </row>
    <row r="43" spans="1:23" ht="16.149999999999999" customHeight="1" thickBot="1" x14ac:dyDescent="0.3">
      <c r="A43" s="34"/>
      <c r="B43" s="226">
        <v>44267</v>
      </c>
      <c r="C43" s="271">
        <v>27632.2</v>
      </c>
      <c r="D43" s="237" t="s">
        <v>341</v>
      </c>
      <c r="E43" s="136"/>
      <c r="F43" s="151"/>
      <c r="G43" s="137"/>
      <c r="H43" s="138"/>
      <c r="I43" s="69"/>
      <c r="J43" s="67" t="s">
        <v>369</v>
      </c>
      <c r="K43" s="76" t="s">
        <v>371</v>
      </c>
      <c r="L43" s="71">
        <v>12656.68</v>
      </c>
      <c r="M43" s="77">
        <v>0</v>
      </c>
      <c r="N43" s="42">
        <v>0</v>
      </c>
      <c r="O43" s="47"/>
      <c r="P43" s="7"/>
      <c r="R43" s="48"/>
      <c r="U43" s="213" t="s">
        <v>95</v>
      </c>
      <c r="V43" s="221"/>
      <c r="W43" s="207"/>
    </row>
    <row r="44" spans="1:23" ht="16.149999999999999" customHeight="1" thickBot="1" x14ac:dyDescent="0.3">
      <c r="A44" s="34"/>
      <c r="B44" s="226">
        <v>44268</v>
      </c>
      <c r="C44" s="225">
        <v>12437.12</v>
      </c>
      <c r="D44" s="237" t="s">
        <v>341</v>
      </c>
      <c r="E44" s="136"/>
      <c r="F44" s="151"/>
      <c r="G44" s="137"/>
      <c r="H44" s="138"/>
      <c r="I44" s="69"/>
      <c r="J44" s="67" t="s">
        <v>369</v>
      </c>
      <c r="K44" s="172" t="s">
        <v>136</v>
      </c>
      <c r="L44" s="71">
        <v>986</v>
      </c>
      <c r="M44" s="77">
        <v>0</v>
      </c>
      <c r="N44" s="42">
        <v>0</v>
      </c>
      <c r="O44" s="47"/>
      <c r="P44" s="7"/>
      <c r="R44" s="48"/>
      <c r="U44" s="213" t="s">
        <v>96</v>
      </c>
      <c r="V44" s="221"/>
      <c r="W44" s="207"/>
    </row>
    <row r="45" spans="1:23" ht="16.149999999999999" customHeight="1" thickBot="1" x14ac:dyDescent="0.3">
      <c r="A45" s="34"/>
      <c r="B45" s="226">
        <v>44271</v>
      </c>
      <c r="C45" s="225">
        <v>23190.73</v>
      </c>
      <c r="D45" s="237" t="s">
        <v>341</v>
      </c>
      <c r="E45" s="136"/>
      <c r="F45" s="151"/>
      <c r="G45" s="137"/>
      <c r="H45" s="138"/>
      <c r="I45" s="69"/>
      <c r="J45" s="67" t="s">
        <v>369</v>
      </c>
      <c r="K45" s="282" t="s">
        <v>372</v>
      </c>
      <c r="L45" s="75">
        <v>6960</v>
      </c>
      <c r="M45" s="77">
        <v>0</v>
      </c>
      <c r="N45" s="42">
        <v>0</v>
      </c>
      <c r="O45" s="47"/>
      <c r="P45" s="7"/>
      <c r="R45" s="48"/>
      <c r="U45" s="213" t="s">
        <v>97</v>
      </c>
      <c r="V45" s="221"/>
      <c r="W45" s="207"/>
    </row>
    <row r="46" spans="1:23" ht="16.149999999999999" customHeight="1" thickBot="1" x14ac:dyDescent="0.3">
      <c r="A46" s="34"/>
      <c r="B46" s="226">
        <v>44275</v>
      </c>
      <c r="C46" s="225">
        <v>37080.230000000003</v>
      </c>
      <c r="D46" s="237" t="s">
        <v>341</v>
      </c>
      <c r="E46" s="136"/>
      <c r="F46" s="151"/>
      <c r="G46" s="137"/>
      <c r="H46" s="138"/>
      <c r="I46" s="69"/>
      <c r="J46" s="67" t="s">
        <v>369</v>
      </c>
      <c r="K46" s="172" t="s">
        <v>373</v>
      </c>
      <c r="L46" s="75">
        <f>10100+21358</f>
        <v>31458</v>
      </c>
      <c r="M46" s="77">
        <v>0</v>
      </c>
      <c r="N46" s="42">
        <v>0</v>
      </c>
      <c r="O46" s="47"/>
      <c r="P46" s="7"/>
      <c r="R46" s="48"/>
      <c r="U46" s="213" t="s">
        <v>98</v>
      </c>
      <c r="V46" s="221"/>
      <c r="W46" s="207"/>
    </row>
    <row r="47" spans="1:23" ht="16.149999999999999" customHeight="1" thickBot="1" x14ac:dyDescent="0.3">
      <c r="A47" s="34"/>
      <c r="B47" s="226">
        <v>44279</v>
      </c>
      <c r="C47" s="225">
        <v>36624.78</v>
      </c>
      <c r="D47" s="237" t="s">
        <v>341</v>
      </c>
      <c r="E47" s="150"/>
      <c r="F47" s="74"/>
      <c r="G47" s="137"/>
      <c r="H47" s="138"/>
      <c r="I47" s="69"/>
      <c r="J47" s="67" t="s">
        <v>369</v>
      </c>
      <c r="K47" s="172" t="s">
        <v>225</v>
      </c>
      <c r="L47" s="75">
        <v>10000</v>
      </c>
      <c r="M47" s="77"/>
      <c r="N47" s="42"/>
      <c r="O47" s="47"/>
      <c r="P47" s="7"/>
      <c r="Q47" s="7"/>
      <c r="R47" s="48"/>
      <c r="U47" s="213" t="s">
        <v>99</v>
      </c>
      <c r="V47" s="221"/>
      <c r="W47" s="207"/>
    </row>
    <row r="48" spans="1:23" ht="16.5" thickBot="1" x14ac:dyDescent="0.3">
      <c r="A48" s="34"/>
      <c r="B48" s="226">
        <v>44284</v>
      </c>
      <c r="C48" s="225">
        <v>13460.94</v>
      </c>
      <c r="D48" s="237" t="s">
        <v>341</v>
      </c>
      <c r="E48" s="150"/>
      <c r="F48" s="74"/>
      <c r="G48" s="137"/>
      <c r="H48" s="138"/>
      <c r="I48" s="69"/>
      <c r="J48" s="67" t="s">
        <v>369</v>
      </c>
      <c r="K48" s="172" t="s">
        <v>143</v>
      </c>
      <c r="L48" s="75">
        <f>398.99+406.58+498.99+398.99+198.99</f>
        <v>1902.54</v>
      </c>
      <c r="M48" s="77"/>
      <c r="N48" s="42"/>
      <c r="O48" s="47"/>
      <c r="P48" s="7"/>
      <c r="Q48" s="7"/>
      <c r="R48" s="48"/>
      <c r="U48" s="213" t="s">
        <v>100</v>
      </c>
      <c r="V48" s="221"/>
      <c r="W48" s="207"/>
    </row>
    <row r="49" spans="1:23" ht="16.5" thickBot="1" x14ac:dyDescent="0.3">
      <c r="A49" s="34"/>
      <c r="B49" s="226">
        <v>44285</v>
      </c>
      <c r="C49" s="225">
        <v>17719.810000000001</v>
      </c>
      <c r="D49" s="237" t="s">
        <v>341</v>
      </c>
      <c r="E49" s="149"/>
      <c r="F49" s="74"/>
      <c r="G49" s="137"/>
      <c r="H49" s="138"/>
      <c r="I49" s="69"/>
      <c r="J49" s="67" t="s">
        <v>369</v>
      </c>
      <c r="K49" s="172" t="s">
        <v>132</v>
      </c>
      <c r="L49" s="75">
        <f>1394.81+986.84</f>
        <v>2381.65</v>
      </c>
      <c r="M49" s="77"/>
      <c r="N49" s="42"/>
      <c r="O49" s="47"/>
      <c r="P49" s="7"/>
      <c r="Q49" s="7"/>
      <c r="R49" s="48"/>
      <c r="U49" s="213" t="s">
        <v>101</v>
      </c>
      <c r="V49" s="221"/>
      <c r="W49" s="207"/>
    </row>
    <row r="50" spans="1:23" ht="16.5" thickBot="1" x14ac:dyDescent="0.3">
      <c r="A50" s="34"/>
      <c r="B50" s="226">
        <v>44287</v>
      </c>
      <c r="C50" s="225">
        <v>9934.5</v>
      </c>
      <c r="D50" s="237" t="s">
        <v>341</v>
      </c>
      <c r="E50" s="149"/>
      <c r="F50" s="74"/>
      <c r="G50" s="137"/>
      <c r="H50" s="138"/>
      <c r="I50" s="69"/>
      <c r="J50" s="67" t="s">
        <v>369</v>
      </c>
      <c r="K50" s="172" t="s">
        <v>374</v>
      </c>
      <c r="L50" s="75">
        <v>519</v>
      </c>
      <c r="M50" s="77"/>
      <c r="N50" s="42"/>
      <c r="O50" s="47"/>
      <c r="P50" s="7"/>
      <c r="Q50" s="7"/>
      <c r="R50" s="48"/>
      <c r="U50" s="213" t="s">
        <v>102</v>
      </c>
      <c r="V50" s="221"/>
      <c r="W50" s="207"/>
    </row>
    <row r="51" spans="1:23" ht="16.5" customHeight="1" thickBot="1" x14ac:dyDescent="0.3">
      <c r="A51" s="34"/>
      <c r="B51" s="226">
        <v>44289</v>
      </c>
      <c r="C51" s="225">
        <v>24229.96</v>
      </c>
      <c r="D51" s="237" t="s">
        <v>341</v>
      </c>
      <c r="E51" s="136"/>
      <c r="F51" s="71"/>
      <c r="G51" s="137"/>
      <c r="H51" s="138"/>
      <c r="I51" s="69"/>
      <c r="J51" s="67" t="s">
        <v>369</v>
      </c>
      <c r="K51" s="172" t="s">
        <v>378</v>
      </c>
      <c r="L51" s="75">
        <v>22307.85</v>
      </c>
      <c r="M51" s="77"/>
      <c r="N51" s="42"/>
      <c r="O51" s="47"/>
      <c r="P51" s="7"/>
      <c r="Q51" s="7"/>
      <c r="R51" s="48"/>
      <c r="U51" s="213" t="s">
        <v>103</v>
      </c>
      <c r="V51" s="221"/>
      <c r="W51" s="207"/>
    </row>
    <row r="52" spans="1:23" ht="15.75" customHeight="1" thickBot="1" x14ac:dyDescent="0.35">
      <c r="A52" s="34"/>
      <c r="B52" s="146"/>
      <c r="C52" s="71"/>
      <c r="D52" s="153"/>
      <c r="E52" s="136"/>
      <c r="F52" s="71"/>
      <c r="G52" s="137"/>
      <c r="H52" s="138"/>
      <c r="I52" s="69"/>
      <c r="J52" s="67" t="s">
        <v>369</v>
      </c>
      <c r="K52" s="172" t="s">
        <v>379</v>
      </c>
      <c r="L52" s="75">
        <v>5370.73</v>
      </c>
      <c r="M52" s="77"/>
      <c r="N52" s="42"/>
      <c r="O52" s="47"/>
      <c r="P52" s="7"/>
      <c r="Q52" s="7"/>
      <c r="R52" s="48"/>
      <c r="U52" s="213" t="s">
        <v>104</v>
      </c>
      <c r="V52" s="221"/>
      <c r="W52" s="207"/>
    </row>
    <row r="53" spans="1:23" ht="15.75" customHeight="1" thickBot="1" x14ac:dyDescent="0.35">
      <c r="A53" s="34"/>
      <c r="B53" s="146"/>
      <c r="C53" s="71"/>
      <c r="D53" s="153"/>
      <c r="E53" s="136"/>
      <c r="F53" s="71"/>
      <c r="G53" s="137"/>
      <c r="H53" s="138"/>
      <c r="I53" s="69"/>
      <c r="J53" s="67" t="s">
        <v>369</v>
      </c>
      <c r="K53" s="243" t="s">
        <v>373</v>
      </c>
      <c r="L53" s="75">
        <v>414330</v>
      </c>
      <c r="M53" s="41"/>
      <c r="N53" s="42"/>
      <c r="O53" s="47"/>
      <c r="P53" s="7"/>
      <c r="Q53" s="7"/>
      <c r="R53" s="48"/>
      <c r="U53" s="213" t="s">
        <v>105</v>
      </c>
      <c r="V53" s="221"/>
      <c r="W53" s="207"/>
    </row>
    <row r="54" spans="1:23" ht="15.75" customHeight="1" thickBot="1" x14ac:dyDescent="0.35">
      <c r="A54" s="34"/>
      <c r="B54" s="146"/>
      <c r="C54" s="71"/>
      <c r="D54" s="153"/>
      <c r="E54" s="136"/>
      <c r="F54" s="71"/>
      <c r="G54" s="137"/>
      <c r="H54" s="138"/>
      <c r="I54" s="69"/>
      <c r="J54" s="67">
        <v>44287</v>
      </c>
      <c r="K54" s="76" t="s">
        <v>376</v>
      </c>
      <c r="L54" s="75">
        <f>1000+12941.03</f>
        <v>13941.03</v>
      </c>
      <c r="M54" s="41">
        <v>0</v>
      </c>
      <c r="N54" s="42">
        <v>0</v>
      </c>
      <c r="O54" s="47"/>
      <c r="P54" s="7"/>
      <c r="Q54" s="7"/>
      <c r="R54" s="48"/>
      <c r="U54" s="212"/>
      <c r="V54" s="222"/>
      <c r="W54" s="207"/>
    </row>
    <row r="55" spans="1:23" ht="15.75" customHeight="1" thickBot="1" x14ac:dyDescent="0.35">
      <c r="A55" s="34"/>
      <c r="B55" s="283"/>
      <c r="C55" s="79"/>
      <c r="D55" s="284"/>
      <c r="E55" s="154"/>
      <c r="F55" s="79"/>
      <c r="G55" s="137"/>
      <c r="H55" s="285"/>
      <c r="I55" s="80"/>
      <c r="J55" s="67"/>
      <c r="K55" s="287" t="s">
        <v>377</v>
      </c>
      <c r="L55" s="50">
        <v>3291.8</v>
      </c>
      <c r="M55" s="41"/>
      <c r="N55" s="42"/>
      <c r="O55" s="47"/>
      <c r="P55" s="7"/>
      <c r="Q55" s="7"/>
      <c r="R55" s="48"/>
      <c r="U55" s="212"/>
      <c r="V55" s="222"/>
      <c r="W55" s="207"/>
    </row>
    <row r="56" spans="1:23" ht="15.75" customHeight="1" thickBot="1" x14ac:dyDescent="0.35">
      <c r="A56" s="34"/>
      <c r="B56" s="283"/>
      <c r="C56" s="79"/>
      <c r="D56" s="284"/>
      <c r="E56" s="154"/>
      <c r="F56" s="79"/>
      <c r="G56" s="137"/>
      <c r="H56" s="285"/>
      <c r="I56" s="80"/>
      <c r="J56" s="67"/>
      <c r="K56" s="286"/>
      <c r="L56" s="50"/>
      <c r="M56" s="41"/>
      <c r="N56" s="42"/>
      <c r="O56" s="47"/>
      <c r="P56" s="7"/>
      <c r="Q56" s="7"/>
      <c r="R56" s="48"/>
      <c r="U56" s="212"/>
      <c r="V56" s="222"/>
      <c r="W56" s="207"/>
    </row>
    <row r="57" spans="1:23" ht="15.75" customHeight="1" thickBot="1" x14ac:dyDescent="0.35">
      <c r="A57" s="34"/>
      <c r="B57" s="283"/>
      <c r="C57" s="79"/>
      <c r="D57" s="284"/>
      <c r="E57" s="154"/>
      <c r="F57" s="79"/>
      <c r="G57" s="137"/>
      <c r="H57" s="285"/>
      <c r="I57" s="80"/>
      <c r="J57" s="67"/>
      <c r="K57" s="286"/>
      <c r="L57" s="50"/>
      <c r="M57" s="41"/>
      <c r="N57" s="42"/>
      <c r="O57" s="47"/>
      <c r="P57" s="7"/>
      <c r="Q57" s="7"/>
      <c r="R57" s="48"/>
      <c r="U57" s="212"/>
      <c r="V57" s="222"/>
      <c r="W57" s="207"/>
    </row>
    <row r="58" spans="1:23" ht="15.75" customHeight="1" thickBot="1" x14ac:dyDescent="0.35">
      <c r="A58" s="34"/>
      <c r="B58" s="283"/>
      <c r="C58" s="79"/>
      <c r="D58" s="284"/>
      <c r="E58" s="154"/>
      <c r="F58" s="79"/>
      <c r="G58" s="137"/>
      <c r="H58" s="285"/>
      <c r="I58" s="80"/>
      <c r="J58" s="67"/>
      <c r="K58" s="286"/>
      <c r="L58" s="50"/>
      <c r="M58" s="41"/>
      <c r="N58" s="42"/>
      <c r="O58" s="47"/>
      <c r="P58" s="7"/>
      <c r="Q58" s="7"/>
      <c r="R58" s="48"/>
      <c r="U58" s="212"/>
      <c r="V58" s="222"/>
      <c r="W58" s="207"/>
    </row>
    <row r="59" spans="1:23" ht="15.75" thickBot="1" x14ac:dyDescent="0.3">
      <c r="A59" s="34"/>
      <c r="B59" s="35"/>
      <c r="C59" s="36">
        <v>0</v>
      </c>
      <c r="D59" s="82"/>
      <c r="E59" s="78"/>
      <c r="F59" s="79"/>
      <c r="H59" s="73"/>
      <c r="I59" s="80"/>
      <c r="J59" s="67"/>
      <c r="K59" s="83"/>
      <c r="L59" s="6"/>
      <c r="M59" s="41">
        <v>0</v>
      </c>
      <c r="N59" s="42">
        <v>0</v>
      </c>
      <c r="O59" s="47"/>
      <c r="P59" s="84"/>
      <c r="Q59" s="84"/>
      <c r="R59" s="48"/>
      <c r="U59" s="210"/>
      <c r="V59" s="222"/>
      <c r="W59" s="207"/>
    </row>
    <row r="60" spans="1:23" ht="16.5" thickBot="1" x14ac:dyDescent="0.3">
      <c r="B60" s="85" t="s">
        <v>13</v>
      </c>
      <c r="C60" s="86">
        <f>SUM(C5:C59)</f>
        <v>506577.54</v>
      </c>
      <c r="D60" s="87"/>
      <c r="E60" s="88" t="s">
        <v>13</v>
      </c>
      <c r="F60" s="89">
        <f>SUM(F5:F59)</f>
        <v>4466307</v>
      </c>
      <c r="G60" s="87"/>
      <c r="H60" s="90" t="s">
        <v>14</v>
      </c>
      <c r="I60" s="91">
        <f>SUM(I5:I59)</f>
        <v>87748</v>
      </c>
      <c r="J60" s="92"/>
      <c r="K60" s="93" t="s">
        <v>15</v>
      </c>
      <c r="L60" s="94">
        <f>SUM(L5:L59)</f>
        <v>694103.32000000007</v>
      </c>
      <c r="M60" s="95">
        <f>SUM(M5:M59)</f>
        <v>3863945.5</v>
      </c>
      <c r="N60" s="95">
        <f>SUM(N5:N59)</f>
        <v>200857</v>
      </c>
      <c r="O60" s="96"/>
      <c r="P60" s="7">
        <f>SUM(P5:P59)</f>
        <v>4525869.67</v>
      </c>
      <c r="Q60" s="7">
        <f>SUM(Q5:Q59)</f>
        <v>59562.669999999984</v>
      </c>
      <c r="R60" s="97"/>
      <c r="U60" s="210"/>
      <c r="V60" s="222"/>
      <c r="W60" s="207"/>
    </row>
    <row r="61" spans="1:23" ht="20.25" thickTop="1" thickBot="1" x14ac:dyDescent="0.3">
      <c r="C61" s="8" t="s">
        <v>11</v>
      </c>
      <c r="O61" s="96"/>
      <c r="P61" s="7"/>
      <c r="Q61" s="7"/>
      <c r="R61" s="98"/>
      <c r="S61" s="99"/>
      <c r="U61" s="211"/>
      <c r="V61" s="223"/>
      <c r="W61" s="208"/>
    </row>
    <row r="62" spans="1:23" ht="17.25" customHeight="1" thickBot="1" x14ac:dyDescent="0.3">
      <c r="A62" s="60"/>
      <c r="B62" s="100"/>
      <c r="C62" s="4"/>
      <c r="H62" s="548" t="s">
        <v>16</v>
      </c>
      <c r="I62" s="549"/>
      <c r="J62" s="101"/>
      <c r="K62" s="550">
        <f>I60+L60</f>
        <v>781851.32000000007</v>
      </c>
      <c r="L62" s="551"/>
      <c r="M62" s="552">
        <f>M60+N60</f>
        <v>4064802.5</v>
      </c>
      <c r="N62" s="553"/>
      <c r="O62" s="102"/>
      <c r="P62" s="99"/>
      <c r="Q62" s="99"/>
      <c r="S62" s="174"/>
    </row>
    <row r="63" spans="1:23" ht="19.5" customHeight="1" thickBot="1" x14ac:dyDescent="0.3">
      <c r="D63" s="560" t="s">
        <v>17</v>
      </c>
      <c r="E63" s="560"/>
      <c r="F63" s="103">
        <f>F60-K62-C60</f>
        <v>3177878.1399999997</v>
      </c>
      <c r="I63" s="104"/>
      <c r="J63" s="105"/>
      <c r="P63" s="561">
        <f>P60+Q60</f>
        <v>4585432.34</v>
      </c>
      <c r="Q63" s="562"/>
      <c r="S63" s="50"/>
    </row>
    <row r="64" spans="1:23" ht="15.75" customHeight="1" x14ac:dyDescent="0.3">
      <c r="D64" s="563" t="s">
        <v>18</v>
      </c>
      <c r="E64" s="563"/>
      <c r="F64" s="95">
        <v>-3579271.89</v>
      </c>
      <c r="I64" s="564" t="s">
        <v>19</v>
      </c>
      <c r="J64" s="565"/>
      <c r="K64" s="566">
        <f>F66+F67+F68</f>
        <v>-110332.85000000047</v>
      </c>
      <c r="L64" s="567"/>
      <c r="P64" s="50"/>
      <c r="S64" s="107"/>
    </row>
    <row r="65" spans="2:19" ht="19.5" thickBot="1" x14ac:dyDescent="0.35">
      <c r="D65" s="108"/>
      <c r="E65" s="60"/>
      <c r="F65" s="109">
        <v>0</v>
      </c>
      <c r="I65" s="110"/>
      <c r="J65" s="111"/>
      <c r="K65" s="112"/>
      <c r="L65" s="113"/>
      <c r="P65" s="107"/>
      <c r="Q65" s="7"/>
      <c r="S65" s="50"/>
    </row>
    <row r="66" spans="2:19" ht="18.75" customHeight="1" thickTop="1" x14ac:dyDescent="0.3">
      <c r="C66" s="9" t="s">
        <v>11</v>
      </c>
      <c r="E66" s="60" t="s">
        <v>20</v>
      </c>
      <c r="F66" s="95">
        <f>SUM(F63:F65)</f>
        <v>-401393.75000000047</v>
      </c>
      <c r="H66" s="34"/>
      <c r="I66" s="114" t="s">
        <v>21</v>
      </c>
      <c r="J66" s="115"/>
      <c r="K66" s="568">
        <f>-C4</f>
        <v>-223014.26</v>
      </c>
      <c r="L66" s="569"/>
      <c r="M66" s="116"/>
      <c r="P66" s="50"/>
      <c r="Q66" s="7"/>
      <c r="S66" s="50"/>
    </row>
    <row r="67" spans="2:19" ht="16.5" thickBot="1" x14ac:dyDescent="0.3">
      <c r="D67" s="117" t="s">
        <v>22</v>
      </c>
      <c r="E67" s="60" t="s">
        <v>23</v>
      </c>
      <c r="F67" s="118">
        <v>75698</v>
      </c>
      <c r="P67" s="50"/>
      <c r="Q67" s="7"/>
      <c r="S67" s="50"/>
    </row>
    <row r="68" spans="2:19" ht="20.25" thickTop="1" thickBot="1" x14ac:dyDescent="0.35">
      <c r="C68" s="119">
        <v>44291</v>
      </c>
      <c r="D68" s="554" t="s">
        <v>24</v>
      </c>
      <c r="E68" s="555"/>
      <c r="F68" s="120">
        <v>215362.9</v>
      </c>
      <c r="I68" s="570" t="s">
        <v>431</v>
      </c>
      <c r="J68" s="571"/>
      <c r="K68" s="572">
        <f>K64+K66</f>
        <v>-333347.11000000045</v>
      </c>
      <c r="L68" s="573"/>
      <c r="P68" s="50"/>
      <c r="Q68" s="7"/>
      <c r="S68" s="121"/>
    </row>
    <row r="69" spans="2:19" ht="18.75" x14ac:dyDescent="0.3">
      <c r="C69" s="122"/>
      <c r="D69" s="123"/>
      <c r="E69" s="57"/>
      <c r="F69" s="124"/>
      <c r="J69" s="125"/>
      <c r="M69" s="126"/>
      <c r="P69" s="121"/>
      <c r="Q69" s="7"/>
    </row>
    <row r="70" spans="2:19" x14ac:dyDescent="0.25">
      <c r="P70" s="7"/>
      <c r="Q70" s="7"/>
    </row>
    <row r="71" spans="2:19" ht="15.75" x14ac:dyDescent="0.25">
      <c r="B71" s="127"/>
      <c r="C71" s="128"/>
      <c r="D71" s="129"/>
      <c r="E71" s="7"/>
      <c r="M71" s="2"/>
      <c r="N71" s="60"/>
      <c r="P71" s="7"/>
      <c r="Q71" s="7"/>
      <c r="R71" s="165"/>
      <c r="S71" s="173"/>
    </row>
    <row r="72" spans="2:19" ht="15.75" x14ac:dyDescent="0.25">
      <c r="B72" s="127"/>
      <c r="C72" s="130"/>
      <c r="E72" s="7"/>
      <c r="M72" s="2"/>
      <c r="N72" s="60"/>
      <c r="O72" s="248"/>
      <c r="P72" s="173"/>
      <c r="Q72" s="165"/>
      <c r="R72" s="165"/>
      <c r="S72" s="165"/>
    </row>
    <row r="73" spans="2:19" ht="15.75" x14ac:dyDescent="0.25">
      <c r="B73" s="127"/>
      <c r="C73" s="130"/>
      <c r="E73" s="7"/>
      <c r="F73" s="132"/>
      <c r="L73" s="133"/>
      <c r="M73" s="4"/>
      <c r="O73" s="248"/>
      <c r="P73" s="165"/>
      <c r="Q73" s="165"/>
    </row>
    <row r="74" spans="2:19" ht="15.75" x14ac:dyDescent="0.25">
      <c r="B74" s="127"/>
      <c r="C74" s="130"/>
      <c r="E74" s="7"/>
      <c r="M74" s="4"/>
    </row>
    <row r="75" spans="2:19" ht="15.75" x14ac:dyDescent="0.25">
      <c r="B75" s="127"/>
      <c r="C75" s="130"/>
      <c r="D75" s="272"/>
      <c r="E75" s="7"/>
      <c r="F75" s="273"/>
      <c r="M75" s="4"/>
    </row>
    <row r="76" spans="2:19" x14ac:dyDescent="0.25">
      <c r="D76" s="272"/>
      <c r="E76" s="274"/>
      <c r="F76" s="7"/>
      <c r="M76" s="4"/>
    </row>
    <row r="77" spans="2:19" x14ac:dyDescent="0.25">
      <c r="D77" s="272"/>
      <c r="E77" s="274"/>
      <c r="F77" s="7"/>
      <c r="M77" s="4"/>
    </row>
    <row r="78" spans="2:19" x14ac:dyDescent="0.25">
      <c r="D78" s="272"/>
      <c r="E78" s="274"/>
      <c r="F78" s="7"/>
      <c r="M78" s="4"/>
    </row>
    <row r="79" spans="2:19" x14ac:dyDescent="0.25">
      <c r="D79" s="272"/>
      <c r="E79" s="274"/>
      <c r="F79" s="7"/>
      <c r="M79" s="4"/>
    </row>
    <row r="80" spans="2:19" x14ac:dyDescent="0.25">
      <c r="D80" s="272"/>
      <c r="E80" s="274"/>
      <c r="F80" s="7"/>
      <c r="M80" s="4"/>
    </row>
    <row r="81" spans="4:13" x14ac:dyDescent="0.25">
      <c r="D81" s="272"/>
      <c r="E81" s="274"/>
      <c r="F81" s="7"/>
      <c r="M81" s="4"/>
    </row>
    <row r="82" spans="4:13" x14ac:dyDescent="0.25">
      <c r="D82" s="272"/>
      <c r="E82" s="274"/>
      <c r="F82" s="7"/>
      <c r="M82" s="4"/>
    </row>
    <row r="83" spans="4:13" x14ac:dyDescent="0.25">
      <c r="D83" s="272"/>
      <c r="E83" s="274"/>
      <c r="F83" s="7"/>
      <c r="M83" s="4"/>
    </row>
    <row r="84" spans="4:13" x14ac:dyDescent="0.25">
      <c r="D84" s="272"/>
      <c r="E84" s="274"/>
      <c r="F84" s="7"/>
      <c r="M84" s="4"/>
    </row>
    <row r="85" spans="4:13" x14ac:dyDescent="0.25">
      <c r="D85" s="272"/>
      <c r="E85" s="274"/>
      <c r="F85" s="7"/>
      <c r="M85" s="4"/>
    </row>
    <row r="86" spans="4:13" x14ac:dyDescent="0.25">
      <c r="D86" s="272"/>
      <c r="E86" s="274"/>
      <c r="F86" s="7"/>
      <c r="M86" s="4"/>
    </row>
    <row r="87" spans="4:13" x14ac:dyDescent="0.25">
      <c r="D87" s="272"/>
      <c r="E87" s="274"/>
      <c r="F87" s="7"/>
    </row>
    <row r="88" spans="4:13" x14ac:dyDescent="0.25">
      <c r="D88" s="272"/>
      <c r="E88" s="272"/>
      <c r="F88" s="273"/>
    </row>
    <row r="89" spans="4:13" x14ac:dyDescent="0.25">
      <c r="D89" s="272"/>
      <c r="E89" s="272"/>
      <c r="F89" s="273"/>
    </row>
    <row r="90" spans="4:13" x14ac:dyDescent="0.25">
      <c r="D90" s="272"/>
      <c r="E90" s="272"/>
      <c r="F90" s="273"/>
    </row>
  </sheetData>
  <mergeCells count="17">
    <mergeCell ref="K66:L66"/>
    <mergeCell ref="D68:E68"/>
    <mergeCell ref="I68:J68"/>
    <mergeCell ref="K68:L68"/>
    <mergeCell ref="M62:N62"/>
    <mergeCell ref="D63:E63"/>
    <mergeCell ref="P63:Q63"/>
    <mergeCell ref="D64:E64"/>
    <mergeCell ref="I64:J64"/>
    <mergeCell ref="K64:L64"/>
    <mergeCell ref="C1:K1"/>
    <mergeCell ref="B3:C3"/>
    <mergeCell ref="H3:I3"/>
    <mergeCell ref="E4:F4"/>
    <mergeCell ref="H4:I4"/>
    <mergeCell ref="H62:I62"/>
    <mergeCell ref="K62:L62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G114"/>
  <sheetViews>
    <sheetView zoomScale="115" zoomScaleNormal="115" workbookViewId="0">
      <selection activeCell="E15" sqref="E15"/>
    </sheetView>
  </sheetViews>
  <sheetFormatPr baseColWidth="10" defaultRowHeight="15" x14ac:dyDescent="0.25"/>
  <cols>
    <col min="1" max="1" width="13.42578125" style="60" bestFit="1" customWidth="1"/>
    <col min="2" max="2" width="12.85546875" bestFit="1" customWidth="1"/>
    <col min="3" max="3" width="15.85546875" style="9" bestFit="1" customWidth="1"/>
    <col min="4" max="4" width="12.42578125" bestFit="1" customWidth="1"/>
    <col min="5" max="5" width="15.140625" style="9" bestFit="1" customWidth="1"/>
    <col min="6" max="6" width="19.5703125" style="8" bestFit="1" customWidth="1"/>
  </cols>
  <sheetData>
    <row r="1" spans="1:7" ht="36.75" customHeight="1" x14ac:dyDescent="0.35">
      <c r="B1" s="175" t="s">
        <v>31</v>
      </c>
      <c r="C1" s="176"/>
      <c r="D1" s="177"/>
      <c r="E1" s="176"/>
      <c r="F1" s="178"/>
    </row>
    <row r="2" spans="1:7" ht="16.5" thickBot="1" x14ac:dyDescent="0.3">
      <c r="A2" s="179" t="s">
        <v>5</v>
      </c>
      <c r="B2" s="179" t="s">
        <v>27</v>
      </c>
      <c r="C2" s="180" t="s">
        <v>28</v>
      </c>
      <c r="D2" s="179" t="s">
        <v>29</v>
      </c>
      <c r="E2" s="180" t="s">
        <v>30</v>
      </c>
      <c r="F2" s="180" t="s">
        <v>28</v>
      </c>
    </row>
    <row r="3" spans="1:7" ht="18.75" x14ac:dyDescent="0.3">
      <c r="A3" s="192">
        <v>44258</v>
      </c>
      <c r="B3" s="193" t="s">
        <v>296</v>
      </c>
      <c r="C3" s="71">
        <v>122466.2</v>
      </c>
      <c r="D3" s="194"/>
      <c r="E3" s="6"/>
      <c r="F3" s="182">
        <f>C3-E3</f>
        <v>122466.2</v>
      </c>
    </row>
    <row r="4" spans="1:7" ht="18.75" x14ac:dyDescent="0.3">
      <c r="A4" s="192">
        <v>44258</v>
      </c>
      <c r="B4" s="193" t="s">
        <v>297</v>
      </c>
      <c r="C4" s="71">
        <v>51626.38</v>
      </c>
      <c r="D4" s="195"/>
      <c r="E4" s="71"/>
      <c r="F4" s="183">
        <f>F3+C4-E4</f>
        <v>174092.58</v>
      </c>
      <c r="G4" s="184"/>
    </row>
    <row r="5" spans="1:7" x14ac:dyDescent="0.25">
      <c r="A5" s="195">
        <v>44259</v>
      </c>
      <c r="B5" s="193" t="s">
        <v>298</v>
      </c>
      <c r="C5" s="71">
        <v>87047.21</v>
      </c>
      <c r="D5" s="195"/>
      <c r="E5" s="71"/>
      <c r="F5" s="185">
        <f t="shared" ref="F5:F68" si="0">F4+C5-E5</f>
        <v>261139.78999999998</v>
      </c>
    </row>
    <row r="6" spans="1:7" x14ac:dyDescent="0.25">
      <c r="A6" s="195">
        <v>44260</v>
      </c>
      <c r="B6" s="193" t="s">
        <v>299</v>
      </c>
      <c r="C6" s="71">
        <v>24680.2</v>
      </c>
      <c r="D6" s="195"/>
      <c r="E6" s="71"/>
      <c r="F6" s="185">
        <f t="shared" si="0"/>
        <v>285819.99</v>
      </c>
    </row>
    <row r="7" spans="1:7" x14ac:dyDescent="0.25">
      <c r="A7" s="195">
        <v>44260</v>
      </c>
      <c r="B7" s="193" t="s">
        <v>300</v>
      </c>
      <c r="C7" s="71">
        <v>30592.7</v>
      </c>
      <c r="D7" s="195">
        <v>44260</v>
      </c>
      <c r="E7" s="71">
        <v>316412.69</v>
      </c>
      <c r="F7" s="185">
        <f t="shared" si="0"/>
        <v>0</v>
      </c>
    </row>
    <row r="8" spans="1:7" x14ac:dyDescent="0.25">
      <c r="A8" s="195">
        <v>44261</v>
      </c>
      <c r="B8" s="193" t="s">
        <v>301</v>
      </c>
      <c r="C8" s="71">
        <v>165925.5</v>
      </c>
      <c r="D8" s="195"/>
      <c r="E8" s="71"/>
      <c r="F8" s="185">
        <f t="shared" si="0"/>
        <v>165925.5</v>
      </c>
    </row>
    <row r="9" spans="1:7" x14ac:dyDescent="0.25">
      <c r="A9" s="195">
        <v>44264</v>
      </c>
      <c r="B9" s="193" t="s">
        <v>302</v>
      </c>
      <c r="C9" s="71">
        <v>26980.3</v>
      </c>
      <c r="D9" s="195"/>
      <c r="E9" s="71"/>
      <c r="F9" s="185">
        <f t="shared" si="0"/>
        <v>192905.8</v>
      </c>
    </row>
    <row r="10" spans="1:7" ht="18.75" x14ac:dyDescent="0.3">
      <c r="A10" s="195">
        <v>44264</v>
      </c>
      <c r="B10" s="193" t="s">
        <v>303</v>
      </c>
      <c r="C10" s="71">
        <v>77430.100000000006</v>
      </c>
      <c r="D10" s="195"/>
      <c r="E10" s="71"/>
      <c r="F10" s="185">
        <f t="shared" si="0"/>
        <v>270335.90000000002</v>
      </c>
      <c r="G10" s="184"/>
    </row>
    <row r="11" spans="1:7" x14ac:dyDescent="0.25">
      <c r="A11" s="192">
        <v>44265</v>
      </c>
      <c r="B11" s="193" t="s">
        <v>304</v>
      </c>
      <c r="C11" s="71">
        <v>26714.27</v>
      </c>
      <c r="D11" s="195"/>
      <c r="E11" s="71"/>
      <c r="F11" s="185">
        <f t="shared" si="0"/>
        <v>297050.17000000004</v>
      </c>
    </row>
    <row r="12" spans="1:7" x14ac:dyDescent="0.25">
      <c r="A12" s="195">
        <v>44265</v>
      </c>
      <c r="B12" s="193" t="s">
        <v>305</v>
      </c>
      <c r="C12" s="71">
        <v>6782.4</v>
      </c>
      <c r="D12" s="195"/>
      <c r="E12" s="71"/>
      <c r="F12" s="185">
        <f t="shared" si="0"/>
        <v>303832.57000000007</v>
      </c>
    </row>
    <row r="13" spans="1:7" x14ac:dyDescent="0.25">
      <c r="A13" s="195">
        <v>44266</v>
      </c>
      <c r="B13" s="193" t="s">
        <v>306</v>
      </c>
      <c r="C13" s="71">
        <v>153520.95000000001</v>
      </c>
      <c r="D13" s="195"/>
      <c r="E13" s="71"/>
      <c r="F13" s="185">
        <f t="shared" si="0"/>
        <v>457353.52000000008</v>
      </c>
    </row>
    <row r="14" spans="1:7" x14ac:dyDescent="0.25">
      <c r="A14" s="195">
        <v>44266</v>
      </c>
      <c r="B14" s="193" t="s">
        <v>307</v>
      </c>
      <c r="C14" s="71">
        <v>16410.400000000001</v>
      </c>
      <c r="D14" s="195"/>
      <c r="E14" s="71"/>
      <c r="F14" s="185">
        <f t="shared" si="0"/>
        <v>473763.9200000001</v>
      </c>
    </row>
    <row r="15" spans="1:7" x14ac:dyDescent="0.25">
      <c r="A15" s="195">
        <v>44266</v>
      </c>
      <c r="B15" s="193" t="s">
        <v>308</v>
      </c>
      <c r="C15" s="71">
        <v>300</v>
      </c>
      <c r="D15" s="195"/>
      <c r="E15" s="71"/>
      <c r="F15" s="185">
        <f t="shared" si="0"/>
        <v>474063.9200000001</v>
      </c>
    </row>
    <row r="16" spans="1:7" x14ac:dyDescent="0.25">
      <c r="A16" s="195">
        <v>44267</v>
      </c>
      <c r="B16" s="193" t="s">
        <v>309</v>
      </c>
      <c r="C16" s="71">
        <v>120977.69</v>
      </c>
      <c r="D16" s="195">
        <v>44267</v>
      </c>
      <c r="E16" s="71">
        <v>595041.61</v>
      </c>
      <c r="F16" s="185">
        <f t="shared" si="0"/>
        <v>0</v>
      </c>
    </row>
    <row r="17" spans="1:7" x14ac:dyDescent="0.25">
      <c r="A17" s="195">
        <v>44268</v>
      </c>
      <c r="B17" s="193" t="s">
        <v>310</v>
      </c>
      <c r="C17" s="71">
        <v>28456.1</v>
      </c>
      <c r="D17" s="195"/>
      <c r="E17" s="71"/>
      <c r="F17" s="185">
        <f t="shared" si="0"/>
        <v>28456.1</v>
      </c>
    </row>
    <row r="18" spans="1:7" x14ac:dyDescent="0.25">
      <c r="A18" s="195">
        <v>44268</v>
      </c>
      <c r="B18" s="193" t="s">
        <v>311</v>
      </c>
      <c r="C18" s="71">
        <v>154847.29999999999</v>
      </c>
      <c r="D18" s="195"/>
      <c r="E18" s="71"/>
      <c r="F18" s="185">
        <f t="shared" si="0"/>
        <v>183303.4</v>
      </c>
    </row>
    <row r="19" spans="1:7" x14ac:dyDescent="0.25">
      <c r="A19" s="195">
        <v>44268</v>
      </c>
      <c r="B19" s="193" t="s">
        <v>312</v>
      </c>
      <c r="C19" s="71">
        <v>96474.54</v>
      </c>
      <c r="D19" s="195"/>
      <c r="E19" s="71"/>
      <c r="F19" s="185">
        <f t="shared" si="0"/>
        <v>279777.94</v>
      </c>
    </row>
    <row r="20" spans="1:7" x14ac:dyDescent="0.25">
      <c r="A20" s="195">
        <v>44268</v>
      </c>
      <c r="B20" s="193" t="s">
        <v>313</v>
      </c>
      <c r="C20" s="71">
        <v>825.6</v>
      </c>
      <c r="D20" s="195"/>
      <c r="E20" s="71"/>
      <c r="F20" s="185">
        <f t="shared" si="0"/>
        <v>280603.53999999998</v>
      </c>
    </row>
    <row r="21" spans="1:7" x14ac:dyDescent="0.25">
      <c r="A21" s="195">
        <v>44270</v>
      </c>
      <c r="B21" s="193" t="s">
        <v>314</v>
      </c>
      <c r="C21" s="71">
        <v>24868.1</v>
      </c>
      <c r="D21" s="195"/>
      <c r="E21" s="71"/>
      <c r="F21" s="185">
        <f t="shared" si="0"/>
        <v>305471.63999999996</v>
      </c>
    </row>
    <row r="22" spans="1:7" ht="18.75" x14ac:dyDescent="0.3">
      <c r="A22" s="195">
        <v>44271</v>
      </c>
      <c r="B22" s="193" t="s">
        <v>315</v>
      </c>
      <c r="C22" s="71">
        <v>39809.4</v>
      </c>
      <c r="D22" s="195"/>
      <c r="E22" s="71"/>
      <c r="F22" s="185">
        <f t="shared" si="0"/>
        <v>345281.04</v>
      </c>
      <c r="G22" s="184"/>
    </row>
    <row r="23" spans="1:7" x14ac:dyDescent="0.25">
      <c r="A23" s="195">
        <v>44272</v>
      </c>
      <c r="B23" s="193" t="s">
        <v>316</v>
      </c>
      <c r="C23" s="71">
        <v>140803.73000000001</v>
      </c>
      <c r="D23" s="195"/>
      <c r="E23" s="71"/>
      <c r="F23" s="185">
        <f t="shared" si="0"/>
        <v>486084.77</v>
      </c>
    </row>
    <row r="24" spans="1:7" x14ac:dyDescent="0.25">
      <c r="A24" s="195">
        <v>44273</v>
      </c>
      <c r="B24" s="193" t="s">
        <v>317</v>
      </c>
      <c r="C24" s="71">
        <v>139782.5</v>
      </c>
      <c r="D24" s="195"/>
      <c r="E24" s="71"/>
      <c r="F24" s="185">
        <f t="shared" si="0"/>
        <v>625867.27</v>
      </c>
    </row>
    <row r="25" spans="1:7" x14ac:dyDescent="0.25">
      <c r="A25" s="195">
        <v>44273</v>
      </c>
      <c r="B25" s="193" t="s">
        <v>318</v>
      </c>
      <c r="C25" s="71">
        <v>2600</v>
      </c>
      <c r="D25" s="195"/>
      <c r="E25" s="71"/>
      <c r="F25" s="185">
        <f t="shared" si="0"/>
        <v>628467.27</v>
      </c>
    </row>
    <row r="26" spans="1:7" x14ac:dyDescent="0.25">
      <c r="A26" s="195">
        <v>44273</v>
      </c>
      <c r="B26" s="193" t="s">
        <v>319</v>
      </c>
      <c r="C26" s="71">
        <v>12530.4</v>
      </c>
      <c r="D26" s="195">
        <v>44277</v>
      </c>
      <c r="E26" s="71">
        <v>640997.67000000004</v>
      </c>
      <c r="F26" s="185">
        <f t="shared" si="0"/>
        <v>0</v>
      </c>
    </row>
    <row r="27" spans="1:7" x14ac:dyDescent="0.25">
      <c r="A27" s="195">
        <v>44274</v>
      </c>
      <c r="B27" s="193" t="s">
        <v>320</v>
      </c>
      <c r="C27" s="71">
        <v>79650.899999999994</v>
      </c>
      <c r="D27" s="195"/>
      <c r="E27" s="71"/>
      <c r="F27" s="185">
        <f t="shared" si="0"/>
        <v>79650.899999999994</v>
      </c>
    </row>
    <row r="28" spans="1:7" x14ac:dyDescent="0.25">
      <c r="A28" s="195">
        <v>44275</v>
      </c>
      <c r="B28" s="193" t="s">
        <v>321</v>
      </c>
      <c r="C28" s="71">
        <v>177826.5</v>
      </c>
      <c r="D28" s="195"/>
      <c r="E28" s="71"/>
      <c r="F28" s="185">
        <f t="shared" si="0"/>
        <v>257477.4</v>
      </c>
    </row>
    <row r="29" spans="1:7" x14ac:dyDescent="0.25">
      <c r="A29" s="195">
        <v>44275</v>
      </c>
      <c r="B29" s="193" t="s">
        <v>322</v>
      </c>
      <c r="C29" s="71">
        <v>2870.4</v>
      </c>
      <c r="D29" s="195"/>
      <c r="E29" s="71"/>
      <c r="F29" s="185">
        <f t="shared" si="0"/>
        <v>260347.8</v>
      </c>
    </row>
    <row r="30" spans="1:7" ht="18.75" x14ac:dyDescent="0.3">
      <c r="A30" s="195">
        <v>44278</v>
      </c>
      <c r="B30" s="193" t="s">
        <v>323</v>
      </c>
      <c r="C30" s="71">
        <v>137123.6</v>
      </c>
      <c r="D30" s="195"/>
      <c r="E30" s="71"/>
      <c r="F30" s="185">
        <f t="shared" si="0"/>
        <v>397471.4</v>
      </c>
      <c r="G30" s="184"/>
    </row>
    <row r="31" spans="1:7" x14ac:dyDescent="0.25">
      <c r="A31" s="195">
        <v>44278</v>
      </c>
      <c r="B31" s="193" t="s">
        <v>324</v>
      </c>
      <c r="C31" s="71">
        <v>27636.6</v>
      </c>
      <c r="D31" s="195"/>
      <c r="E31" s="71"/>
      <c r="F31" s="185">
        <f t="shared" si="0"/>
        <v>425108</v>
      </c>
    </row>
    <row r="32" spans="1:7" x14ac:dyDescent="0.25">
      <c r="A32" s="192">
        <v>44279</v>
      </c>
      <c r="B32" s="193" t="s">
        <v>325</v>
      </c>
      <c r="C32" s="71">
        <v>2470</v>
      </c>
      <c r="D32" s="195"/>
      <c r="E32" s="71"/>
      <c r="F32" s="185">
        <f t="shared" si="0"/>
        <v>427578</v>
      </c>
    </row>
    <row r="33" spans="1:6" x14ac:dyDescent="0.25">
      <c r="A33" s="192">
        <v>44279</v>
      </c>
      <c r="B33" s="193" t="s">
        <v>326</v>
      </c>
      <c r="C33" s="71">
        <v>91347.7</v>
      </c>
      <c r="D33" s="195"/>
      <c r="E33" s="71"/>
      <c r="F33" s="185">
        <f t="shared" si="0"/>
        <v>518925.7</v>
      </c>
    </row>
    <row r="34" spans="1:6" x14ac:dyDescent="0.25">
      <c r="A34" s="192">
        <v>44280</v>
      </c>
      <c r="B34" s="193" t="s">
        <v>327</v>
      </c>
      <c r="C34" s="71">
        <v>242148.25</v>
      </c>
      <c r="D34" s="195">
        <v>44281</v>
      </c>
      <c r="E34" s="71">
        <v>761073.95</v>
      </c>
      <c r="F34" s="185">
        <f t="shared" si="0"/>
        <v>0</v>
      </c>
    </row>
    <row r="35" spans="1:6" x14ac:dyDescent="0.25">
      <c r="A35" s="192">
        <v>44280</v>
      </c>
      <c r="B35" s="193" t="s">
        <v>328</v>
      </c>
      <c r="C35" s="71">
        <v>38364.6</v>
      </c>
      <c r="D35" s="195"/>
      <c r="E35" s="71"/>
      <c r="F35" s="185">
        <f t="shared" si="0"/>
        <v>38364.6</v>
      </c>
    </row>
    <row r="36" spans="1:6" x14ac:dyDescent="0.25">
      <c r="A36" s="192">
        <v>44281</v>
      </c>
      <c r="B36" s="193" t="s">
        <v>329</v>
      </c>
      <c r="C36" s="71">
        <v>41005.519999999997</v>
      </c>
      <c r="D36" s="195"/>
      <c r="E36" s="71"/>
      <c r="F36" s="185">
        <f t="shared" si="0"/>
        <v>79370.12</v>
      </c>
    </row>
    <row r="37" spans="1:6" x14ac:dyDescent="0.25">
      <c r="A37" s="195">
        <v>44281</v>
      </c>
      <c r="B37" s="193" t="s">
        <v>330</v>
      </c>
      <c r="C37" s="71">
        <v>1769.3</v>
      </c>
      <c r="D37" s="195"/>
      <c r="E37" s="71"/>
      <c r="F37" s="185">
        <f t="shared" si="0"/>
        <v>81139.42</v>
      </c>
    </row>
    <row r="38" spans="1:6" x14ac:dyDescent="0.25">
      <c r="A38" s="195">
        <v>44281</v>
      </c>
      <c r="B38" s="193" t="s">
        <v>331</v>
      </c>
      <c r="C38" s="71">
        <v>92578.6</v>
      </c>
      <c r="D38" s="195"/>
      <c r="E38" s="71"/>
      <c r="F38" s="185">
        <f t="shared" si="0"/>
        <v>173718.02000000002</v>
      </c>
    </row>
    <row r="39" spans="1:6" x14ac:dyDescent="0.25">
      <c r="A39" s="195">
        <v>44282</v>
      </c>
      <c r="B39" s="193" t="s">
        <v>332</v>
      </c>
      <c r="C39" s="71">
        <v>14621.8</v>
      </c>
      <c r="D39" s="195"/>
      <c r="E39" s="71"/>
      <c r="F39" s="185">
        <f t="shared" si="0"/>
        <v>188339.82</v>
      </c>
    </row>
    <row r="40" spans="1:6" x14ac:dyDescent="0.25">
      <c r="A40" s="192">
        <v>44282</v>
      </c>
      <c r="B40" s="193" t="s">
        <v>333</v>
      </c>
      <c r="C40" s="71">
        <v>228316.4</v>
      </c>
      <c r="D40" s="195"/>
      <c r="E40" s="71"/>
      <c r="F40" s="185">
        <f t="shared" si="0"/>
        <v>416656.22</v>
      </c>
    </row>
    <row r="41" spans="1:6" x14ac:dyDescent="0.25">
      <c r="A41" s="192">
        <v>44283</v>
      </c>
      <c r="B41" s="193" t="s">
        <v>334</v>
      </c>
      <c r="C41" s="71">
        <v>42018.2</v>
      </c>
      <c r="D41" s="195"/>
      <c r="E41" s="71"/>
      <c r="F41" s="185">
        <f t="shared" si="0"/>
        <v>458674.42</v>
      </c>
    </row>
    <row r="42" spans="1:6" x14ac:dyDescent="0.25">
      <c r="A42" s="192">
        <v>44284</v>
      </c>
      <c r="B42" s="193" t="s">
        <v>335</v>
      </c>
      <c r="C42" s="71">
        <v>162130.79</v>
      </c>
      <c r="D42" s="195"/>
      <c r="E42" s="71"/>
      <c r="F42" s="185">
        <f t="shared" si="0"/>
        <v>620805.21</v>
      </c>
    </row>
    <row r="43" spans="1:6" hidden="1" x14ac:dyDescent="0.25">
      <c r="A43" s="192"/>
      <c r="B43" s="193"/>
      <c r="C43" s="71"/>
      <c r="D43" s="195"/>
      <c r="E43" s="71"/>
      <c r="F43" s="185">
        <f t="shared" si="0"/>
        <v>620805.21</v>
      </c>
    </row>
    <row r="44" spans="1:6" hidden="1" x14ac:dyDescent="0.25">
      <c r="A44" s="192"/>
      <c r="B44" s="193"/>
      <c r="C44" s="71"/>
      <c r="D44" s="195"/>
      <c r="E44" s="71"/>
      <c r="F44" s="185">
        <f t="shared" si="0"/>
        <v>620805.21</v>
      </c>
    </row>
    <row r="45" spans="1:6" hidden="1" x14ac:dyDescent="0.25">
      <c r="A45" s="192"/>
      <c r="B45" s="193"/>
      <c r="C45" s="71"/>
      <c r="D45" s="195"/>
      <c r="E45" s="71"/>
      <c r="F45" s="185">
        <f t="shared" si="0"/>
        <v>620805.21</v>
      </c>
    </row>
    <row r="46" spans="1:6" hidden="1" x14ac:dyDescent="0.25">
      <c r="A46" s="192"/>
      <c r="B46" s="193"/>
      <c r="C46" s="71"/>
      <c r="D46" s="195"/>
      <c r="E46" s="71"/>
      <c r="F46" s="185">
        <f t="shared" si="0"/>
        <v>620805.21</v>
      </c>
    </row>
    <row r="47" spans="1:6" hidden="1" x14ac:dyDescent="0.25">
      <c r="A47" s="192"/>
      <c r="B47" s="193"/>
      <c r="C47" s="71"/>
      <c r="D47" s="195"/>
      <c r="E47" s="71"/>
      <c r="F47" s="185">
        <f t="shared" si="0"/>
        <v>620805.21</v>
      </c>
    </row>
    <row r="48" spans="1:6" hidden="1" x14ac:dyDescent="0.25">
      <c r="A48" s="192"/>
      <c r="B48" s="193"/>
      <c r="C48" s="71"/>
      <c r="D48" s="195"/>
      <c r="E48" s="71"/>
      <c r="F48" s="185">
        <f t="shared" si="0"/>
        <v>620805.21</v>
      </c>
    </row>
    <row r="49" spans="1:6" hidden="1" x14ac:dyDescent="0.25">
      <c r="A49" s="192"/>
      <c r="B49" s="193"/>
      <c r="C49" s="71"/>
      <c r="D49" s="195"/>
      <c r="E49" s="71"/>
      <c r="F49" s="185">
        <f t="shared" si="0"/>
        <v>620805.21</v>
      </c>
    </row>
    <row r="50" spans="1:6" hidden="1" x14ac:dyDescent="0.25">
      <c r="A50" s="192"/>
      <c r="B50" s="193"/>
      <c r="C50" s="71"/>
      <c r="D50" s="195"/>
      <c r="E50" s="71"/>
      <c r="F50" s="185">
        <f t="shared" si="0"/>
        <v>620805.21</v>
      </c>
    </row>
    <row r="51" spans="1:6" hidden="1" x14ac:dyDescent="0.25">
      <c r="A51" s="192"/>
      <c r="B51" s="193"/>
      <c r="C51" s="71"/>
      <c r="D51" s="195"/>
      <c r="E51" s="71"/>
      <c r="F51" s="185">
        <f t="shared" si="0"/>
        <v>620805.21</v>
      </c>
    </row>
    <row r="52" spans="1:6" hidden="1" x14ac:dyDescent="0.25">
      <c r="A52" s="192"/>
      <c r="B52" s="193"/>
      <c r="C52" s="71"/>
      <c r="D52" s="195"/>
      <c r="E52" s="71"/>
      <c r="F52" s="185">
        <f t="shared" si="0"/>
        <v>620805.21</v>
      </c>
    </row>
    <row r="53" spans="1:6" hidden="1" x14ac:dyDescent="0.25">
      <c r="A53" s="192"/>
      <c r="B53" s="193"/>
      <c r="C53" s="71"/>
      <c r="D53" s="195"/>
      <c r="E53" s="71"/>
      <c r="F53" s="185">
        <f t="shared" si="0"/>
        <v>620805.21</v>
      </c>
    </row>
    <row r="54" spans="1:6" hidden="1" x14ac:dyDescent="0.25">
      <c r="A54" s="192"/>
      <c r="B54" s="193"/>
      <c r="C54" s="71"/>
      <c r="D54" s="195"/>
      <c r="E54" s="71"/>
      <c r="F54" s="185">
        <f t="shared" si="0"/>
        <v>620805.21</v>
      </c>
    </row>
    <row r="55" spans="1:6" hidden="1" x14ac:dyDescent="0.25">
      <c r="A55" s="192"/>
      <c r="B55" s="193"/>
      <c r="C55" s="71"/>
      <c r="D55" s="195"/>
      <c r="E55" s="71"/>
      <c r="F55" s="185">
        <f t="shared" si="0"/>
        <v>620805.21</v>
      </c>
    </row>
    <row r="56" spans="1:6" hidden="1" x14ac:dyDescent="0.25">
      <c r="A56" s="192"/>
      <c r="B56" s="193"/>
      <c r="C56" s="71"/>
      <c r="D56" s="195"/>
      <c r="E56" s="71"/>
      <c r="F56" s="185">
        <f t="shared" si="0"/>
        <v>620805.21</v>
      </c>
    </row>
    <row r="57" spans="1:6" hidden="1" x14ac:dyDescent="0.25">
      <c r="A57" s="192"/>
      <c r="B57" s="193"/>
      <c r="C57" s="71"/>
      <c r="D57" s="195"/>
      <c r="E57" s="71"/>
      <c r="F57" s="185">
        <f t="shared" si="0"/>
        <v>620805.21</v>
      </c>
    </row>
    <row r="58" spans="1:6" hidden="1" x14ac:dyDescent="0.25">
      <c r="A58" s="192"/>
      <c r="B58" s="193"/>
      <c r="C58" s="71"/>
      <c r="D58" s="195"/>
      <c r="E58" s="71"/>
      <c r="F58" s="185">
        <f t="shared" si="0"/>
        <v>620805.21</v>
      </c>
    </row>
    <row r="59" spans="1:6" hidden="1" x14ac:dyDescent="0.25">
      <c r="A59" s="192"/>
      <c r="B59" s="193"/>
      <c r="C59" s="71"/>
      <c r="D59" s="195"/>
      <c r="E59" s="71"/>
      <c r="F59" s="185">
        <f t="shared" si="0"/>
        <v>620805.21</v>
      </c>
    </row>
    <row r="60" spans="1:6" hidden="1" x14ac:dyDescent="0.25">
      <c r="A60" s="192"/>
      <c r="B60" s="193"/>
      <c r="C60" s="71"/>
      <c r="D60" s="195"/>
      <c r="E60" s="71"/>
      <c r="F60" s="185">
        <f t="shared" si="0"/>
        <v>620805.21</v>
      </c>
    </row>
    <row r="61" spans="1:6" hidden="1" x14ac:dyDescent="0.25">
      <c r="A61" s="186"/>
      <c r="B61" s="187"/>
      <c r="C61" s="7"/>
      <c r="D61" s="181"/>
      <c r="E61" s="7"/>
      <c r="F61" s="185">
        <f t="shared" si="0"/>
        <v>620805.21</v>
      </c>
    </row>
    <row r="62" spans="1:6" hidden="1" x14ac:dyDescent="0.25">
      <c r="A62" s="186"/>
      <c r="B62" s="187"/>
      <c r="C62" s="7"/>
      <c r="D62" s="181"/>
      <c r="E62" s="7"/>
      <c r="F62" s="185">
        <f t="shared" si="0"/>
        <v>620805.21</v>
      </c>
    </row>
    <row r="63" spans="1:6" hidden="1" x14ac:dyDescent="0.25">
      <c r="A63" s="186"/>
      <c r="B63" s="187"/>
      <c r="C63" s="7"/>
      <c r="D63" s="181"/>
      <c r="E63" s="7"/>
      <c r="F63" s="185">
        <f t="shared" si="0"/>
        <v>620805.21</v>
      </c>
    </row>
    <row r="64" spans="1:6" hidden="1" x14ac:dyDescent="0.25">
      <c r="A64" s="186"/>
      <c r="B64" s="187"/>
      <c r="C64" s="7"/>
      <c r="D64" s="181"/>
      <c r="E64" s="7"/>
      <c r="F64" s="185">
        <f t="shared" si="0"/>
        <v>620805.21</v>
      </c>
    </row>
    <row r="65" spans="1:6" hidden="1" x14ac:dyDescent="0.25">
      <c r="A65" s="186"/>
      <c r="B65" s="187"/>
      <c r="C65" s="7"/>
      <c r="D65" s="181"/>
      <c r="E65" s="7"/>
      <c r="F65" s="185">
        <f t="shared" si="0"/>
        <v>620805.21</v>
      </c>
    </row>
    <row r="66" spans="1:6" x14ac:dyDescent="0.25">
      <c r="A66" s="186">
        <v>44285</v>
      </c>
      <c r="B66" s="187" t="s">
        <v>336</v>
      </c>
      <c r="C66" s="7">
        <v>160527.9</v>
      </c>
      <c r="D66" s="181">
        <v>44285</v>
      </c>
      <c r="E66" s="7">
        <v>781333.11</v>
      </c>
      <c r="F66" s="185">
        <f t="shared" si="0"/>
        <v>0</v>
      </c>
    </row>
    <row r="67" spans="1:6" x14ac:dyDescent="0.25">
      <c r="A67" s="270">
        <v>44287</v>
      </c>
      <c r="B67" s="268" t="s">
        <v>337</v>
      </c>
      <c r="C67" s="71">
        <v>242606.96</v>
      </c>
      <c r="D67" s="269"/>
      <c r="E67" s="71"/>
      <c r="F67" s="185">
        <f t="shared" si="0"/>
        <v>242606.96</v>
      </c>
    </row>
    <row r="68" spans="1:6" x14ac:dyDescent="0.25">
      <c r="A68" s="270">
        <v>44289</v>
      </c>
      <c r="B68" s="268" t="s">
        <v>338</v>
      </c>
      <c r="C68" s="71">
        <v>172693.3</v>
      </c>
      <c r="D68" s="269"/>
      <c r="E68" s="71"/>
      <c r="F68" s="185">
        <f t="shared" si="0"/>
        <v>415300.26</v>
      </c>
    </row>
    <row r="69" spans="1:6" x14ac:dyDescent="0.25">
      <c r="A69" s="270">
        <v>44290</v>
      </c>
      <c r="B69" s="268" t="s">
        <v>339</v>
      </c>
      <c r="C69" s="71">
        <v>3078.5</v>
      </c>
      <c r="D69" s="269"/>
      <c r="E69" s="71"/>
      <c r="F69" s="185">
        <f t="shared" ref="F69:F77" si="1">F68+C69-E69</f>
        <v>418378.76</v>
      </c>
    </row>
    <row r="70" spans="1:6" x14ac:dyDescent="0.25">
      <c r="A70" s="270">
        <v>44291</v>
      </c>
      <c r="B70" s="268" t="s">
        <v>340</v>
      </c>
      <c r="C70" s="71">
        <v>66034.100000000006</v>
      </c>
      <c r="D70" s="269">
        <v>44295</v>
      </c>
      <c r="E70" s="71">
        <v>484412.86</v>
      </c>
      <c r="F70" s="185">
        <f t="shared" si="1"/>
        <v>0</v>
      </c>
    </row>
    <row r="71" spans="1:6" x14ac:dyDescent="0.25">
      <c r="A71" s="270"/>
      <c r="B71" s="268"/>
      <c r="C71" s="71"/>
      <c r="D71" s="269"/>
      <c r="E71" s="71"/>
      <c r="F71" s="185">
        <f t="shared" si="1"/>
        <v>0</v>
      </c>
    </row>
    <row r="72" spans="1:6" x14ac:dyDescent="0.25">
      <c r="A72" s="270"/>
      <c r="B72" s="268"/>
      <c r="C72" s="71"/>
      <c r="D72" s="269"/>
      <c r="E72" s="71"/>
      <c r="F72" s="185">
        <f t="shared" si="1"/>
        <v>0</v>
      </c>
    </row>
    <row r="73" spans="1:6" x14ac:dyDescent="0.25">
      <c r="A73" s="270"/>
      <c r="B73" s="268"/>
      <c r="C73" s="71"/>
      <c r="D73" s="269"/>
      <c r="E73" s="71"/>
      <c r="F73" s="185">
        <f t="shared" si="1"/>
        <v>0</v>
      </c>
    </row>
    <row r="74" spans="1:6" x14ac:dyDescent="0.25">
      <c r="A74" s="270"/>
      <c r="B74" s="268"/>
      <c r="C74" s="71"/>
      <c r="D74" s="269"/>
      <c r="E74" s="71"/>
      <c r="F74" s="185">
        <f t="shared" si="1"/>
        <v>0</v>
      </c>
    </row>
    <row r="75" spans="1:6" x14ac:dyDescent="0.25">
      <c r="A75" s="270"/>
      <c r="B75" s="268"/>
      <c r="C75" s="71"/>
      <c r="D75" s="269"/>
      <c r="E75" s="71"/>
      <c r="F75" s="185">
        <f t="shared" si="1"/>
        <v>0</v>
      </c>
    </row>
    <row r="76" spans="1:6" x14ac:dyDescent="0.25">
      <c r="A76" s="270"/>
      <c r="B76" s="268"/>
      <c r="C76" s="71"/>
      <c r="D76" s="269"/>
      <c r="E76" s="71"/>
      <c r="F76" s="185">
        <f t="shared" si="1"/>
        <v>0</v>
      </c>
    </row>
    <row r="77" spans="1:6" ht="15.75" thickBot="1" x14ac:dyDescent="0.3">
      <c r="A77" s="188"/>
      <c r="B77" s="189"/>
      <c r="C77" s="84">
        <v>0</v>
      </c>
      <c r="D77" s="190"/>
      <c r="E77" s="84"/>
      <c r="F77" s="185">
        <f t="shared" si="1"/>
        <v>0</v>
      </c>
    </row>
    <row r="78" spans="1:6" ht="19.5" thickTop="1" x14ac:dyDescent="0.3">
      <c r="B78" s="60"/>
      <c r="C78" s="4">
        <f>SUM(C3:C77)</f>
        <v>3579271.8899999997</v>
      </c>
      <c r="D78" s="1"/>
      <c r="E78" s="4">
        <f>SUM(E3:E77)</f>
        <v>3579271.8899999997</v>
      </c>
      <c r="F78" s="191">
        <f>F77</f>
        <v>0</v>
      </c>
    </row>
    <row r="79" spans="1:6" x14ac:dyDescent="0.25">
      <c r="B79" s="60"/>
      <c r="C79" s="4"/>
      <c r="D79" s="1"/>
      <c r="E79" s="8"/>
      <c r="F79" s="4"/>
    </row>
    <row r="80" spans="1:6" x14ac:dyDescent="0.25">
      <c r="B80" s="60"/>
      <c r="C80" s="4"/>
      <c r="D80" s="1"/>
      <c r="E80" s="8"/>
      <c r="F80" s="4"/>
    </row>
    <row r="81" spans="1:6" x14ac:dyDescent="0.25">
      <c r="A81"/>
      <c r="B81" s="34"/>
      <c r="D81" s="34"/>
    </row>
    <row r="82" spans="1:6" x14ac:dyDescent="0.25">
      <c r="A82"/>
      <c r="B82" s="34"/>
      <c r="D82" s="34"/>
    </row>
    <row r="83" spans="1:6" x14ac:dyDescent="0.25">
      <c r="A83"/>
      <c r="B83" s="34"/>
      <c r="D83" s="34"/>
    </row>
    <row r="84" spans="1:6" x14ac:dyDescent="0.25">
      <c r="A84"/>
      <c r="B84" s="34"/>
      <c r="D84" s="34"/>
      <c r="F84"/>
    </row>
    <row r="85" spans="1:6" x14ac:dyDescent="0.25">
      <c r="A85"/>
      <c r="B85" s="34"/>
      <c r="D85" s="34"/>
      <c r="F85"/>
    </row>
    <row r="86" spans="1:6" x14ac:dyDescent="0.25">
      <c r="A86"/>
      <c r="B86" s="34"/>
      <c r="D86" s="34"/>
      <c r="F86"/>
    </row>
    <row r="87" spans="1:6" x14ac:dyDescent="0.25">
      <c r="A87"/>
      <c r="B87" s="34"/>
      <c r="D87" s="34"/>
      <c r="F87"/>
    </row>
    <row r="88" spans="1:6" x14ac:dyDescent="0.25">
      <c r="A88"/>
      <c r="B88" s="34"/>
      <c r="D88" s="34"/>
      <c r="F88"/>
    </row>
    <row r="89" spans="1:6" x14ac:dyDescent="0.25">
      <c r="A89"/>
      <c r="B89" s="34"/>
      <c r="D89" s="34"/>
      <c r="F89"/>
    </row>
    <row r="90" spans="1:6" x14ac:dyDescent="0.25">
      <c r="A90"/>
      <c r="B90" s="34"/>
      <c r="D90" s="34"/>
      <c r="F90"/>
    </row>
    <row r="91" spans="1:6" x14ac:dyDescent="0.25">
      <c r="A91"/>
      <c r="B91" s="34"/>
      <c r="D91" s="34"/>
      <c r="F91"/>
    </row>
    <row r="92" spans="1:6" x14ac:dyDescent="0.25">
      <c r="A92"/>
      <c r="B92" s="34"/>
      <c r="D92" s="34"/>
      <c r="F92"/>
    </row>
    <row r="93" spans="1:6" x14ac:dyDescent="0.25">
      <c r="A93"/>
      <c r="B93" s="34"/>
      <c r="D93" s="34"/>
      <c r="E93"/>
      <c r="F93"/>
    </row>
    <row r="94" spans="1:6" x14ac:dyDescent="0.25">
      <c r="A94"/>
      <c r="B94" s="34"/>
      <c r="D94" s="34"/>
      <c r="E94"/>
      <c r="F94"/>
    </row>
    <row r="95" spans="1:6" x14ac:dyDescent="0.25">
      <c r="A95"/>
      <c r="B95" s="34"/>
      <c r="D95" s="34"/>
      <c r="E95"/>
      <c r="F95"/>
    </row>
    <row r="96" spans="1:6" x14ac:dyDescent="0.25">
      <c r="A96"/>
      <c r="B96" s="34"/>
      <c r="D96" s="34"/>
      <c r="E96"/>
      <c r="F96"/>
    </row>
    <row r="97" spans="1:6" x14ac:dyDescent="0.25">
      <c r="A97"/>
      <c r="B97" s="34"/>
      <c r="D97" s="34"/>
      <c r="E97"/>
      <c r="F97"/>
    </row>
    <row r="98" spans="1:6" x14ac:dyDescent="0.25">
      <c r="A98"/>
      <c r="B98" s="34"/>
      <c r="D98" s="34"/>
      <c r="E98"/>
      <c r="F98"/>
    </row>
    <row r="99" spans="1:6" x14ac:dyDescent="0.25">
      <c r="B99" s="34"/>
      <c r="D99" s="34"/>
      <c r="E99"/>
    </row>
    <row r="100" spans="1:6" x14ac:dyDescent="0.25">
      <c r="B100" s="34"/>
      <c r="D100" s="34"/>
      <c r="E100"/>
    </row>
    <row r="101" spans="1:6" x14ac:dyDescent="0.25">
      <c r="B101" s="34"/>
      <c r="D101" s="34"/>
      <c r="E101"/>
    </row>
    <row r="102" spans="1:6" x14ac:dyDescent="0.25">
      <c r="B102" s="34"/>
      <c r="D102" s="34"/>
      <c r="E102"/>
    </row>
    <row r="103" spans="1:6" x14ac:dyDescent="0.25">
      <c r="B103" s="34"/>
      <c r="D103" s="34"/>
      <c r="E103"/>
    </row>
    <row r="104" spans="1:6" x14ac:dyDescent="0.25">
      <c r="B104" s="34"/>
      <c r="D104" s="34"/>
      <c r="E104"/>
    </row>
    <row r="105" spans="1:6" x14ac:dyDescent="0.25">
      <c r="B105" s="34"/>
      <c r="D105" s="34"/>
      <c r="E105"/>
    </row>
    <row r="106" spans="1:6" x14ac:dyDescent="0.25">
      <c r="B106" s="34"/>
      <c r="D106" s="34"/>
      <c r="E106"/>
    </row>
    <row r="107" spans="1:6" x14ac:dyDescent="0.25">
      <c r="B107" s="34"/>
      <c r="D107" s="34"/>
      <c r="E107"/>
    </row>
    <row r="108" spans="1:6" x14ac:dyDescent="0.25">
      <c r="B108" s="34"/>
    </row>
    <row r="109" spans="1:6" x14ac:dyDescent="0.25">
      <c r="B109" s="34"/>
    </row>
    <row r="110" spans="1:6" x14ac:dyDescent="0.25">
      <c r="B110" s="34"/>
      <c r="D110" s="34"/>
    </row>
    <row r="111" spans="1:6" x14ac:dyDescent="0.25">
      <c r="B111" s="34"/>
    </row>
    <row r="112" spans="1:6" x14ac:dyDescent="0.25">
      <c r="B112" s="34"/>
    </row>
    <row r="113" spans="2:3" x14ac:dyDescent="0.25">
      <c r="B113" s="34"/>
    </row>
    <row r="114" spans="2:3" ht="18.75" x14ac:dyDescent="0.3">
      <c r="C114" s="12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6666FF"/>
  </sheetPr>
  <dimension ref="A1:W86"/>
  <sheetViews>
    <sheetView topLeftCell="G28" zoomScale="115" zoomScaleNormal="115" workbookViewId="0">
      <selection activeCell="K49" sqref="K49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9" customWidth="1"/>
    <col min="4" max="4" width="15.28515625" customWidth="1"/>
    <col min="6" max="6" width="17.85546875" style="9" customWidth="1"/>
    <col min="7" max="7" width="2.85546875" customWidth="1"/>
    <col min="9" max="9" width="14.140625" style="9" customWidth="1"/>
    <col min="10" max="10" width="11.7109375" style="16" customWidth="1"/>
    <col min="11" max="11" width="17.28515625" customWidth="1"/>
    <col min="12" max="12" width="14.5703125" style="8" customWidth="1"/>
    <col min="13" max="13" width="18.140625" style="9" customWidth="1"/>
    <col min="14" max="14" width="14.140625" style="4" customWidth="1"/>
    <col min="15" max="15" width="7.5703125" style="13" customWidth="1"/>
    <col min="16" max="16" width="15.5703125" style="6" bestFit="1" customWidth="1"/>
    <col min="17" max="17" width="14.42578125" style="6" customWidth="1"/>
    <col min="18" max="18" width="11.28515625" style="6" bestFit="1" customWidth="1"/>
    <col min="19" max="19" width="15.5703125" style="7" bestFit="1" customWidth="1"/>
    <col min="21" max="22" width="11.42578125" style="204"/>
    <col min="23" max="23" width="11.42578125" style="8"/>
  </cols>
  <sheetData>
    <row r="1" spans="1:23" ht="20.25" customHeight="1" thickBot="1" x14ac:dyDescent="0.4">
      <c r="C1" s="540" t="s">
        <v>430</v>
      </c>
      <c r="D1" s="540"/>
      <c r="E1" s="540"/>
      <c r="F1" s="540"/>
      <c r="G1" s="540"/>
      <c r="H1" s="540"/>
      <c r="I1" s="540"/>
      <c r="J1" s="540"/>
      <c r="K1" s="540"/>
      <c r="L1" s="2"/>
      <c r="M1" s="3"/>
      <c r="U1" s="209"/>
      <c r="V1" s="205" t="s">
        <v>52</v>
      </c>
      <c r="W1" s="206"/>
    </row>
    <row r="2" spans="1:23" ht="15" customHeight="1" thickBot="1" x14ac:dyDescent="0.3">
      <c r="C2" s="8"/>
      <c r="H2" s="10" t="s">
        <v>0</v>
      </c>
      <c r="I2" s="3"/>
      <c r="J2" s="11"/>
      <c r="L2" s="12"/>
      <c r="M2" s="3"/>
      <c r="N2" s="6"/>
      <c r="U2" s="214" t="s">
        <v>53</v>
      </c>
      <c r="V2" s="215" t="s">
        <v>5</v>
      </c>
      <c r="W2" s="216" t="s">
        <v>28</v>
      </c>
    </row>
    <row r="3" spans="1:23" ht="18" customHeight="1" thickBot="1" x14ac:dyDescent="0.35">
      <c r="B3" s="541" t="s">
        <v>1</v>
      </c>
      <c r="C3" s="542"/>
      <c r="D3" s="14"/>
      <c r="E3" s="15"/>
      <c r="F3" s="15"/>
      <c r="H3" s="543" t="s">
        <v>2</v>
      </c>
      <c r="I3" s="543"/>
      <c r="K3" s="17" t="s">
        <v>3</v>
      </c>
      <c r="L3" s="17" t="s">
        <v>4</v>
      </c>
      <c r="M3" s="18"/>
      <c r="U3" s="213" t="s">
        <v>54</v>
      </c>
      <c r="V3" s="219">
        <v>44201</v>
      </c>
      <c r="W3" s="198">
        <v>2000</v>
      </c>
    </row>
    <row r="4" spans="1:23" ht="20.25" thickTop="1" thickBot="1" x14ac:dyDescent="0.35">
      <c r="A4" s="20" t="s">
        <v>6</v>
      </c>
      <c r="B4" s="21"/>
      <c r="C4" s="22">
        <v>215362.9</v>
      </c>
      <c r="D4" s="23">
        <v>44291</v>
      </c>
      <c r="E4" s="544" t="s">
        <v>7</v>
      </c>
      <c r="F4" s="545"/>
      <c r="H4" s="546" t="s">
        <v>8</v>
      </c>
      <c r="I4" s="574"/>
      <c r="J4" s="24"/>
      <c r="K4" s="25"/>
      <c r="L4" s="26"/>
      <c r="M4" s="27" t="s">
        <v>9</v>
      </c>
      <c r="N4" s="28" t="s">
        <v>10</v>
      </c>
      <c r="O4" s="29"/>
      <c r="P4" s="30"/>
      <c r="Q4" s="31"/>
      <c r="R4" s="30"/>
      <c r="S4" s="30"/>
      <c r="U4" s="213" t="s">
        <v>55</v>
      </c>
      <c r="V4" s="219">
        <v>44209</v>
      </c>
      <c r="W4" s="217">
        <v>2000</v>
      </c>
    </row>
    <row r="5" spans="1:23" ht="15.75" thickBot="1" x14ac:dyDescent="0.3">
      <c r="A5" s="34" t="s">
        <v>11</v>
      </c>
      <c r="B5" s="134">
        <v>44292</v>
      </c>
      <c r="C5" s="36">
        <v>2270</v>
      </c>
      <c r="D5" s="135" t="s">
        <v>45</v>
      </c>
      <c r="E5" s="136">
        <v>44292</v>
      </c>
      <c r="F5" s="37">
        <v>78786</v>
      </c>
      <c r="G5" s="137"/>
      <c r="H5" s="138">
        <v>44292</v>
      </c>
      <c r="I5" s="38">
        <v>535</v>
      </c>
      <c r="J5" s="39"/>
      <c r="K5" s="157"/>
      <c r="L5" s="6"/>
      <c r="M5" s="41">
        <v>76893</v>
      </c>
      <c r="N5" s="42">
        <v>6489</v>
      </c>
      <c r="O5" s="29"/>
      <c r="P5" s="7">
        <f>C5+I5+M5+N5</f>
        <v>86187</v>
      </c>
      <c r="Q5" s="201">
        <f>P5-F5</f>
        <v>7401</v>
      </c>
      <c r="R5" s="7"/>
      <c r="U5" s="213" t="s">
        <v>56</v>
      </c>
      <c r="V5" s="220">
        <v>44216</v>
      </c>
      <c r="W5" s="218">
        <v>2000</v>
      </c>
    </row>
    <row r="6" spans="1:23" ht="16.5" thickBot="1" x14ac:dyDescent="0.3">
      <c r="A6" s="34"/>
      <c r="B6" s="134">
        <v>44293</v>
      </c>
      <c r="C6" s="36">
        <v>16227</v>
      </c>
      <c r="D6" s="139" t="s">
        <v>342</v>
      </c>
      <c r="E6" s="136">
        <v>44293</v>
      </c>
      <c r="F6" s="37">
        <v>91544</v>
      </c>
      <c r="G6" s="137"/>
      <c r="H6" s="138">
        <v>44293</v>
      </c>
      <c r="I6" s="43">
        <v>495</v>
      </c>
      <c r="J6" s="44"/>
      <c r="K6" s="151"/>
      <c r="L6" s="46"/>
      <c r="M6" s="41">
        <v>110430</v>
      </c>
      <c r="N6" s="42">
        <v>3411</v>
      </c>
      <c r="O6" s="47" t="s">
        <v>351</v>
      </c>
      <c r="P6" s="7">
        <f>C6+I6+M6+N6+L6</f>
        <v>130563</v>
      </c>
      <c r="Q6" s="201">
        <f>P6-F6</f>
        <v>39019</v>
      </c>
      <c r="R6" s="48"/>
      <c r="U6" s="213" t="s">
        <v>57</v>
      </c>
      <c r="V6" s="220">
        <v>44222</v>
      </c>
      <c r="W6" s="218">
        <v>2000</v>
      </c>
    </row>
    <row r="7" spans="1:23" ht="15.75" thickBot="1" x14ac:dyDescent="0.3">
      <c r="A7" s="34"/>
      <c r="B7" s="134">
        <v>44294</v>
      </c>
      <c r="C7" s="36">
        <v>6813</v>
      </c>
      <c r="D7" s="140" t="s">
        <v>343</v>
      </c>
      <c r="E7" s="136">
        <v>44294</v>
      </c>
      <c r="F7" s="37">
        <v>181751</v>
      </c>
      <c r="G7" s="137"/>
      <c r="H7" s="138">
        <v>44294</v>
      </c>
      <c r="I7" s="49">
        <v>495</v>
      </c>
      <c r="J7" s="44"/>
      <c r="K7" s="158"/>
      <c r="L7" s="46"/>
      <c r="M7" s="41">
        <v>174952</v>
      </c>
      <c r="N7" s="42">
        <v>3153</v>
      </c>
      <c r="O7" s="276" t="s">
        <v>344</v>
      </c>
      <c r="P7" s="7">
        <f>C7+I7+M7+N7+L7</f>
        <v>185413</v>
      </c>
      <c r="Q7" s="201">
        <f>P7-F7</f>
        <v>3662</v>
      </c>
      <c r="R7" s="50"/>
      <c r="U7" s="213" t="s">
        <v>58</v>
      </c>
      <c r="V7" s="220">
        <v>44230</v>
      </c>
      <c r="W7" s="218">
        <v>2000</v>
      </c>
    </row>
    <row r="8" spans="1:23" ht="15.75" thickBot="1" x14ac:dyDescent="0.3">
      <c r="A8" s="34"/>
      <c r="B8" s="134">
        <v>44295</v>
      </c>
      <c r="C8" s="36">
        <v>2299.5</v>
      </c>
      <c r="D8" s="141" t="s">
        <v>45</v>
      </c>
      <c r="E8" s="136">
        <v>44295</v>
      </c>
      <c r="F8" s="37">
        <v>161779</v>
      </c>
      <c r="G8" s="137"/>
      <c r="H8" s="138">
        <v>44295</v>
      </c>
      <c r="I8" s="49">
        <v>10570</v>
      </c>
      <c r="J8" s="51"/>
      <c r="K8" s="158"/>
      <c r="L8" s="46"/>
      <c r="M8" s="41">
        <f>145398+854</f>
        <v>146252</v>
      </c>
      <c r="N8" s="42">
        <v>3483</v>
      </c>
      <c r="O8" s="275" t="s">
        <v>344</v>
      </c>
      <c r="P8" s="7">
        <f t="shared" ref="P8:P9" si="0">C8+I8+M8+N8+L8</f>
        <v>162604.5</v>
      </c>
      <c r="Q8" s="201">
        <f>P8-F8</f>
        <v>825.5</v>
      </c>
      <c r="R8" s="58"/>
      <c r="U8" s="213" t="s">
        <v>59</v>
      </c>
      <c r="V8" s="220">
        <v>44239</v>
      </c>
      <c r="W8" s="218">
        <v>2000</v>
      </c>
    </row>
    <row r="9" spans="1:23" ht="15.75" thickBot="1" x14ac:dyDescent="0.3">
      <c r="A9" s="34"/>
      <c r="B9" s="134">
        <v>44296</v>
      </c>
      <c r="C9" s="36">
        <v>1500</v>
      </c>
      <c r="D9" s="141" t="s">
        <v>45</v>
      </c>
      <c r="E9" s="136">
        <v>44296</v>
      </c>
      <c r="F9" s="37">
        <v>133429</v>
      </c>
      <c r="G9" s="137"/>
      <c r="H9" s="138">
        <v>44296</v>
      </c>
      <c r="I9" s="49">
        <v>550</v>
      </c>
      <c r="J9" s="52">
        <v>44296</v>
      </c>
      <c r="K9" s="159" t="s">
        <v>345</v>
      </c>
      <c r="L9" s="46">
        <f>17039.89+400+4000</f>
        <v>21439.89</v>
      </c>
      <c r="M9" s="41">
        <v>115775</v>
      </c>
      <c r="N9" s="42">
        <v>3018</v>
      </c>
      <c r="O9" s="47" t="s">
        <v>351</v>
      </c>
      <c r="P9" s="7">
        <f t="shared" si="0"/>
        <v>142282.89000000001</v>
      </c>
      <c r="Q9" s="202">
        <f t="shared" ref="Q9:Q12" si="1">P9-F9</f>
        <v>8853.890000000014</v>
      </c>
      <c r="R9" s="48"/>
      <c r="U9" s="213" t="s">
        <v>60</v>
      </c>
      <c r="V9" s="220">
        <v>44253</v>
      </c>
      <c r="W9" s="218">
        <v>2000</v>
      </c>
    </row>
    <row r="10" spans="1:23" ht="15.75" thickBot="1" x14ac:dyDescent="0.3">
      <c r="A10" s="34"/>
      <c r="B10" s="134">
        <v>44297</v>
      </c>
      <c r="C10" s="36">
        <v>11542</v>
      </c>
      <c r="D10" s="140" t="s">
        <v>346</v>
      </c>
      <c r="E10" s="136">
        <v>44297</v>
      </c>
      <c r="F10" s="37">
        <v>112601</v>
      </c>
      <c r="G10" s="137"/>
      <c r="H10" s="138">
        <v>44297</v>
      </c>
      <c r="I10" s="49">
        <v>550</v>
      </c>
      <c r="J10" s="52"/>
      <c r="K10" s="160"/>
      <c r="L10" s="53"/>
      <c r="M10" s="41">
        <v>93297</v>
      </c>
      <c r="N10" s="42">
        <v>7212</v>
      </c>
      <c r="O10" s="47"/>
      <c r="P10" s="7">
        <f>C10+I10+M10+N10+L10</f>
        <v>112601</v>
      </c>
      <c r="Q10" s="6">
        <f t="shared" si="1"/>
        <v>0</v>
      </c>
      <c r="R10" s="54"/>
      <c r="U10" s="213" t="s">
        <v>61</v>
      </c>
      <c r="V10" s="220">
        <v>44253</v>
      </c>
      <c r="W10" s="218">
        <v>2000</v>
      </c>
    </row>
    <row r="11" spans="1:23" ht="15.75" thickBot="1" x14ac:dyDescent="0.3">
      <c r="A11" s="34"/>
      <c r="B11" s="134">
        <v>44298</v>
      </c>
      <c r="C11" s="36">
        <v>9207</v>
      </c>
      <c r="D11" s="139" t="s">
        <v>347</v>
      </c>
      <c r="E11" s="136">
        <v>44298</v>
      </c>
      <c r="F11" s="37">
        <v>143690</v>
      </c>
      <c r="G11" s="137"/>
      <c r="H11" s="138">
        <v>44298</v>
      </c>
      <c r="I11" s="49">
        <v>440</v>
      </c>
      <c r="J11" s="55"/>
      <c r="K11" s="161"/>
      <c r="L11" s="46"/>
      <c r="M11" s="41">
        <v>130790</v>
      </c>
      <c r="N11" s="42">
        <v>3253</v>
      </c>
      <c r="O11" s="47"/>
      <c r="P11" s="7">
        <f t="shared" ref="P11:P14" si="2">C11+I11+M11+N11+L11</f>
        <v>143690</v>
      </c>
      <c r="Q11" s="6">
        <f t="shared" si="1"/>
        <v>0</v>
      </c>
      <c r="R11" s="48"/>
      <c r="U11" s="213" t="s">
        <v>62</v>
      </c>
      <c r="V11" s="220">
        <v>44258</v>
      </c>
      <c r="W11" s="218">
        <v>2000</v>
      </c>
    </row>
    <row r="12" spans="1:23" ht="15.75" thickBot="1" x14ac:dyDescent="0.3">
      <c r="A12" s="34"/>
      <c r="B12" s="134">
        <v>44299</v>
      </c>
      <c r="C12" s="36">
        <v>8025</v>
      </c>
      <c r="D12" s="139" t="s">
        <v>130</v>
      </c>
      <c r="E12" s="136">
        <v>44299</v>
      </c>
      <c r="F12" s="37">
        <v>99486</v>
      </c>
      <c r="G12" s="137"/>
      <c r="H12" s="138">
        <v>44299</v>
      </c>
      <c r="I12" s="49">
        <v>637</v>
      </c>
      <c r="J12" s="44"/>
      <c r="K12" s="158"/>
      <c r="L12" s="46"/>
      <c r="M12" s="41">
        <v>77753</v>
      </c>
      <c r="N12" s="42">
        <v>13071</v>
      </c>
      <c r="O12" s="47"/>
      <c r="P12" s="7">
        <f t="shared" si="2"/>
        <v>99486</v>
      </c>
      <c r="Q12" s="6">
        <f t="shared" si="1"/>
        <v>0</v>
      </c>
      <c r="R12" s="56"/>
      <c r="U12" s="213" t="s">
        <v>63</v>
      </c>
      <c r="V12" s="220">
        <v>44265</v>
      </c>
      <c r="W12" s="218">
        <v>2000</v>
      </c>
    </row>
    <row r="13" spans="1:23" ht="15.75" thickBot="1" x14ac:dyDescent="0.3">
      <c r="A13" s="34"/>
      <c r="B13" s="134">
        <v>44300</v>
      </c>
      <c r="C13" s="36">
        <v>5115</v>
      </c>
      <c r="D13" s="141" t="s">
        <v>348</v>
      </c>
      <c r="E13" s="136">
        <v>44300</v>
      </c>
      <c r="F13" s="37">
        <v>116185</v>
      </c>
      <c r="G13" s="137"/>
      <c r="H13" s="138">
        <v>44300</v>
      </c>
      <c r="I13" s="49">
        <v>6565</v>
      </c>
      <c r="J13" s="44"/>
      <c r="K13" s="158"/>
      <c r="L13" s="46"/>
      <c r="M13" s="41">
        <v>109267</v>
      </c>
      <c r="N13" s="42">
        <v>3368</v>
      </c>
      <c r="O13" s="47" t="s">
        <v>351</v>
      </c>
      <c r="P13" s="7">
        <f t="shared" si="2"/>
        <v>124315</v>
      </c>
      <c r="Q13" s="6">
        <f>P13-F13</f>
        <v>8130</v>
      </c>
      <c r="R13" s="48"/>
      <c r="U13" s="213" t="s">
        <v>64</v>
      </c>
      <c r="V13" s="220">
        <v>44272</v>
      </c>
      <c r="W13" s="218">
        <v>2000</v>
      </c>
    </row>
    <row r="14" spans="1:23" ht="15.75" thickBot="1" x14ac:dyDescent="0.3">
      <c r="A14" s="34"/>
      <c r="B14" s="134">
        <v>44301</v>
      </c>
      <c r="C14" s="36">
        <v>3395</v>
      </c>
      <c r="D14" s="140" t="s">
        <v>349</v>
      </c>
      <c r="E14" s="136">
        <v>44301</v>
      </c>
      <c r="F14" s="37">
        <v>92284</v>
      </c>
      <c r="G14" s="137"/>
      <c r="H14" s="138">
        <v>44301</v>
      </c>
      <c r="I14" s="49">
        <v>840</v>
      </c>
      <c r="J14" s="44">
        <v>44301</v>
      </c>
      <c r="K14" s="158" t="s">
        <v>350</v>
      </c>
      <c r="L14" s="46">
        <v>1500</v>
      </c>
      <c r="M14" s="41">
        <v>81092</v>
      </c>
      <c r="N14" s="42">
        <v>5457</v>
      </c>
      <c r="O14" s="47" t="s">
        <v>351</v>
      </c>
      <c r="P14" s="7">
        <f t="shared" si="2"/>
        <v>92284</v>
      </c>
      <c r="Q14" s="6">
        <f t="shared" ref="Q14:Q21" si="3">P14-F14</f>
        <v>0</v>
      </c>
      <c r="R14" s="54"/>
      <c r="U14" s="213" t="s">
        <v>65</v>
      </c>
      <c r="V14" s="220">
        <v>44281</v>
      </c>
      <c r="W14" s="218">
        <v>2000</v>
      </c>
    </row>
    <row r="15" spans="1:23" ht="15.75" thickBot="1" x14ac:dyDescent="0.3">
      <c r="A15" s="34"/>
      <c r="B15" s="134">
        <v>44302</v>
      </c>
      <c r="C15" s="36">
        <v>2153</v>
      </c>
      <c r="D15" s="139" t="s">
        <v>45</v>
      </c>
      <c r="E15" s="136">
        <v>44302</v>
      </c>
      <c r="F15" s="37">
        <v>177091</v>
      </c>
      <c r="G15" s="137"/>
      <c r="H15" s="138">
        <v>44302</v>
      </c>
      <c r="I15" s="49">
        <v>10570</v>
      </c>
      <c r="J15" s="44" t="s">
        <v>11</v>
      </c>
      <c r="K15" s="158"/>
      <c r="L15" s="46"/>
      <c r="M15" s="41">
        <f>161959+912</f>
        <v>162871</v>
      </c>
      <c r="N15" s="42">
        <v>2409</v>
      </c>
      <c r="O15" s="47" t="s">
        <v>344</v>
      </c>
      <c r="P15" s="7">
        <f>C15+I15+M15+N15+L15</f>
        <v>178003</v>
      </c>
      <c r="Q15" s="201">
        <f t="shared" si="3"/>
        <v>912</v>
      </c>
      <c r="R15" s="58"/>
      <c r="U15" s="213" t="s">
        <v>66</v>
      </c>
      <c r="V15" s="220"/>
      <c r="W15" s="218"/>
    </row>
    <row r="16" spans="1:23" ht="15.75" thickBot="1" x14ac:dyDescent="0.3">
      <c r="A16" s="34"/>
      <c r="B16" s="134">
        <v>44303</v>
      </c>
      <c r="C16" s="36">
        <v>18446</v>
      </c>
      <c r="D16" s="139" t="s">
        <v>353</v>
      </c>
      <c r="E16" s="136">
        <v>44303</v>
      </c>
      <c r="F16" s="37">
        <v>211763</v>
      </c>
      <c r="G16" s="137"/>
      <c r="H16" s="138">
        <v>44303</v>
      </c>
      <c r="I16" s="49">
        <v>10440</v>
      </c>
      <c r="J16" s="44">
        <v>44303</v>
      </c>
      <c r="K16" s="158" t="s">
        <v>359</v>
      </c>
      <c r="L16" s="6">
        <f>13724.27+400+4000</f>
        <v>18124.27</v>
      </c>
      <c r="M16" s="41">
        <v>168118</v>
      </c>
      <c r="N16" s="42">
        <v>4660</v>
      </c>
      <c r="O16" s="47" t="s">
        <v>344</v>
      </c>
      <c r="P16" s="7">
        <f>C16+I16+M16+N16+L16</f>
        <v>219788.27</v>
      </c>
      <c r="Q16" s="202">
        <f t="shared" si="3"/>
        <v>8025.2699999999895</v>
      </c>
      <c r="R16" s="58"/>
      <c r="U16" s="213" t="s">
        <v>67</v>
      </c>
      <c r="V16" s="220">
        <v>44300</v>
      </c>
      <c r="W16" s="218">
        <v>2000</v>
      </c>
    </row>
    <row r="17" spans="1:23" ht="15.75" thickBot="1" x14ac:dyDescent="0.3">
      <c r="A17" s="34"/>
      <c r="B17" s="134">
        <v>44304</v>
      </c>
      <c r="C17" s="36">
        <v>9132</v>
      </c>
      <c r="D17" s="141" t="s">
        <v>354</v>
      </c>
      <c r="E17" s="136">
        <v>44304</v>
      </c>
      <c r="F17" s="37">
        <v>118247</v>
      </c>
      <c r="G17" s="137"/>
      <c r="H17" s="138">
        <v>44304</v>
      </c>
      <c r="I17" s="49">
        <v>440</v>
      </c>
      <c r="J17" s="44"/>
      <c r="K17" s="158"/>
      <c r="L17" s="53"/>
      <c r="M17" s="41">
        <v>104035</v>
      </c>
      <c r="N17" s="42">
        <v>4640</v>
      </c>
      <c r="O17" s="47"/>
      <c r="P17" s="7">
        <f t="shared" ref="P17" si="4">C17+I17+M17+N17</f>
        <v>118247</v>
      </c>
      <c r="Q17" s="6">
        <f t="shared" si="3"/>
        <v>0</v>
      </c>
      <c r="R17" s="48"/>
      <c r="U17" s="213" t="s">
        <v>68</v>
      </c>
      <c r="V17" s="220">
        <v>44300</v>
      </c>
      <c r="W17" s="218">
        <v>2000</v>
      </c>
    </row>
    <row r="18" spans="1:23" ht="15.75" thickBot="1" x14ac:dyDescent="0.3">
      <c r="A18" s="34"/>
      <c r="B18" s="134">
        <v>44305</v>
      </c>
      <c r="C18" s="36">
        <v>2646</v>
      </c>
      <c r="D18" s="139" t="s">
        <v>355</v>
      </c>
      <c r="E18" s="136">
        <v>44305</v>
      </c>
      <c r="F18" s="37">
        <v>163778</v>
      </c>
      <c r="G18" s="137"/>
      <c r="H18" s="138">
        <v>44305</v>
      </c>
      <c r="I18" s="49">
        <v>440</v>
      </c>
      <c r="J18" s="44">
        <v>44305</v>
      </c>
      <c r="K18" s="278" t="s">
        <v>356</v>
      </c>
      <c r="L18" s="46">
        <v>1143</v>
      </c>
      <c r="M18" s="41">
        <v>154926</v>
      </c>
      <c r="N18" s="42">
        <v>4623</v>
      </c>
      <c r="O18" s="47" t="s">
        <v>351</v>
      </c>
      <c r="P18" s="7">
        <f>C18+I18+M18+N18+L18</f>
        <v>163778</v>
      </c>
      <c r="Q18" s="6">
        <f t="shared" si="3"/>
        <v>0</v>
      </c>
      <c r="R18" s="48"/>
      <c r="U18" s="213" t="s">
        <v>69</v>
      </c>
      <c r="V18" s="220">
        <v>44309</v>
      </c>
      <c r="W18" s="218">
        <v>2000</v>
      </c>
    </row>
    <row r="19" spans="1:23" ht="15.75" thickBot="1" x14ac:dyDescent="0.3">
      <c r="A19" s="34"/>
      <c r="B19" s="134">
        <v>44306</v>
      </c>
      <c r="C19" s="36">
        <v>2188</v>
      </c>
      <c r="D19" s="139" t="s">
        <v>167</v>
      </c>
      <c r="E19" s="136">
        <v>44306</v>
      </c>
      <c r="F19" s="37">
        <v>93195</v>
      </c>
      <c r="G19" s="137"/>
      <c r="H19" s="138">
        <v>44306</v>
      </c>
      <c r="I19" s="49">
        <v>605</v>
      </c>
      <c r="J19" s="44"/>
      <c r="K19" s="163"/>
      <c r="L19" s="59"/>
      <c r="M19" s="41">
        <v>87045</v>
      </c>
      <c r="N19" s="42">
        <v>4192</v>
      </c>
      <c r="O19" s="47"/>
      <c r="P19" s="7">
        <f>C19+I19+M19+N19+L19</f>
        <v>94030</v>
      </c>
      <c r="Q19" s="201">
        <f t="shared" si="3"/>
        <v>835</v>
      </c>
      <c r="R19" s="58"/>
      <c r="U19" s="213" t="s">
        <v>70</v>
      </c>
      <c r="V19" s="220">
        <v>44320</v>
      </c>
      <c r="W19" s="218">
        <v>2000</v>
      </c>
    </row>
    <row r="20" spans="1:23" ht="15.75" thickBot="1" x14ac:dyDescent="0.3">
      <c r="A20" s="34"/>
      <c r="B20" s="134">
        <v>44307</v>
      </c>
      <c r="C20" s="36">
        <v>8911</v>
      </c>
      <c r="D20" s="139" t="s">
        <v>357</v>
      </c>
      <c r="E20" s="136">
        <v>44307</v>
      </c>
      <c r="F20" s="37">
        <v>133404</v>
      </c>
      <c r="G20" s="137"/>
      <c r="H20" s="138">
        <v>44307</v>
      </c>
      <c r="I20" s="49">
        <v>495</v>
      </c>
      <c r="J20" s="44"/>
      <c r="K20" s="164"/>
      <c r="L20" s="53"/>
      <c r="M20" s="41">
        <f>29009+103602</f>
        <v>132611</v>
      </c>
      <c r="N20" s="42">
        <v>4211</v>
      </c>
      <c r="O20" s="47" t="s">
        <v>344</v>
      </c>
      <c r="P20" s="7">
        <f>C20+I20+M20+N20</f>
        <v>146228</v>
      </c>
      <c r="Q20" s="201">
        <f t="shared" si="3"/>
        <v>12824</v>
      </c>
      <c r="R20" s="58"/>
      <c r="U20" s="213" t="s">
        <v>71</v>
      </c>
      <c r="V20" s="220">
        <v>44320</v>
      </c>
      <c r="W20" s="218">
        <v>2000</v>
      </c>
    </row>
    <row r="21" spans="1:23" ht="15.75" thickBot="1" x14ac:dyDescent="0.3">
      <c r="A21" s="34"/>
      <c r="B21" s="134">
        <v>44308</v>
      </c>
      <c r="C21" s="36">
        <v>12861.6</v>
      </c>
      <c r="D21" s="139" t="s">
        <v>358</v>
      </c>
      <c r="E21" s="136">
        <v>44308</v>
      </c>
      <c r="F21" s="37">
        <v>139636</v>
      </c>
      <c r="G21" s="137"/>
      <c r="H21" s="138">
        <v>44308</v>
      </c>
      <c r="I21" s="49">
        <v>440</v>
      </c>
      <c r="J21" s="44"/>
      <c r="K21" s="162"/>
      <c r="L21" s="53"/>
      <c r="M21" s="41">
        <v>119687</v>
      </c>
      <c r="N21" s="42">
        <v>6647</v>
      </c>
      <c r="O21" s="47" t="s">
        <v>351</v>
      </c>
      <c r="P21" s="7">
        <f>C21+I21+M21+N21+L21</f>
        <v>139635.6</v>
      </c>
      <c r="Q21" s="6">
        <f t="shared" si="3"/>
        <v>-0.39999999999417923</v>
      </c>
      <c r="R21" s="58"/>
      <c r="U21" s="213" t="s">
        <v>72</v>
      </c>
      <c r="V21" s="220"/>
      <c r="W21" s="218"/>
    </row>
    <row r="22" spans="1:23" ht="15.75" thickBot="1" x14ac:dyDescent="0.3">
      <c r="A22" s="34"/>
      <c r="B22" s="134">
        <v>44309</v>
      </c>
      <c r="C22" s="36">
        <v>5137</v>
      </c>
      <c r="D22" s="139" t="s">
        <v>360</v>
      </c>
      <c r="E22" s="136">
        <v>44309</v>
      </c>
      <c r="F22" s="37">
        <v>159588</v>
      </c>
      <c r="G22" s="137"/>
      <c r="H22" s="138">
        <v>44309</v>
      </c>
      <c r="I22" s="49">
        <v>12570</v>
      </c>
      <c r="J22" s="52"/>
      <c r="K22" s="165"/>
      <c r="L22" s="61"/>
      <c r="M22" s="41">
        <v>134652</v>
      </c>
      <c r="N22" s="42">
        <v>7229</v>
      </c>
      <c r="O22" s="47" t="s">
        <v>344</v>
      </c>
      <c r="P22" s="7">
        <f>C22+I22+M22+N22+L22</f>
        <v>159588</v>
      </c>
      <c r="Q22" s="6">
        <f>P22-F22</f>
        <v>0</v>
      </c>
      <c r="R22" s="58"/>
      <c r="U22" s="213" t="s">
        <v>73</v>
      </c>
      <c r="V22" s="220"/>
      <c r="W22" s="218"/>
    </row>
    <row r="23" spans="1:23" ht="15.75" thickBot="1" x14ac:dyDescent="0.3">
      <c r="A23" s="34"/>
      <c r="B23" s="134">
        <v>44310</v>
      </c>
      <c r="C23" s="36">
        <v>821</v>
      </c>
      <c r="D23" s="139" t="s">
        <v>45</v>
      </c>
      <c r="E23" s="136">
        <v>44310</v>
      </c>
      <c r="F23" s="37">
        <v>145555</v>
      </c>
      <c r="G23" s="137"/>
      <c r="H23" s="138">
        <v>44310</v>
      </c>
      <c r="I23" s="49">
        <v>550</v>
      </c>
      <c r="J23" s="62">
        <v>44310</v>
      </c>
      <c r="K23" s="279" t="s">
        <v>361</v>
      </c>
      <c r="L23" s="63">
        <f>16511.32+400+4000</f>
        <v>20911.32</v>
      </c>
      <c r="M23" s="41">
        <v>125392</v>
      </c>
      <c r="N23" s="42">
        <v>6735</v>
      </c>
      <c r="O23" s="47" t="s">
        <v>344</v>
      </c>
      <c r="P23" s="7">
        <f>C23+I23+M23+N23+L23</f>
        <v>154409.32</v>
      </c>
      <c r="Q23" s="202">
        <f>P23-F23</f>
        <v>8854.320000000007</v>
      </c>
      <c r="R23" s="54"/>
      <c r="U23" s="213" t="s">
        <v>74</v>
      </c>
      <c r="V23" s="220"/>
      <c r="W23" s="218"/>
    </row>
    <row r="24" spans="1:23" ht="15.75" thickBot="1" x14ac:dyDescent="0.3">
      <c r="A24" s="34"/>
      <c r="B24" s="134">
        <v>44311</v>
      </c>
      <c r="C24" s="36">
        <v>16803</v>
      </c>
      <c r="D24" s="139" t="s">
        <v>362</v>
      </c>
      <c r="E24" s="136">
        <v>44311</v>
      </c>
      <c r="F24" s="37">
        <v>107429</v>
      </c>
      <c r="G24" s="137"/>
      <c r="H24" s="138">
        <v>44311</v>
      </c>
      <c r="I24" s="49">
        <v>550</v>
      </c>
      <c r="J24" s="156"/>
      <c r="K24" s="167"/>
      <c r="L24" s="64"/>
      <c r="M24" s="41">
        <f>79387+519+1189</f>
        <v>81095</v>
      </c>
      <c r="N24" s="42">
        <v>8981</v>
      </c>
      <c r="O24" s="275"/>
      <c r="P24" s="7">
        <f>C24+I24+M24+N24+L24</f>
        <v>107429</v>
      </c>
      <c r="Q24" s="6">
        <f t="shared" ref="Q24:Q42" si="5">P24-F24</f>
        <v>0</v>
      </c>
      <c r="R24" s="48"/>
      <c r="U24" s="213" t="s">
        <v>75</v>
      </c>
      <c r="V24" s="220"/>
      <c r="W24" s="218"/>
    </row>
    <row r="25" spans="1:23" ht="15.75" thickBot="1" x14ac:dyDescent="0.3">
      <c r="A25" s="34"/>
      <c r="B25" s="134">
        <v>44312</v>
      </c>
      <c r="C25" s="36">
        <v>10595</v>
      </c>
      <c r="D25" s="139" t="s">
        <v>363</v>
      </c>
      <c r="E25" s="136">
        <v>44312</v>
      </c>
      <c r="F25" s="37">
        <v>124086</v>
      </c>
      <c r="G25" s="137"/>
      <c r="H25" s="138">
        <v>44312</v>
      </c>
      <c r="I25" s="49">
        <v>440</v>
      </c>
      <c r="J25" s="65"/>
      <c r="K25" s="144"/>
      <c r="L25" s="66"/>
      <c r="M25" s="41">
        <v>99044</v>
      </c>
      <c r="N25" s="42">
        <v>14007</v>
      </c>
      <c r="O25" s="47"/>
      <c r="P25" s="7">
        <f t="shared" ref="P25:P26" si="6">C25+I25+M25+N25+L25</f>
        <v>124086</v>
      </c>
      <c r="Q25" s="6">
        <f t="shared" si="5"/>
        <v>0</v>
      </c>
      <c r="R25" s="48"/>
      <c r="U25" s="213" t="s">
        <v>76</v>
      </c>
      <c r="V25" s="220"/>
      <c r="W25" s="218"/>
    </row>
    <row r="26" spans="1:23" ht="15.75" thickBot="1" x14ac:dyDescent="0.3">
      <c r="A26" s="34"/>
      <c r="B26" s="134">
        <v>44313</v>
      </c>
      <c r="C26" s="36">
        <v>5025</v>
      </c>
      <c r="D26" s="139" t="s">
        <v>167</v>
      </c>
      <c r="E26" s="136">
        <v>44313</v>
      </c>
      <c r="F26" s="37">
        <v>100166</v>
      </c>
      <c r="G26" s="137"/>
      <c r="H26" s="138">
        <v>44313</v>
      </c>
      <c r="I26" s="49">
        <v>535</v>
      </c>
      <c r="J26" s="44"/>
      <c r="K26" s="167"/>
      <c r="L26" s="63"/>
      <c r="M26" s="41">
        <v>90296</v>
      </c>
      <c r="N26" s="42">
        <v>4310</v>
      </c>
      <c r="O26" s="47"/>
      <c r="P26" s="7">
        <f t="shared" si="6"/>
        <v>100166</v>
      </c>
      <c r="Q26" s="6">
        <f t="shared" si="5"/>
        <v>0</v>
      </c>
      <c r="R26" s="48"/>
      <c r="U26" s="213" t="s">
        <v>77</v>
      </c>
      <c r="V26" s="220"/>
      <c r="W26" s="218"/>
    </row>
    <row r="27" spans="1:23" ht="15" customHeight="1" thickBot="1" x14ac:dyDescent="0.3">
      <c r="A27" s="34"/>
      <c r="B27" s="134">
        <v>44314</v>
      </c>
      <c r="C27" s="36">
        <v>2721</v>
      </c>
      <c r="D27" s="141" t="s">
        <v>364</v>
      </c>
      <c r="E27" s="136">
        <v>44314</v>
      </c>
      <c r="F27" s="37">
        <v>87627</v>
      </c>
      <c r="G27" s="137"/>
      <c r="H27" s="138">
        <v>44314</v>
      </c>
      <c r="I27" s="49">
        <v>495</v>
      </c>
      <c r="J27" s="67"/>
      <c r="K27" s="168"/>
      <c r="L27" s="66"/>
      <c r="M27" s="41">
        <v>80299</v>
      </c>
      <c r="N27" s="42">
        <v>4112</v>
      </c>
      <c r="O27" s="47" t="s">
        <v>351</v>
      </c>
      <c r="P27" s="7">
        <f>C27+I27+M27+N27</f>
        <v>87627</v>
      </c>
      <c r="Q27" s="6">
        <f t="shared" si="5"/>
        <v>0</v>
      </c>
      <c r="R27" s="48"/>
      <c r="U27" s="213" t="s">
        <v>78</v>
      </c>
      <c r="V27" s="220"/>
      <c r="W27" s="218"/>
    </row>
    <row r="28" spans="1:23" ht="16.5" thickBot="1" x14ac:dyDescent="0.3">
      <c r="A28" s="34"/>
      <c r="B28" s="134">
        <v>44315</v>
      </c>
      <c r="C28" s="36">
        <v>9246</v>
      </c>
      <c r="D28" s="141" t="s">
        <v>365</v>
      </c>
      <c r="E28" s="136">
        <v>44315</v>
      </c>
      <c r="F28" s="37">
        <v>98596</v>
      </c>
      <c r="G28" s="137"/>
      <c r="H28" s="138">
        <v>44315</v>
      </c>
      <c r="I28" s="49">
        <v>495</v>
      </c>
      <c r="J28" s="233">
        <v>44315</v>
      </c>
      <c r="K28" s="280" t="s">
        <v>12</v>
      </c>
      <c r="L28" s="66">
        <v>20000</v>
      </c>
      <c r="M28" s="41">
        <v>66425</v>
      </c>
      <c r="N28" s="42">
        <v>2430</v>
      </c>
      <c r="O28" s="47"/>
      <c r="P28" s="7">
        <f>C28+I28+M28+N28+L28</f>
        <v>98596</v>
      </c>
      <c r="Q28" s="6">
        <f>P28-F28</f>
        <v>0</v>
      </c>
      <c r="R28" s="48"/>
      <c r="U28" s="213" t="s">
        <v>79</v>
      </c>
      <c r="V28" s="220"/>
      <c r="W28" s="218"/>
    </row>
    <row r="29" spans="1:23" ht="15.75" thickBot="1" x14ac:dyDescent="0.3">
      <c r="A29" s="34"/>
      <c r="B29" s="134">
        <v>44316</v>
      </c>
      <c r="C29" s="36">
        <v>1549</v>
      </c>
      <c r="D29" s="143" t="s">
        <v>45</v>
      </c>
      <c r="E29" s="136">
        <v>44316</v>
      </c>
      <c r="F29" s="37">
        <v>151345</v>
      </c>
      <c r="G29" s="137"/>
      <c r="H29" s="138">
        <v>44316</v>
      </c>
      <c r="I29" s="49">
        <v>10570</v>
      </c>
      <c r="J29" s="263"/>
      <c r="K29" s="169"/>
      <c r="L29" s="66"/>
      <c r="M29" s="41">
        <v>127532</v>
      </c>
      <c r="N29" s="42">
        <v>11694</v>
      </c>
      <c r="O29" s="47" t="s">
        <v>344</v>
      </c>
      <c r="P29" s="7">
        <f>C29+I29+M29+N29+L29</f>
        <v>151345</v>
      </c>
      <c r="Q29" s="6">
        <f>P29-F29</f>
        <v>0</v>
      </c>
      <c r="R29" s="58"/>
      <c r="U29" s="213" t="s">
        <v>80</v>
      </c>
      <c r="V29" s="220"/>
      <c r="W29" s="218"/>
    </row>
    <row r="30" spans="1:23" ht="15.75" thickBot="1" x14ac:dyDescent="0.3">
      <c r="A30" s="34"/>
      <c r="B30" s="134">
        <v>44317</v>
      </c>
      <c r="C30" s="36">
        <v>4900</v>
      </c>
      <c r="D30" s="143" t="s">
        <v>366</v>
      </c>
      <c r="E30" s="136">
        <v>44317</v>
      </c>
      <c r="F30" s="37">
        <v>178406</v>
      </c>
      <c r="G30" s="137"/>
      <c r="H30" s="138">
        <v>44317</v>
      </c>
      <c r="I30" s="69">
        <v>14864</v>
      </c>
      <c r="J30" s="67"/>
      <c r="K30" s="158"/>
      <c r="L30" s="46"/>
      <c r="M30" s="41">
        <v>145126</v>
      </c>
      <c r="N30" s="42">
        <v>13516</v>
      </c>
      <c r="O30" s="47" t="s">
        <v>344</v>
      </c>
      <c r="P30" s="7">
        <f>C30+I30+M30+N30+L30</f>
        <v>178406</v>
      </c>
      <c r="Q30" s="6">
        <f t="shared" si="5"/>
        <v>0</v>
      </c>
      <c r="R30" s="48"/>
      <c r="U30" s="213" t="s">
        <v>81</v>
      </c>
      <c r="V30" s="221"/>
      <c r="W30" s="207"/>
    </row>
    <row r="31" spans="1:23" ht="15.75" thickBot="1" x14ac:dyDescent="0.3">
      <c r="A31" s="34"/>
      <c r="B31" s="134">
        <v>44318</v>
      </c>
      <c r="C31" s="36">
        <v>31544</v>
      </c>
      <c r="D31" s="143" t="s">
        <v>367</v>
      </c>
      <c r="E31" s="136">
        <v>44318</v>
      </c>
      <c r="F31" s="37">
        <v>163911</v>
      </c>
      <c r="G31" s="137"/>
      <c r="H31" s="138">
        <v>44318</v>
      </c>
      <c r="I31" s="69">
        <v>550</v>
      </c>
      <c r="J31" s="67"/>
      <c r="K31" s="144"/>
      <c r="L31" s="66"/>
      <c r="M31" s="41">
        <v>124630</v>
      </c>
      <c r="N31" s="42">
        <v>7187</v>
      </c>
      <c r="O31" s="47"/>
      <c r="P31" s="7">
        <f>C31+I31+M31+N31+L31</f>
        <v>163911</v>
      </c>
      <c r="Q31" s="6">
        <f t="shared" si="5"/>
        <v>0</v>
      </c>
      <c r="R31" s="48"/>
      <c r="U31" s="213" t="s">
        <v>82</v>
      </c>
      <c r="V31" s="221"/>
      <c r="W31" s="207"/>
    </row>
    <row r="32" spans="1:23" ht="15.75" thickBot="1" x14ac:dyDescent="0.3">
      <c r="A32" s="34"/>
      <c r="B32" s="134">
        <v>44319</v>
      </c>
      <c r="C32" s="36">
        <v>1673</v>
      </c>
      <c r="D32" s="143" t="s">
        <v>45</v>
      </c>
      <c r="E32" s="136">
        <v>44319</v>
      </c>
      <c r="F32" s="70">
        <v>154998</v>
      </c>
      <c r="G32" s="137"/>
      <c r="H32" s="138">
        <v>44319</v>
      </c>
      <c r="I32" s="69">
        <v>495</v>
      </c>
      <c r="J32" s="67"/>
      <c r="K32" s="158"/>
      <c r="L32" s="46"/>
      <c r="M32" s="41">
        <v>147445</v>
      </c>
      <c r="N32" s="42">
        <v>5385</v>
      </c>
      <c r="O32" s="47"/>
      <c r="P32" s="7">
        <f>C32+I32+M32+N32+L32</f>
        <v>154998</v>
      </c>
      <c r="Q32" s="6">
        <f t="shared" si="5"/>
        <v>0</v>
      </c>
      <c r="R32" s="48"/>
      <c r="U32" s="213" t="s">
        <v>83</v>
      </c>
      <c r="V32" s="221"/>
      <c r="W32" s="207"/>
    </row>
    <row r="33" spans="1:23" ht="16.5" thickBot="1" x14ac:dyDescent="0.3">
      <c r="A33" s="34"/>
      <c r="B33" s="134">
        <v>44320</v>
      </c>
      <c r="C33" s="71">
        <v>12239</v>
      </c>
      <c r="D33" s="242" t="s">
        <v>375</v>
      </c>
      <c r="E33" s="136">
        <v>44320</v>
      </c>
      <c r="F33" s="71">
        <v>117623</v>
      </c>
      <c r="G33" s="137"/>
      <c r="H33" s="138">
        <v>44320</v>
      </c>
      <c r="I33" s="69">
        <v>4575</v>
      </c>
      <c r="J33" s="233"/>
      <c r="K33" s="172"/>
      <c r="L33" s="71"/>
      <c r="M33" s="41">
        <v>89491</v>
      </c>
      <c r="N33" s="42">
        <v>11318</v>
      </c>
      <c r="O33" s="47"/>
      <c r="P33" s="7">
        <f t="shared" ref="P33:P34" si="7">C33+I33+M33+N33+L33</f>
        <v>117623</v>
      </c>
      <c r="Q33" s="6">
        <f t="shared" si="5"/>
        <v>0</v>
      </c>
      <c r="R33" s="48"/>
      <c r="U33" s="213" t="s">
        <v>84</v>
      </c>
      <c r="V33" s="221"/>
      <c r="W33" s="207"/>
    </row>
    <row r="34" spans="1:23" ht="15.75" thickBot="1" x14ac:dyDescent="0.3">
      <c r="A34" s="34"/>
      <c r="B34" s="134"/>
      <c r="C34" s="71"/>
      <c r="D34" s="267"/>
      <c r="E34" s="136"/>
      <c r="F34" s="71"/>
      <c r="G34" s="137"/>
      <c r="H34" s="138"/>
      <c r="I34" s="69"/>
      <c r="J34" s="67"/>
      <c r="K34" s="243"/>
      <c r="L34" s="6"/>
      <c r="M34" s="41">
        <v>0</v>
      </c>
      <c r="N34" s="42">
        <v>0</v>
      </c>
      <c r="O34" s="47"/>
      <c r="P34" s="7">
        <f t="shared" si="7"/>
        <v>0</v>
      </c>
      <c r="Q34" s="6">
        <f t="shared" si="5"/>
        <v>0</v>
      </c>
      <c r="R34" s="48"/>
      <c r="U34" s="213" t="s">
        <v>85</v>
      </c>
      <c r="V34" s="221"/>
      <c r="W34" s="207"/>
    </row>
    <row r="35" spans="1:23" ht="15.75" thickBot="1" x14ac:dyDescent="0.3">
      <c r="A35" s="34"/>
      <c r="B35" s="134"/>
      <c r="C35" s="71"/>
      <c r="D35" s="267"/>
      <c r="E35" s="136"/>
      <c r="F35" s="71"/>
      <c r="G35" s="137"/>
      <c r="H35" s="138"/>
      <c r="I35" s="69"/>
      <c r="J35" s="67" t="s">
        <v>381</v>
      </c>
      <c r="K35" s="81" t="s">
        <v>380</v>
      </c>
      <c r="L35" s="6">
        <f>9720+9720+9345+9180</f>
        <v>37965</v>
      </c>
      <c r="M35" s="41">
        <v>0</v>
      </c>
      <c r="N35" s="42">
        <v>0</v>
      </c>
      <c r="O35" s="47"/>
      <c r="P35" s="7">
        <v>0</v>
      </c>
      <c r="Q35" s="6">
        <f t="shared" si="5"/>
        <v>0</v>
      </c>
      <c r="R35" s="48"/>
      <c r="U35" s="213" t="s">
        <v>86</v>
      </c>
      <c r="V35" s="221"/>
      <c r="W35" s="207"/>
    </row>
    <row r="36" spans="1:23" ht="15" customHeight="1" thickBot="1" x14ac:dyDescent="0.3">
      <c r="A36" s="34"/>
      <c r="B36" s="226">
        <v>44294</v>
      </c>
      <c r="C36" s="225">
        <v>13233.74</v>
      </c>
      <c r="D36" s="237" t="s">
        <v>341</v>
      </c>
      <c r="E36" s="136"/>
      <c r="F36" s="71"/>
      <c r="G36" s="137"/>
      <c r="H36" s="138"/>
      <c r="I36" s="69"/>
      <c r="J36" s="67" t="s">
        <v>381</v>
      </c>
      <c r="K36" s="302" t="s">
        <v>382</v>
      </c>
      <c r="L36" s="71">
        <v>1395.99</v>
      </c>
      <c r="M36" s="41">
        <v>0</v>
      </c>
      <c r="N36" s="42">
        <v>0</v>
      </c>
      <c r="O36" s="47"/>
      <c r="P36" s="7">
        <v>0</v>
      </c>
      <c r="Q36" s="6">
        <f t="shared" si="5"/>
        <v>0</v>
      </c>
      <c r="R36" s="48"/>
      <c r="U36" s="213" t="s">
        <v>87</v>
      </c>
      <c r="V36" s="221"/>
      <c r="W36" s="207"/>
    </row>
    <row r="37" spans="1:23" ht="19.5" customHeight="1" thickBot="1" x14ac:dyDescent="0.3">
      <c r="A37" s="34"/>
      <c r="B37" s="226">
        <v>44295</v>
      </c>
      <c r="C37" s="225">
        <v>21612.86</v>
      </c>
      <c r="D37" s="237" t="s">
        <v>341</v>
      </c>
      <c r="E37" s="136"/>
      <c r="F37" s="265"/>
      <c r="G37" s="137"/>
      <c r="H37" s="138"/>
      <c r="I37" s="69"/>
      <c r="J37" s="67" t="s">
        <v>381</v>
      </c>
      <c r="K37" s="76" t="s">
        <v>422</v>
      </c>
      <c r="L37" s="71">
        <f>399+399</f>
        <v>798</v>
      </c>
      <c r="M37" s="41">
        <v>0</v>
      </c>
      <c r="N37" s="42">
        <v>0</v>
      </c>
      <c r="O37" s="47"/>
      <c r="P37" s="7">
        <v>0</v>
      </c>
      <c r="Q37" s="6">
        <f t="shared" si="5"/>
        <v>0</v>
      </c>
      <c r="R37" s="48"/>
      <c r="U37" s="213" t="s">
        <v>88</v>
      </c>
      <c r="V37" s="221"/>
      <c r="W37" s="207"/>
    </row>
    <row r="38" spans="1:23" ht="15" customHeight="1" thickBot="1" x14ac:dyDescent="0.3">
      <c r="A38" s="34"/>
      <c r="B38" s="226">
        <v>44299</v>
      </c>
      <c r="C38" s="225">
        <v>20359.259999999998</v>
      </c>
      <c r="D38" s="237" t="s">
        <v>341</v>
      </c>
      <c r="E38" s="136"/>
      <c r="F38" s="265"/>
      <c r="G38" s="137"/>
      <c r="H38" s="138"/>
      <c r="I38" s="69"/>
      <c r="J38" s="67" t="s">
        <v>381</v>
      </c>
      <c r="K38" s="303" t="s">
        <v>423</v>
      </c>
      <c r="L38" s="71">
        <v>5003.71</v>
      </c>
      <c r="M38" s="41">
        <v>0</v>
      </c>
      <c r="N38" s="42">
        <v>0</v>
      </c>
      <c r="O38" s="47"/>
      <c r="P38" s="7">
        <v>0</v>
      </c>
      <c r="Q38" s="6">
        <f t="shared" si="5"/>
        <v>0</v>
      </c>
      <c r="R38" s="48"/>
      <c r="U38" s="213" t="s">
        <v>89</v>
      </c>
      <c r="V38" s="221"/>
      <c r="W38" s="207"/>
    </row>
    <row r="39" spans="1:23" ht="15" customHeight="1" thickBot="1" x14ac:dyDescent="0.35">
      <c r="A39" s="34"/>
      <c r="B39" s="226">
        <v>44302</v>
      </c>
      <c r="C39" s="225">
        <v>37148.76</v>
      </c>
      <c r="D39" s="237" t="s">
        <v>341</v>
      </c>
      <c r="E39" s="136"/>
      <c r="F39" s="239"/>
      <c r="G39" s="137"/>
      <c r="H39" s="138"/>
      <c r="I39" s="69"/>
      <c r="J39" s="67" t="s">
        <v>381</v>
      </c>
      <c r="K39" s="76" t="s">
        <v>383</v>
      </c>
      <c r="L39" s="71">
        <v>1347.84</v>
      </c>
      <c r="M39" s="41">
        <v>0</v>
      </c>
      <c r="N39" s="42">
        <v>0</v>
      </c>
      <c r="O39" s="47"/>
      <c r="P39" s="7">
        <v>0</v>
      </c>
      <c r="Q39" s="6">
        <f t="shared" si="5"/>
        <v>0</v>
      </c>
      <c r="R39" s="48"/>
      <c r="U39" s="213" t="s">
        <v>90</v>
      </c>
      <c r="V39" s="221"/>
      <c r="W39" s="207"/>
    </row>
    <row r="40" spans="1:23" ht="15" customHeight="1" thickBot="1" x14ac:dyDescent="0.35">
      <c r="A40" s="34"/>
      <c r="B40" s="226">
        <v>44307</v>
      </c>
      <c r="C40" s="225">
        <v>21785.64</v>
      </c>
      <c r="D40" s="237" t="s">
        <v>341</v>
      </c>
      <c r="E40" s="136"/>
      <c r="F40" s="239"/>
      <c r="G40" s="137"/>
      <c r="H40" s="138"/>
      <c r="I40" s="69"/>
      <c r="J40" s="67" t="s">
        <v>381</v>
      </c>
      <c r="K40" s="76" t="s">
        <v>223</v>
      </c>
      <c r="L40" s="71">
        <v>986</v>
      </c>
      <c r="M40" s="41">
        <v>0</v>
      </c>
      <c r="N40" s="42">
        <v>0</v>
      </c>
      <c r="O40" s="47"/>
      <c r="P40" s="7">
        <v>0</v>
      </c>
      <c r="Q40" s="6">
        <f t="shared" si="5"/>
        <v>0</v>
      </c>
      <c r="R40" s="48"/>
      <c r="U40" s="213" t="s">
        <v>91</v>
      </c>
      <c r="V40" s="221"/>
      <c r="W40" s="207"/>
    </row>
    <row r="41" spans="1:23" ht="15" customHeight="1" thickBot="1" x14ac:dyDescent="0.35">
      <c r="A41" s="34"/>
      <c r="B41" s="226">
        <v>44310</v>
      </c>
      <c r="C41" s="225">
        <v>16324.7</v>
      </c>
      <c r="D41" s="237" t="s">
        <v>341</v>
      </c>
      <c r="E41" s="136"/>
      <c r="F41" s="240"/>
      <c r="G41" s="137"/>
      <c r="H41" s="138"/>
      <c r="I41" s="69"/>
      <c r="J41" s="67" t="s">
        <v>381</v>
      </c>
      <c r="K41" s="83" t="s">
        <v>384</v>
      </c>
      <c r="L41" s="71">
        <f>32057</f>
        <v>32057</v>
      </c>
      <c r="M41" s="41">
        <v>0</v>
      </c>
      <c r="N41" s="42">
        <v>0</v>
      </c>
      <c r="O41" s="47"/>
      <c r="P41" s="7">
        <v>0</v>
      </c>
      <c r="Q41" s="6">
        <f t="shared" si="5"/>
        <v>0</v>
      </c>
      <c r="R41" s="48"/>
      <c r="U41" s="213" t="s">
        <v>92</v>
      </c>
      <c r="V41" s="221"/>
      <c r="W41" s="207"/>
    </row>
    <row r="42" spans="1:23" ht="15" customHeight="1" thickBot="1" x14ac:dyDescent="0.35">
      <c r="A42" s="34"/>
      <c r="B42" s="226">
        <v>44313</v>
      </c>
      <c r="C42" s="271">
        <v>13124.34</v>
      </c>
      <c r="D42" s="237" t="s">
        <v>341</v>
      </c>
      <c r="E42" s="136"/>
      <c r="F42" s="241"/>
      <c r="G42" s="137"/>
      <c r="H42" s="138"/>
      <c r="I42" s="69"/>
      <c r="J42" s="67" t="s">
        <v>381</v>
      </c>
      <c r="K42" s="304" t="s">
        <v>424</v>
      </c>
      <c r="L42" s="71">
        <v>42595.199999999997</v>
      </c>
      <c r="M42" s="41">
        <v>0</v>
      </c>
      <c r="N42" s="42">
        <v>0</v>
      </c>
      <c r="O42" s="47"/>
      <c r="P42" s="7">
        <v>0</v>
      </c>
      <c r="Q42" s="6">
        <f t="shared" si="5"/>
        <v>0</v>
      </c>
      <c r="R42" s="48"/>
      <c r="U42" s="213" t="s">
        <v>93</v>
      </c>
      <c r="V42" s="221"/>
      <c r="W42" s="207"/>
    </row>
    <row r="43" spans="1:23" ht="15.75" customHeight="1" thickBot="1" x14ac:dyDescent="0.35">
      <c r="A43" s="34"/>
      <c r="B43" s="226">
        <v>44314</v>
      </c>
      <c r="C43" s="225">
        <v>23851.29</v>
      </c>
      <c r="D43" s="237" t="s">
        <v>341</v>
      </c>
      <c r="E43" s="136"/>
      <c r="F43" s="241"/>
      <c r="G43" s="137"/>
      <c r="H43" s="138"/>
      <c r="I43" s="69"/>
      <c r="J43" s="67" t="s">
        <v>381</v>
      </c>
      <c r="K43" s="289" t="s">
        <v>141</v>
      </c>
      <c r="L43" s="71">
        <v>25101</v>
      </c>
      <c r="M43" s="41">
        <v>0</v>
      </c>
      <c r="N43" s="42">
        <v>0</v>
      </c>
      <c r="O43" s="47"/>
      <c r="P43" s="7">
        <f>SUM(P5:P42)</f>
        <v>3937320.58</v>
      </c>
      <c r="Q43" s="6">
        <f>SUM(Q5:Q42)</f>
        <v>99341.580000000016</v>
      </c>
      <c r="R43" s="48"/>
      <c r="U43" s="213" t="s">
        <v>94</v>
      </c>
      <c r="V43" s="221"/>
      <c r="W43" s="207"/>
    </row>
    <row r="44" spans="1:23" ht="16.149999999999999" customHeight="1" thickBot="1" x14ac:dyDescent="0.3">
      <c r="A44" s="34"/>
      <c r="B44" s="226">
        <v>44317</v>
      </c>
      <c r="C44" s="225">
        <v>12605.67</v>
      </c>
      <c r="D44" s="237" t="s">
        <v>341</v>
      </c>
      <c r="E44" s="136"/>
      <c r="F44" s="151"/>
      <c r="G44" s="137"/>
      <c r="H44" s="138"/>
      <c r="I44" s="69"/>
      <c r="J44" s="67" t="s">
        <v>381</v>
      </c>
      <c r="K44" s="81" t="s">
        <v>385</v>
      </c>
      <c r="L44" s="71">
        <v>798</v>
      </c>
      <c r="M44" s="41">
        <v>0</v>
      </c>
      <c r="N44" s="42">
        <v>0</v>
      </c>
      <c r="O44" s="47"/>
      <c r="P44" s="7"/>
      <c r="R44" s="48"/>
      <c r="U44" s="213" t="s">
        <v>95</v>
      </c>
      <c r="V44" s="221"/>
      <c r="W44" s="207"/>
    </row>
    <row r="45" spans="1:23" ht="16.149999999999999" customHeight="1" thickBot="1" x14ac:dyDescent="0.3">
      <c r="A45" s="34"/>
      <c r="B45" s="226">
        <v>44320</v>
      </c>
      <c r="C45" s="225">
        <v>13884.75</v>
      </c>
      <c r="D45" s="237" t="s">
        <v>341</v>
      </c>
      <c r="E45" s="136"/>
      <c r="F45" s="151"/>
      <c r="G45" s="137"/>
      <c r="H45" s="138"/>
      <c r="I45" s="69"/>
      <c r="J45" s="67" t="s">
        <v>381</v>
      </c>
      <c r="K45" s="305" t="s">
        <v>386</v>
      </c>
      <c r="L45" s="75">
        <f>1394.81+986.84</f>
        <v>2381.65</v>
      </c>
      <c r="M45" s="41">
        <v>0</v>
      </c>
      <c r="N45" s="42">
        <v>0</v>
      </c>
      <c r="O45" s="47"/>
      <c r="P45" s="7"/>
      <c r="R45" s="48"/>
      <c r="U45" s="213" t="s">
        <v>96</v>
      </c>
      <c r="V45" s="221"/>
      <c r="W45" s="207"/>
    </row>
    <row r="46" spans="1:23" ht="16.149999999999999" customHeight="1" thickBot="1" x14ac:dyDescent="0.3">
      <c r="A46" s="34"/>
      <c r="B46" s="146"/>
      <c r="C46" s="71"/>
      <c r="D46" s="242"/>
      <c r="E46" s="136"/>
      <c r="F46" s="151"/>
      <c r="G46" s="137"/>
      <c r="H46" s="138"/>
      <c r="I46" s="69"/>
      <c r="J46" s="67" t="s">
        <v>381</v>
      </c>
      <c r="K46" s="76" t="s">
        <v>143</v>
      </c>
      <c r="L46" s="75">
        <f>398.99+429.26+498.99+398.99</f>
        <v>1726.23</v>
      </c>
      <c r="M46" s="41">
        <v>0</v>
      </c>
      <c r="N46" s="42">
        <v>0</v>
      </c>
      <c r="O46" s="47"/>
      <c r="P46" s="7"/>
      <c r="R46" s="48"/>
      <c r="U46" s="213" t="s">
        <v>97</v>
      </c>
      <c r="V46" s="221"/>
      <c r="W46" s="207"/>
    </row>
    <row r="47" spans="1:23" ht="16.149999999999999" customHeight="1" thickBot="1" x14ac:dyDescent="0.3">
      <c r="A47" s="34"/>
      <c r="B47" s="146"/>
      <c r="C47" s="71"/>
      <c r="D47" s="242"/>
      <c r="E47" s="136"/>
      <c r="F47" s="151"/>
      <c r="G47" s="137"/>
      <c r="H47" s="138"/>
      <c r="I47" s="69"/>
      <c r="J47" s="67" t="s">
        <v>381</v>
      </c>
      <c r="K47" s="81" t="s">
        <v>387</v>
      </c>
      <c r="L47" s="50">
        <v>6960</v>
      </c>
      <c r="M47" s="41">
        <v>0</v>
      </c>
      <c r="N47" s="42">
        <v>0</v>
      </c>
      <c r="O47" s="47"/>
      <c r="P47" s="7"/>
      <c r="R47" s="48"/>
      <c r="U47" s="213" t="s">
        <v>98</v>
      </c>
      <c r="V47" s="221"/>
      <c r="W47" s="207"/>
    </row>
    <row r="48" spans="1:23" ht="16.149999999999999" customHeight="1" thickBot="1" x14ac:dyDescent="0.3">
      <c r="A48" s="34"/>
      <c r="B48" s="146"/>
      <c r="C48" s="71"/>
      <c r="D48" s="242"/>
      <c r="E48" s="150"/>
      <c r="F48" s="74"/>
      <c r="G48" s="137"/>
      <c r="H48" s="138"/>
      <c r="I48" s="69"/>
      <c r="J48" s="67" t="s">
        <v>381</v>
      </c>
      <c r="K48" s="81" t="s">
        <v>713</v>
      </c>
      <c r="L48" s="290">
        <v>6267.95</v>
      </c>
      <c r="M48" s="77"/>
      <c r="N48" s="42"/>
      <c r="O48" s="47"/>
      <c r="P48" s="7"/>
      <c r="Q48" s="7"/>
      <c r="R48" s="48"/>
      <c r="U48" s="213" t="s">
        <v>99</v>
      </c>
      <c r="V48" s="221"/>
      <c r="W48" s="207"/>
    </row>
    <row r="49" spans="1:23" ht="16.5" thickBot="1" x14ac:dyDescent="0.3">
      <c r="A49" s="34"/>
      <c r="B49" s="146"/>
      <c r="C49" s="71"/>
      <c r="D49" s="242"/>
      <c r="E49" s="150"/>
      <c r="F49" s="74"/>
      <c r="G49" s="137"/>
      <c r="H49" s="138"/>
      <c r="I49" s="69"/>
      <c r="J49" s="67" t="s">
        <v>381</v>
      </c>
      <c r="K49" s="76" t="s">
        <v>425</v>
      </c>
      <c r="L49" s="75">
        <v>9014.9699999999993</v>
      </c>
      <c r="M49" s="77"/>
      <c r="N49" s="42"/>
      <c r="O49" s="47"/>
      <c r="P49" s="7"/>
      <c r="Q49" s="7"/>
      <c r="R49" s="48"/>
      <c r="U49" s="213" t="s">
        <v>100</v>
      </c>
      <c r="V49" s="221"/>
      <c r="W49" s="207"/>
    </row>
    <row r="50" spans="1:23" ht="16.5" thickBot="1" x14ac:dyDescent="0.3">
      <c r="A50" s="34"/>
      <c r="B50" s="146"/>
      <c r="C50" s="71"/>
      <c r="D50" s="242"/>
      <c r="E50" s="149"/>
      <c r="F50" s="74"/>
      <c r="G50" s="137"/>
      <c r="H50" s="138"/>
      <c r="I50" s="69"/>
      <c r="J50" s="67" t="s">
        <v>381</v>
      </c>
      <c r="K50" s="306" t="s">
        <v>426</v>
      </c>
      <c r="L50" s="75">
        <v>1059</v>
      </c>
      <c r="M50" s="77"/>
      <c r="N50" s="42"/>
      <c r="O50" s="47"/>
      <c r="P50" s="7"/>
      <c r="Q50" s="7"/>
      <c r="R50" s="48"/>
      <c r="U50" s="213" t="s">
        <v>101</v>
      </c>
      <c r="V50" s="221"/>
      <c r="W50" s="207"/>
    </row>
    <row r="51" spans="1:23" ht="16.5" thickBot="1" x14ac:dyDescent="0.3">
      <c r="A51" s="34"/>
      <c r="B51" s="146"/>
      <c r="C51" s="71"/>
      <c r="D51" s="242"/>
      <c r="E51" s="149"/>
      <c r="F51" s="74"/>
      <c r="G51" s="137"/>
      <c r="H51" s="138"/>
      <c r="I51" s="69"/>
      <c r="J51" s="67" t="s">
        <v>381</v>
      </c>
      <c r="K51" s="307" t="s">
        <v>427</v>
      </c>
      <c r="L51" s="75">
        <v>4224</v>
      </c>
      <c r="M51" s="77"/>
      <c r="N51" s="42"/>
      <c r="O51" s="47"/>
      <c r="P51" s="7"/>
      <c r="Q51" s="7"/>
      <c r="R51" s="48"/>
      <c r="U51" s="213" t="s">
        <v>102</v>
      </c>
      <c r="V51" s="221"/>
      <c r="W51" s="207"/>
    </row>
    <row r="52" spans="1:23" ht="16.5" customHeight="1" thickBot="1" x14ac:dyDescent="0.3">
      <c r="A52" s="34"/>
      <c r="B52" s="146"/>
      <c r="C52" s="71"/>
      <c r="D52" s="242"/>
      <c r="E52" s="136"/>
      <c r="F52" s="71"/>
      <c r="G52" s="137"/>
      <c r="H52" s="138"/>
      <c r="I52" s="69"/>
      <c r="J52" s="67">
        <v>44320</v>
      </c>
      <c r="K52" s="81" t="s">
        <v>225</v>
      </c>
      <c r="L52" s="75">
        <v>10000</v>
      </c>
      <c r="M52" s="77"/>
      <c r="N52" s="42"/>
      <c r="O52" s="47"/>
      <c r="P52" s="7"/>
      <c r="Q52" s="7"/>
      <c r="R52" s="48"/>
      <c r="U52" s="213" t="s">
        <v>103</v>
      </c>
      <c r="V52" s="221"/>
      <c r="W52" s="207"/>
    </row>
    <row r="53" spans="1:23" ht="15.75" customHeight="1" thickBot="1" x14ac:dyDescent="0.35">
      <c r="A53" s="34"/>
      <c r="B53" s="146"/>
      <c r="C53" s="71"/>
      <c r="D53" s="153"/>
      <c r="E53" s="136"/>
      <c r="F53" s="71"/>
      <c r="G53" s="137"/>
      <c r="H53" s="138"/>
      <c r="I53" s="69"/>
      <c r="J53" s="67" t="s">
        <v>381</v>
      </c>
      <c r="K53" s="301" t="s">
        <v>428</v>
      </c>
      <c r="L53" s="75">
        <v>5750.33</v>
      </c>
      <c r="M53" s="77"/>
      <c r="N53" s="42"/>
      <c r="O53" s="47"/>
      <c r="P53" s="7"/>
      <c r="Q53" s="7"/>
      <c r="R53" s="48"/>
      <c r="U53" s="213" t="s">
        <v>104</v>
      </c>
      <c r="V53" s="221"/>
      <c r="W53" s="207"/>
    </row>
    <row r="54" spans="1:23" ht="15.75" customHeight="1" thickBot="1" x14ac:dyDescent="0.35">
      <c r="A54" s="34"/>
      <c r="B54" s="146"/>
      <c r="C54" s="71"/>
      <c r="D54" s="153"/>
      <c r="E54" s="136"/>
      <c r="F54" s="71"/>
      <c r="G54" s="137"/>
      <c r="H54" s="138"/>
      <c r="I54" s="69"/>
      <c r="J54" s="67"/>
      <c r="K54" s="157"/>
      <c r="L54" s="75"/>
      <c r="M54" s="41"/>
      <c r="N54" s="42"/>
      <c r="O54" s="47"/>
      <c r="P54" s="7"/>
      <c r="Q54" s="7"/>
      <c r="R54" s="48"/>
      <c r="U54" s="213" t="s">
        <v>105</v>
      </c>
      <c r="V54" s="221"/>
      <c r="W54" s="207"/>
    </row>
    <row r="55" spans="1:23" ht="15.75" thickBot="1" x14ac:dyDescent="0.3">
      <c r="A55" s="34"/>
      <c r="B55" s="35"/>
      <c r="C55" s="36">
        <v>0</v>
      </c>
      <c r="D55" s="82"/>
      <c r="E55" s="78"/>
      <c r="F55" s="79"/>
      <c r="H55" s="73"/>
      <c r="I55" s="80"/>
      <c r="J55" s="67"/>
      <c r="K55" s="83"/>
      <c r="L55" s="6"/>
      <c r="M55" s="41">
        <v>0</v>
      </c>
      <c r="N55" s="42">
        <v>0</v>
      </c>
      <c r="O55" s="47"/>
      <c r="P55" s="84"/>
      <c r="Q55" s="84"/>
      <c r="R55" s="48"/>
      <c r="U55" s="210"/>
      <c r="V55" s="222"/>
      <c r="W55" s="207"/>
    </row>
    <row r="56" spans="1:23" ht="15.75" customHeight="1" thickBot="1" x14ac:dyDescent="0.3">
      <c r="B56" s="85" t="s">
        <v>13</v>
      </c>
      <c r="C56" s="86">
        <f>SUM(C5:C55)</f>
        <v>418915.11000000004</v>
      </c>
      <c r="D56" s="87"/>
      <c r="E56" s="88" t="s">
        <v>13</v>
      </c>
      <c r="F56" s="89">
        <f>SUM(F5:F55)</f>
        <v>3837979</v>
      </c>
      <c r="G56" s="87"/>
      <c r="H56" s="90" t="s">
        <v>14</v>
      </c>
      <c r="I56" s="91">
        <f>SUM(I5:I55)</f>
        <v>91796</v>
      </c>
      <c r="J56" s="92"/>
      <c r="K56" s="93" t="s">
        <v>15</v>
      </c>
      <c r="L56" s="94">
        <f>SUM(L5:L55)</f>
        <v>278550.35000000003</v>
      </c>
      <c r="M56" s="95">
        <f>SUM(M5:M55)</f>
        <v>3357221</v>
      </c>
      <c r="N56" s="95">
        <f>SUM(N5:N55)</f>
        <v>180201</v>
      </c>
      <c r="O56" s="96"/>
      <c r="P56" s="7">
        <f>SUM(P5:P55)</f>
        <v>7874641.1600000001</v>
      </c>
      <c r="Q56" s="7">
        <f>SUM(Q5:Q55)</f>
        <v>198683.16000000003</v>
      </c>
      <c r="R56" s="97"/>
      <c r="U56" s="210"/>
      <c r="V56" s="222"/>
      <c r="W56" s="207"/>
    </row>
    <row r="57" spans="1:23" ht="15.75" customHeight="1" thickTop="1" thickBot="1" x14ac:dyDescent="0.3">
      <c r="C57" s="8" t="s">
        <v>11</v>
      </c>
      <c r="O57" s="96"/>
      <c r="P57" s="7"/>
      <c r="Q57" s="7"/>
      <c r="R57" s="98"/>
      <c r="S57" s="99"/>
      <c r="U57" s="211"/>
      <c r="V57" s="223"/>
      <c r="W57" s="208"/>
    </row>
    <row r="58" spans="1:23" ht="15.75" customHeight="1" thickBot="1" x14ac:dyDescent="0.3">
      <c r="A58" s="60"/>
      <c r="B58" s="100"/>
      <c r="C58" s="4"/>
      <c r="H58" s="548" t="s">
        <v>16</v>
      </c>
      <c r="I58" s="549"/>
      <c r="J58" s="101"/>
      <c r="K58" s="550">
        <f>I56+L56</f>
        <v>370346.35000000003</v>
      </c>
      <c r="L58" s="575"/>
      <c r="M58" s="552">
        <f>M56+N56</f>
        <v>3537422</v>
      </c>
      <c r="N58" s="553"/>
      <c r="O58" s="102"/>
      <c r="P58" s="99"/>
      <c r="Q58" s="99"/>
      <c r="S58" s="174"/>
    </row>
    <row r="59" spans="1:23" ht="15.75" customHeight="1" thickBot="1" x14ac:dyDescent="0.3">
      <c r="D59" s="560" t="s">
        <v>17</v>
      </c>
      <c r="E59" s="576"/>
      <c r="F59" s="103">
        <f>F56-K58-C56</f>
        <v>3048717.54</v>
      </c>
      <c r="I59" s="104"/>
      <c r="J59" s="105"/>
      <c r="P59" s="561">
        <f>P56+Q56</f>
        <v>8073324.3200000003</v>
      </c>
      <c r="Q59" s="562"/>
      <c r="S59" s="50"/>
    </row>
    <row r="60" spans="1:23" ht="15.75" customHeight="1" x14ac:dyDescent="0.3">
      <c r="D60" s="563" t="s">
        <v>18</v>
      </c>
      <c r="E60" s="563"/>
      <c r="F60" s="95">
        <v>-3102716.28</v>
      </c>
      <c r="I60" s="564" t="s">
        <v>19</v>
      </c>
      <c r="J60" s="565"/>
      <c r="K60" s="566">
        <f>F62+F63+F64</f>
        <v>216465.62000000023</v>
      </c>
      <c r="L60" s="567"/>
      <c r="P60" s="50"/>
      <c r="S60" s="107"/>
    </row>
    <row r="61" spans="1:23" ht="19.5" thickBot="1" x14ac:dyDescent="0.35">
      <c r="D61" s="108"/>
      <c r="E61" s="60"/>
      <c r="F61" s="109">
        <v>0</v>
      </c>
      <c r="I61" s="110"/>
      <c r="J61" s="111"/>
      <c r="K61" s="112"/>
      <c r="L61" s="113"/>
      <c r="P61" s="107"/>
      <c r="Q61" s="7"/>
      <c r="S61" s="50"/>
    </row>
    <row r="62" spans="1:23" ht="19.5" thickTop="1" x14ac:dyDescent="0.3">
      <c r="C62" s="9" t="s">
        <v>11</v>
      </c>
      <c r="E62" s="60" t="s">
        <v>20</v>
      </c>
      <c r="F62" s="95">
        <f>SUM(F59:F61)</f>
        <v>-53998.739999999758</v>
      </c>
      <c r="H62" s="34"/>
      <c r="I62" s="114" t="s">
        <v>21</v>
      </c>
      <c r="J62" s="115"/>
      <c r="K62" s="568">
        <f>-C4</f>
        <v>-215362.9</v>
      </c>
      <c r="L62" s="569"/>
      <c r="M62" s="116"/>
      <c r="P62" s="50"/>
      <c r="Q62" s="7"/>
      <c r="S62" s="50"/>
    </row>
    <row r="63" spans="1:23" ht="16.5" thickBot="1" x14ac:dyDescent="0.3">
      <c r="D63" s="117" t="s">
        <v>22</v>
      </c>
      <c r="E63" s="60" t="s">
        <v>23</v>
      </c>
      <c r="F63" s="118">
        <v>21153</v>
      </c>
      <c r="P63" s="50"/>
      <c r="Q63" s="7"/>
      <c r="S63" s="50"/>
    </row>
    <row r="64" spans="1:23" ht="17.25" customHeight="1" thickTop="1" thickBot="1" x14ac:dyDescent="0.35">
      <c r="C64" s="119">
        <v>44320</v>
      </c>
      <c r="D64" s="554" t="s">
        <v>24</v>
      </c>
      <c r="E64" s="555"/>
      <c r="F64" s="120">
        <v>249311.35999999999</v>
      </c>
      <c r="I64" s="556" t="s">
        <v>25</v>
      </c>
      <c r="J64" s="557"/>
      <c r="K64" s="558">
        <f>K60+K62</f>
        <v>1102.720000000234</v>
      </c>
      <c r="L64" s="559"/>
      <c r="P64" s="50"/>
      <c r="Q64" s="7"/>
      <c r="S64" s="121"/>
    </row>
    <row r="65" spans="2:19" ht="19.5" customHeight="1" x14ac:dyDescent="0.3">
      <c r="C65" s="122"/>
      <c r="D65" s="123"/>
      <c r="E65" s="57"/>
      <c r="F65" s="124"/>
      <c r="J65" s="125"/>
      <c r="M65" s="126"/>
      <c r="P65" s="121"/>
      <c r="Q65" s="7"/>
    </row>
    <row r="66" spans="2:19" ht="15.75" customHeight="1" x14ac:dyDescent="0.25">
      <c r="P66" s="7"/>
      <c r="Q66" s="7"/>
    </row>
    <row r="67" spans="2:19" ht="15.75" x14ac:dyDescent="0.25">
      <c r="B67" s="127"/>
      <c r="C67" s="128"/>
      <c r="D67" s="129"/>
      <c r="E67" s="7"/>
      <c r="M67" s="2"/>
      <c r="N67" s="60"/>
      <c r="P67" s="7"/>
      <c r="Q67" s="7"/>
      <c r="R67" s="165"/>
      <c r="S67" s="173"/>
    </row>
    <row r="68" spans="2:19" ht="18.75" customHeight="1" x14ac:dyDescent="0.25">
      <c r="B68" s="127"/>
      <c r="C68" s="130"/>
      <c r="E68" s="7"/>
      <c r="M68" s="2"/>
      <c r="N68" s="60"/>
      <c r="O68" s="248"/>
      <c r="P68" s="173"/>
      <c r="Q68" s="165"/>
      <c r="R68" s="165"/>
      <c r="S68" s="165"/>
    </row>
    <row r="69" spans="2:19" ht="15.75" x14ac:dyDescent="0.25">
      <c r="B69" s="127"/>
      <c r="C69" s="130"/>
      <c r="E69" s="7"/>
      <c r="F69" s="132"/>
      <c r="L69" s="133"/>
      <c r="M69" s="4"/>
      <c r="O69" s="248"/>
      <c r="P69" s="165"/>
      <c r="Q69" s="165"/>
    </row>
    <row r="70" spans="2:19" ht="15.75" x14ac:dyDescent="0.25">
      <c r="B70" s="127"/>
      <c r="C70" s="130"/>
      <c r="E70" s="7"/>
      <c r="M70" s="4"/>
    </row>
    <row r="71" spans="2:19" ht="15.75" x14ac:dyDescent="0.25">
      <c r="B71" s="127"/>
      <c r="C71" s="130"/>
      <c r="D71" s="272"/>
      <c r="E71" s="7"/>
      <c r="F71" s="273"/>
      <c r="M71" s="4"/>
    </row>
    <row r="72" spans="2:19" x14ac:dyDescent="0.25">
      <c r="D72" s="272"/>
      <c r="E72" s="274"/>
      <c r="F72" s="7"/>
      <c r="M72" s="4"/>
    </row>
    <row r="73" spans="2:19" x14ac:dyDescent="0.25">
      <c r="D73" s="272"/>
      <c r="E73" s="274"/>
      <c r="F73" s="7"/>
      <c r="M73" s="4"/>
    </row>
    <row r="74" spans="2:19" x14ac:dyDescent="0.25">
      <c r="D74" s="272"/>
      <c r="E74" s="274"/>
      <c r="F74" s="7"/>
      <c r="M74" s="4"/>
    </row>
    <row r="75" spans="2:19" x14ac:dyDescent="0.25">
      <c r="D75" s="272"/>
      <c r="E75" s="274"/>
      <c r="F75" s="7"/>
      <c r="M75" s="4"/>
    </row>
    <row r="76" spans="2:19" x14ac:dyDescent="0.25">
      <c r="D76" s="272"/>
      <c r="E76" s="274"/>
      <c r="F76" s="7"/>
      <c r="M76" s="4"/>
    </row>
    <row r="77" spans="2:19" x14ac:dyDescent="0.25">
      <c r="D77" s="272"/>
      <c r="E77" s="274"/>
      <c r="F77" s="7"/>
      <c r="M77" s="4"/>
    </row>
    <row r="78" spans="2:19" x14ac:dyDescent="0.25">
      <c r="D78" s="272"/>
      <c r="E78" s="274"/>
      <c r="F78" s="7"/>
      <c r="M78" s="4"/>
    </row>
    <row r="79" spans="2:19" x14ac:dyDescent="0.25">
      <c r="D79" s="272"/>
      <c r="E79" s="274"/>
      <c r="F79" s="7"/>
      <c r="M79" s="4"/>
    </row>
    <row r="80" spans="2:19" x14ac:dyDescent="0.25">
      <c r="D80" s="272"/>
      <c r="E80" s="274"/>
      <c r="F80" s="7"/>
      <c r="M80" s="4"/>
    </row>
    <row r="81" spans="4:13" x14ac:dyDescent="0.25">
      <c r="D81" s="272"/>
      <c r="E81" s="274"/>
      <c r="F81" s="7"/>
      <c r="M81" s="4"/>
    </row>
    <row r="82" spans="4:13" x14ac:dyDescent="0.25">
      <c r="D82" s="272"/>
      <c r="E82" s="274"/>
      <c r="F82" s="7"/>
      <c r="M82" s="4"/>
    </row>
    <row r="83" spans="4:13" x14ac:dyDescent="0.25">
      <c r="D83" s="272"/>
      <c r="E83" s="274"/>
      <c r="F83" s="7"/>
    </row>
    <row r="84" spans="4:13" x14ac:dyDescent="0.25">
      <c r="D84" s="272"/>
      <c r="E84" s="272"/>
      <c r="F84" s="273"/>
    </row>
    <row r="85" spans="4:13" x14ac:dyDescent="0.25">
      <c r="D85" s="272"/>
      <c r="E85" s="272"/>
      <c r="F85" s="273"/>
    </row>
    <row r="86" spans="4:13" x14ac:dyDescent="0.25">
      <c r="D86" s="272"/>
      <c r="E86" s="272"/>
      <c r="F86" s="273"/>
    </row>
  </sheetData>
  <mergeCells count="17">
    <mergeCell ref="K62:L62"/>
    <mergeCell ref="D64:E64"/>
    <mergeCell ref="I64:J64"/>
    <mergeCell ref="K64:L64"/>
    <mergeCell ref="M58:N58"/>
    <mergeCell ref="D59:E59"/>
    <mergeCell ref="P59:Q59"/>
    <mergeCell ref="D60:E60"/>
    <mergeCell ref="I60:J60"/>
    <mergeCell ref="K60:L60"/>
    <mergeCell ref="C1:K1"/>
    <mergeCell ref="B3:C3"/>
    <mergeCell ref="H3:I3"/>
    <mergeCell ref="E4:F4"/>
    <mergeCell ref="H4:I4"/>
    <mergeCell ref="H58:I58"/>
    <mergeCell ref="K58:L58"/>
  </mergeCells>
  <pageMargins left="0.7" right="0.7" top="0.75" bottom="0.75" header="0.3" footer="0.3"/>
  <pageSetup orientation="landscape" horizontalDpi="0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66FF"/>
  </sheetPr>
  <dimension ref="A1:G72"/>
  <sheetViews>
    <sheetView topLeftCell="A16" workbookViewId="0">
      <selection activeCell="I15" sqref="I15"/>
    </sheetView>
  </sheetViews>
  <sheetFormatPr baseColWidth="10" defaultRowHeight="15" x14ac:dyDescent="0.25"/>
  <cols>
    <col min="1" max="1" width="13.42578125" style="60" bestFit="1" customWidth="1"/>
    <col min="2" max="2" width="12.85546875" bestFit="1" customWidth="1"/>
    <col min="3" max="3" width="15.85546875" style="9" bestFit="1" customWidth="1"/>
    <col min="4" max="4" width="12.42578125" bestFit="1" customWidth="1"/>
    <col min="5" max="5" width="15.140625" style="9" bestFit="1" customWidth="1"/>
    <col min="6" max="6" width="19.5703125" style="8" bestFit="1" customWidth="1"/>
  </cols>
  <sheetData>
    <row r="1" spans="1:7" ht="36.75" customHeight="1" x14ac:dyDescent="0.35">
      <c r="B1" s="175" t="s">
        <v>31</v>
      </c>
      <c r="C1" s="176"/>
      <c r="D1" s="177"/>
      <c r="E1" s="176"/>
      <c r="F1" s="178"/>
    </row>
    <row r="2" spans="1:7" ht="16.5" thickBot="1" x14ac:dyDescent="0.3">
      <c r="A2" s="179" t="s">
        <v>5</v>
      </c>
      <c r="B2" s="179" t="s">
        <v>27</v>
      </c>
      <c r="C2" s="180" t="s">
        <v>28</v>
      </c>
      <c r="D2" s="179" t="s">
        <v>29</v>
      </c>
      <c r="E2" s="180" t="s">
        <v>30</v>
      </c>
      <c r="F2" s="180" t="s">
        <v>28</v>
      </c>
    </row>
    <row r="3" spans="1:7" ht="18.75" x14ac:dyDescent="0.3">
      <c r="A3" s="192">
        <v>44292</v>
      </c>
      <c r="B3" s="193" t="s">
        <v>388</v>
      </c>
      <c r="C3" s="71">
        <v>33238.699999999997</v>
      </c>
      <c r="D3" s="194"/>
      <c r="E3" s="6"/>
      <c r="F3" s="182">
        <f>C3-E3</f>
        <v>33238.699999999997</v>
      </c>
    </row>
    <row r="4" spans="1:7" ht="18.75" x14ac:dyDescent="0.3">
      <c r="A4" s="192">
        <v>44292</v>
      </c>
      <c r="B4" s="193" t="s">
        <v>389</v>
      </c>
      <c r="C4" s="71">
        <v>78993.2</v>
      </c>
      <c r="D4" s="195"/>
      <c r="E4" s="71"/>
      <c r="F4" s="183">
        <f>F3+C4-E4</f>
        <v>112231.9</v>
      </c>
      <c r="G4" s="184"/>
    </row>
    <row r="5" spans="1:7" ht="15.75" x14ac:dyDescent="0.25">
      <c r="A5" s="195">
        <v>44292</v>
      </c>
      <c r="B5" s="193" t="s">
        <v>390</v>
      </c>
      <c r="C5" s="71">
        <v>37778.400000000001</v>
      </c>
      <c r="D5" s="195"/>
      <c r="E5" s="71"/>
      <c r="F5" s="183">
        <f t="shared" ref="F5:F35" si="0">F4+C5-E5</f>
        <v>150010.29999999999</v>
      </c>
    </row>
    <row r="6" spans="1:7" ht="15.75" x14ac:dyDescent="0.25">
      <c r="A6" s="195">
        <v>44293</v>
      </c>
      <c r="B6" s="193" t="s">
        <v>391</v>
      </c>
      <c r="C6" s="71">
        <v>198792.82</v>
      </c>
      <c r="D6" s="195"/>
      <c r="E6" s="71"/>
      <c r="F6" s="183">
        <f t="shared" si="0"/>
        <v>348803.12</v>
      </c>
    </row>
    <row r="7" spans="1:7" ht="15.75" x14ac:dyDescent="0.25">
      <c r="A7" s="195">
        <v>44294</v>
      </c>
      <c r="B7" s="193" t="s">
        <v>392</v>
      </c>
      <c r="C7" s="71">
        <v>37768.5</v>
      </c>
      <c r="D7" s="195"/>
      <c r="E7" s="71"/>
      <c r="F7" s="183">
        <f t="shared" si="0"/>
        <v>386571.62</v>
      </c>
    </row>
    <row r="8" spans="1:7" ht="15.75" x14ac:dyDescent="0.25">
      <c r="A8" s="195">
        <v>44294</v>
      </c>
      <c r="B8" s="193" t="s">
        <v>393</v>
      </c>
      <c r="C8" s="71">
        <v>123719.2</v>
      </c>
      <c r="D8" s="195">
        <v>44295</v>
      </c>
      <c r="E8" s="71">
        <v>482074.82</v>
      </c>
      <c r="F8" s="183">
        <f t="shared" si="0"/>
        <v>28216</v>
      </c>
    </row>
    <row r="9" spans="1:7" ht="15.75" x14ac:dyDescent="0.25">
      <c r="A9" s="195">
        <v>44295</v>
      </c>
      <c r="B9" s="193" t="s">
        <v>394</v>
      </c>
      <c r="C9" s="71">
        <v>131297</v>
      </c>
      <c r="D9" s="195"/>
      <c r="E9" s="71"/>
      <c r="F9" s="183">
        <f t="shared" si="0"/>
        <v>159513</v>
      </c>
    </row>
    <row r="10" spans="1:7" ht="18.75" x14ac:dyDescent="0.3">
      <c r="A10" s="195">
        <v>44296</v>
      </c>
      <c r="B10" s="193" t="s">
        <v>395</v>
      </c>
      <c r="C10" s="71">
        <v>150441.4</v>
      </c>
      <c r="D10" s="195"/>
      <c r="E10" s="71"/>
      <c r="F10" s="183">
        <f t="shared" si="0"/>
        <v>309954.40000000002</v>
      </c>
      <c r="G10" s="184"/>
    </row>
    <row r="11" spans="1:7" ht="15.75" x14ac:dyDescent="0.25">
      <c r="A11" s="192">
        <v>44298</v>
      </c>
      <c r="B11" s="193" t="s">
        <v>396</v>
      </c>
      <c r="C11" s="71">
        <v>99189.07</v>
      </c>
      <c r="D11" s="195"/>
      <c r="E11" s="71"/>
      <c r="F11" s="183">
        <f t="shared" si="0"/>
        <v>409143.47000000003</v>
      </c>
    </row>
    <row r="12" spans="1:7" ht="15.75" x14ac:dyDescent="0.25">
      <c r="A12" s="195">
        <v>44299</v>
      </c>
      <c r="B12" s="193" t="s">
        <v>397</v>
      </c>
      <c r="C12" s="71">
        <v>79881.2</v>
      </c>
      <c r="D12" s="195"/>
      <c r="E12" s="71"/>
      <c r="F12" s="183">
        <f t="shared" si="0"/>
        <v>489024.67000000004</v>
      </c>
    </row>
    <row r="13" spans="1:7" ht="15.75" x14ac:dyDescent="0.25">
      <c r="A13" s="195">
        <v>44300</v>
      </c>
      <c r="B13" s="193" t="s">
        <v>398</v>
      </c>
      <c r="C13" s="71">
        <v>84325.5</v>
      </c>
      <c r="D13" s="195"/>
      <c r="E13" s="71"/>
      <c r="F13" s="183">
        <f t="shared" si="0"/>
        <v>573350.17000000004</v>
      </c>
    </row>
    <row r="14" spans="1:7" ht="15.75" x14ac:dyDescent="0.25">
      <c r="A14" s="195">
        <v>44300</v>
      </c>
      <c r="B14" s="193" t="s">
        <v>399</v>
      </c>
      <c r="C14" s="71">
        <v>39987</v>
      </c>
      <c r="D14" s="195"/>
      <c r="E14" s="71"/>
      <c r="F14" s="183">
        <f t="shared" si="0"/>
        <v>613337.17000000004</v>
      </c>
    </row>
    <row r="15" spans="1:7" ht="15.75" x14ac:dyDescent="0.25">
      <c r="A15" s="195">
        <v>44301</v>
      </c>
      <c r="B15" s="193" t="s">
        <v>400</v>
      </c>
      <c r="C15" s="71">
        <v>1800</v>
      </c>
      <c r="D15" s="195"/>
      <c r="E15" s="71"/>
      <c r="F15" s="183">
        <f t="shared" si="0"/>
        <v>615137.17000000004</v>
      </c>
    </row>
    <row r="16" spans="1:7" ht="15.75" x14ac:dyDescent="0.25">
      <c r="A16" s="195">
        <v>44301</v>
      </c>
      <c r="B16" s="193" t="s">
        <v>401</v>
      </c>
      <c r="C16" s="71">
        <v>110796.5</v>
      </c>
      <c r="D16" s="195"/>
      <c r="E16" s="71"/>
      <c r="F16" s="183">
        <f t="shared" si="0"/>
        <v>725933.67</v>
      </c>
    </row>
    <row r="17" spans="1:7" ht="15.75" x14ac:dyDescent="0.25">
      <c r="A17" s="195">
        <v>44301</v>
      </c>
      <c r="B17" s="193" t="s">
        <v>402</v>
      </c>
      <c r="C17" s="71">
        <v>43027.65</v>
      </c>
      <c r="D17" s="195">
        <v>44303</v>
      </c>
      <c r="E17" s="71">
        <v>768961.32</v>
      </c>
      <c r="F17" s="183">
        <f t="shared" si="0"/>
        <v>0</v>
      </c>
    </row>
    <row r="18" spans="1:7" ht="15.75" x14ac:dyDescent="0.25">
      <c r="A18" s="195">
        <v>44302</v>
      </c>
      <c r="B18" s="193" t="s">
        <v>403</v>
      </c>
      <c r="C18" s="71">
        <v>79974</v>
      </c>
      <c r="D18" s="195"/>
      <c r="E18" s="71"/>
      <c r="F18" s="183">
        <f t="shared" si="0"/>
        <v>79974</v>
      </c>
    </row>
    <row r="19" spans="1:7" ht="15.75" x14ac:dyDescent="0.25">
      <c r="A19" s="195">
        <v>44303</v>
      </c>
      <c r="B19" s="193" t="s">
        <v>404</v>
      </c>
      <c r="C19" s="71">
        <v>171550.5</v>
      </c>
      <c r="D19" s="195"/>
      <c r="E19" s="71"/>
      <c r="F19" s="183">
        <f t="shared" si="0"/>
        <v>251524.5</v>
      </c>
    </row>
    <row r="20" spans="1:7" ht="15.75" x14ac:dyDescent="0.25">
      <c r="A20" s="195">
        <v>44305</v>
      </c>
      <c r="B20" s="193" t="s">
        <v>405</v>
      </c>
      <c r="C20" s="71">
        <v>235903.78</v>
      </c>
      <c r="D20" s="195"/>
      <c r="E20" s="71"/>
      <c r="F20" s="183">
        <f t="shared" si="0"/>
        <v>487428.28</v>
      </c>
    </row>
    <row r="21" spans="1:7" ht="15.75" x14ac:dyDescent="0.25">
      <c r="A21" s="195">
        <v>44307</v>
      </c>
      <c r="B21" s="193" t="s">
        <v>406</v>
      </c>
      <c r="C21" s="71">
        <v>149978.79999999999</v>
      </c>
      <c r="D21" s="195"/>
      <c r="E21" s="71"/>
      <c r="F21" s="183">
        <f t="shared" si="0"/>
        <v>637407.08000000007</v>
      </c>
    </row>
    <row r="22" spans="1:7" ht="18.75" x14ac:dyDescent="0.3">
      <c r="A22" s="195">
        <v>44308</v>
      </c>
      <c r="B22" s="193" t="s">
        <v>407</v>
      </c>
      <c r="C22" s="71">
        <v>142323.70000000001</v>
      </c>
      <c r="D22" s="195">
        <v>44310</v>
      </c>
      <c r="E22" s="71">
        <v>779730.78</v>
      </c>
      <c r="F22" s="183">
        <f t="shared" si="0"/>
        <v>0</v>
      </c>
      <c r="G22" s="184"/>
    </row>
    <row r="23" spans="1:7" ht="15.75" x14ac:dyDescent="0.25">
      <c r="A23" s="195">
        <v>44310</v>
      </c>
      <c r="B23" s="193" t="s">
        <v>408</v>
      </c>
      <c r="C23" s="71">
        <v>267999</v>
      </c>
      <c r="D23" s="195"/>
      <c r="E23" s="71"/>
      <c r="F23" s="183">
        <f t="shared" si="0"/>
        <v>267999</v>
      </c>
    </row>
    <row r="24" spans="1:7" ht="15.75" x14ac:dyDescent="0.25">
      <c r="A24" s="195">
        <v>44312</v>
      </c>
      <c r="B24" s="193" t="s">
        <v>409</v>
      </c>
      <c r="C24" s="71">
        <v>166894.43</v>
      </c>
      <c r="D24" s="195"/>
      <c r="E24" s="71"/>
      <c r="F24" s="183">
        <f t="shared" si="0"/>
        <v>434893.43</v>
      </c>
    </row>
    <row r="25" spans="1:7" ht="15.75" x14ac:dyDescent="0.25">
      <c r="A25" s="195">
        <v>44312</v>
      </c>
      <c r="B25" s="193" t="s">
        <v>410</v>
      </c>
      <c r="C25" s="71">
        <v>5313</v>
      </c>
      <c r="D25" s="195"/>
      <c r="E25" s="71"/>
      <c r="F25" s="183">
        <f t="shared" si="0"/>
        <v>440206.43</v>
      </c>
    </row>
    <row r="26" spans="1:7" ht="15.75" x14ac:dyDescent="0.25">
      <c r="A26" s="195">
        <v>44313</v>
      </c>
      <c r="B26" s="193" t="s">
        <v>411</v>
      </c>
      <c r="C26" s="71">
        <v>4174.1000000000004</v>
      </c>
      <c r="D26" s="195"/>
      <c r="E26" s="71"/>
      <c r="F26" s="183">
        <f t="shared" si="0"/>
        <v>444380.52999999997</v>
      </c>
    </row>
    <row r="27" spans="1:7" ht="15.75" x14ac:dyDescent="0.25">
      <c r="A27" s="195">
        <v>44314</v>
      </c>
      <c r="B27" s="193" t="s">
        <v>412</v>
      </c>
      <c r="C27" s="71">
        <v>15599.55</v>
      </c>
      <c r="D27" s="195"/>
      <c r="E27" s="71"/>
      <c r="F27" s="183">
        <f t="shared" si="0"/>
        <v>459980.07999999996</v>
      </c>
    </row>
    <row r="28" spans="1:7" ht="15.75" x14ac:dyDescent="0.25">
      <c r="A28" s="195">
        <v>44315</v>
      </c>
      <c r="B28" s="193" t="s">
        <v>413</v>
      </c>
      <c r="C28" s="71">
        <v>173324.2</v>
      </c>
      <c r="D28" s="195">
        <v>44317</v>
      </c>
      <c r="E28" s="71">
        <v>633304.28</v>
      </c>
      <c r="F28" s="183">
        <f t="shared" si="0"/>
        <v>0</v>
      </c>
    </row>
    <row r="29" spans="1:7" ht="15.75" x14ac:dyDescent="0.25">
      <c r="A29" s="195">
        <v>44317</v>
      </c>
      <c r="B29" s="193" t="s">
        <v>414</v>
      </c>
      <c r="C29" s="71">
        <v>133396.79999999999</v>
      </c>
      <c r="D29" s="195"/>
      <c r="E29" s="71"/>
      <c r="F29" s="183">
        <f t="shared" si="0"/>
        <v>133396.79999999999</v>
      </c>
    </row>
    <row r="30" spans="1:7" ht="18.75" x14ac:dyDescent="0.3">
      <c r="A30" s="195">
        <v>44317</v>
      </c>
      <c r="B30" s="193" t="s">
        <v>415</v>
      </c>
      <c r="C30" s="71">
        <v>43673.7</v>
      </c>
      <c r="D30" s="195"/>
      <c r="E30" s="71"/>
      <c r="F30" s="183">
        <f t="shared" si="0"/>
        <v>177070.5</v>
      </c>
      <c r="G30" s="184"/>
    </row>
    <row r="31" spans="1:7" ht="15.75" x14ac:dyDescent="0.25">
      <c r="A31" s="195">
        <v>44317</v>
      </c>
      <c r="B31" s="193" t="s">
        <v>416</v>
      </c>
      <c r="C31" s="71">
        <v>147278.18</v>
      </c>
      <c r="D31" s="195"/>
      <c r="E31" s="71"/>
      <c r="F31" s="183">
        <f t="shared" si="0"/>
        <v>324348.68</v>
      </c>
    </row>
    <row r="32" spans="1:7" ht="15.75" x14ac:dyDescent="0.25">
      <c r="A32" s="192">
        <v>44319</v>
      </c>
      <c r="B32" s="193" t="s">
        <v>417</v>
      </c>
      <c r="C32" s="71">
        <v>62504.4</v>
      </c>
      <c r="D32" s="195"/>
      <c r="E32" s="71"/>
      <c r="F32" s="183">
        <f t="shared" si="0"/>
        <v>386853.08</v>
      </c>
    </row>
    <row r="33" spans="1:6" ht="15.75" x14ac:dyDescent="0.25">
      <c r="A33" s="192">
        <v>44320</v>
      </c>
      <c r="B33" s="193" t="s">
        <v>418</v>
      </c>
      <c r="C33" s="71">
        <v>51792</v>
      </c>
      <c r="D33" s="195">
        <v>44323</v>
      </c>
      <c r="E33" s="71">
        <v>438645.08</v>
      </c>
      <c r="F33" s="183">
        <f t="shared" si="0"/>
        <v>0</v>
      </c>
    </row>
    <row r="34" spans="1:6" ht="15.75" x14ac:dyDescent="0.25">
      <c r="A34" s="192"/>
      <c r="B34" s="193"/>
      <c r="C34" s="71"/>
      <c r="D34" s="195"/>
      <c r="E34" s="71"/>
      <c r="F34" s="183">
        <f t="shared" si="0"/>
        <v>0</v>
      </c>
    </row>
    <row r="35" spans="1:6" ht="16.5" thickBot="1" x14ac:dyDescent="0.3">
      <c r="A35" s="188"/>
      <c r="B35" s="189"/>
      <c r="C35" s="84">
        <v>0</v>
      </c>
      <c r="D35" s="190"/>
      <c r="E35" s="84"/>
      <c r="F35" s="183">
        <f t="shared" si="0"/>
        <v>0</v>
      </c>
    </row>
    <row r="36" spans="1:6" ht="19.5" thickTop="1" x14ac:dyDescent="0.3">
      <c r="B36" s="60"/>
      <c r="C36" s="4">
        <f>SUM(C3:C35)</f>
        <v>3102716.2800000003</v>
      </c>
      <c r="D36" s="1"/>
      <c r="E36" s="4">
        <f>SUM(E3:E35)</f>
        <v>3102716.2800000003</v>
      </c>
      <c r="F36" s="191">
        <f>C36-E36</f>
        <v>0</v>
      </c>
    </row>
    <row r="37" spans="1:6" x14ac:dyDescent="0.25">
      <c r="B37" s="60"/>
      <c r="C37" s="4"/>
      <c r="D37" s="1"/>
      <c r="E37" s="8"/>
      <c r="F37" s="4"/>
    </row>
    <row r="38" spans="1:6" x14ac:dyDescent="0.25">
      <c r="B38" s="60"/>
      <c r="C38" s="4"/>
      <c r="D38" s="1"/>
      <c r="E38" s="8"/>
      <c r="F38" s="4"/>
    </row>
    <row r="39" spans="1:6" x14ac:dyDescent="0.25">
      <c r="A39"/>
      <c r="B39" s="34"/>
      <c r="D39" s="34"/>
    </row>
    <row r="40" spans="1:6" x14ac:dyDescent="0.25">
      <c r="A40"/>
      <c r="B40" s="34"/>
      <c r="D40" s="34"/>
    </row>
    <row r="41" spans="1:6" x14ac:dyDescent="0.25">
      <c r="A41"/>
      <c r="B41" s="34"/>
      <c r="D41" s="34"/>
    </row>
    <row r="42" spans="1:6" x14ac:dyDescent="0.25">
      <c r="A42"/>
      <c r="B42" s="34"/>
      <c r="D42" s="34"/>
      <c r="F42"/>
    </row>
    <row r="43" spans="1:6" x14ac:dyDescent="0.25">
      <c r="A43"/>
      <c r="B43" s="34"/>
      <c r="D43" s="34"/>
      <c r="F43"/>
    </row>
    <row r="44" spans="1:6" x14ac:dyDescent="0.25">
      <c r="A44"/>
      <c r="B44" s="34"/>
      <c r="D44" s="34"/>
      <c r="F44"/>
    </row>
    <row r="45" spans="1:6" x14ac:dyDescent="0.25">
      <c r="A45"/>
      <c r="B45" s="34"/>
      <c r="D45" s="34"/>
      <c r="F45"/>
    </row>
    <row r="46" spans="1:6" x14ac:dyDescent="0.25">
      <c r="A46"/>
      <c r="B46" s="34"/>
      <c r="D46" s="34"/>
      <c r="F46"/>
    </row>
    <row r="47" spans="1:6" x14ac:dyDescent="0.25">
      <c r="A47"/>
      <c r="B47" s="34"/>
      <c r="D47" s="34"/>
      <c r="F47"/>
    </row>
    <row r="48" spans="1:6" x14ac:dyDescent="0.25">
      <c r="A48"/>
      <c r="B48" s="34"/>
      <c r="D48" s="34"/>
      <c r="F48"/>
    </row>
    <row r="49" spans="1:6" x14ac:dyDescent="0.25">
      <c r="A49"/>
      <c r="B49" s="34"/>
      <c r="D49" s="34"/>
      <c r="F49"/>
    </row>
    <row r="50" spans="1:6" x14ac:dyDescent="0.25">
      <c r="A50"/>
      <c r="B50" s="34"/>
      <c r="D50" s="34"/>
      <c r="F50"/>
    </row>
    <row r="51" spans="1:6" x14ac:dyDescent="0.25">
      <c r="A51"/>
      <c r="B51" s="34"/>
      <c r="D51" s="34"/>
      <c r="E51"/>
      <c r="F51"/>
    </row>
    <row r="52" spans="1:6" x14ac:dyDescent="0.25">
      <c r="A52"/>
      <c r="B52" s="34"/>
      <c r="D52" s="34"/>
      <c r="E52"/>
      <c r="F52"/>
    </row>
    <row r="53" spans="1:6" x14ac:dyDescent="0.25">
      <c r="A53"/>
      <c r="B53" s="34"/>
      <c r="D53" s="34"/>
      <c r="E53"/>
      <c r="F53"/>
    </row>
    <row r="54" spans="1:6" x14ac:dyDescent="0.25">
      <c r="A54"/>
      <c r="B54" s="34"/>
      <c r="D54" s="34"/>
      <c r="E54"/>
      <c r="F54"/>
    </row>
    <row r="55" spans="1:6" x14ac:dyDescent="0.25">
      <c r="A55"/>
      <c r="B55" s="34"/>
      <c r="D55" s="34"/>
      <c r="E55"/>
      <c r="F55"/>
    </row>
    <row r="56" spans="1:6" x14ac:dyDescent="0.25">
      <c r="A56"/>
      <c r="B56" s="34"/>
      <c r="D56" s="34"/>
      <c r="E56"/>
      <c r="F56"/>
    </row>
    <row r="57" spans="1:6" x14ac:dyDescent="0.25">
      <c r="B57" s="34"/>
      <c r="D57" s="34"/>
      <c r="E57"/>
    </row>
    <row r="58" spans="1:6" x14ac:dyDescent="0.25">
      <c r="B58" s="34"/>
      <c r="D58" s="34"/>
      <c r="E58"/>
    </row>
    <row r="59" spans="1:6" x14ac:dyDescent="0.25">
      <c r="B59" s="34"/>
      <c r="D59" s="34"/>
      <c r="E59"/>
    </row>
    <row r="60" spans="1:6" x14ac:dyDescent="0.25">
      <c r="B60" s="34"/>
      <c r="D60" s="34"/>
      <c r="E60"/>
    </row>
    <row r="61" spans="1:6" x14ac:dyDescent="0.25">
      <c r="B61" s="34"/>
      <c r="D61" s="34"/>
      <c r="E61"/>
    </row>
    <row r="62" spans="1:6" x14ac:dyDescent="0.25">
      <c r="B62" s="34"/>
      <c r="D62" s="34"/>
      <c r="E62"/>
    </row>
    <row r="63" spans="1:6" x14ac:dyDescent="0.25">
      <c r="B63" s="34"/>
      <c r="D63" s="34"/>
      <c r="E63"/>
    </row>
    <row r="64" spans="1:6" x14ac:dyDescent="0.25">
      <c r="B64" s="34"/>
      <c r="D64" s="34"/>
      <c r="E64"/>
    </row>
    <row r="65" spans="2:5" x14ac:dyDescent="0.25">
      <c r="B65" s="34"/>
      <c r="D65" s="34"/>
      <c r="E65"/>
    </row>
    <row r="66" spans="2:5" x14ac:dyDescent="0.25">
      <c r="B66" s="34"/>
    </row>
    <row r="67" spans="2:5" x14ac:dyDescent="0.25">
      <c r="B67" s="34"/>
    </row>
    <row r="68" spans="2:5" x14ac:dyDescent="0.25">
      <c r="B68" s="34"/>
      <c r="D68" s="34"/>
    </row>
    <row r="69" spans="2:5" x14ac:dyDescent="0.25">
      <c r="B69" s="34"/>
    </row>
    <row r="70" spans="2:5" x14ac:dyDescent="0.25">
      <c r="B70" s="34"/>
    </row>
    <row r="71" spans="2:5" x14ac:dyDescent="0.25">
      <c r="B71" s="34"/>
    </row>
    <row r="72" spans="2:5" ht="18.75" x14ac:dyDescent="0.3">
      <c r="C72" s="12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8" tint="-0.249977111117893"/>
  </sheetPr>
  <dimension ref="A1:W92"/>
  <sheetViews>
    <sheetView topLeftCell="A34" zoomScale="85" zoomScaleNormal="85" workbookViewId="0">
      <selection activeCell="K47" sqref="K47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9" customWidth="1"/>
    <col min="4" max="4" width="15.28515625" customWidth="1"/>
    <col min="6" max="6" width="17.85546875" style="9" customWidth="1"/>
    <col min="7" max="7" width="2.85546875" customWidth="1"/>
    <col min="9" max="9" width="14.140625" style="9" customWidth="1"/>
    <col min="10" max="10" width="11.7109375" style="16" customWidth="1"/>
    <col min="11" max="11" width="17.28515625" customWidth="1"/>
    <col min="12" max="12" width="14.5703125" style="8" customWidth="1"/>
    <col min="13" max="13" width="18.140625" style="9" customWidth="1"/>
    <col min="14" max="14" width="14.140625" style="4" customWidth="1"/>
    <col min="15" max="15" width="7.5703125" style="13" customWidth="1"/>
    <col min="16" max="16" width="15.5703125" style="6" bestFit="1" customWidth="1"/>
    <col min="17" max="17" width="14.42578125" style="6" customWidth="1"/>
    <col min="18" max="18" width="11.28515625" style="6" bestFit="1" customWidth="1"/>
    <col min="19" max="19" width="15.5703125" style="7" bestFit="1" customWidth="1"/>
    <col min="20" max="20" width="23" customWidth="1"/>
    <col min="21" max="22" width="11.42578125" style="204"/>
    <col min="23" max="23" width="11.42578125" style="8"/>
  </cols>
  <sheetData>
    <row r="1" spans="1:23" ht="20.25" customHeight="1" thickBot="1" x14ac:dyDescent="0.4">
      <c r="C1" s="540" t="s">
        <v>504</v>
      </c>
      <c r="D1" s="540"/>
      <c r="E1" s="540"/>
      <c r="F1" s="540"/>
      <c r="G1" s="540"/>
      <c r="H1" s="540"/>
      <c r="I1" s="540"/>
      <c r="J1" s="540"/>
      <c r="K1" s="540"/>
      <c r="L1" s="2"/>
      <c r="M1" s="3"/>
      <c r="U1" s="209"/>
      <c r="V1" s="205" t="s">
        <v>52</v>
      </c>
      <c r="W1" s="206"/>
    </row>
    <row r="2" spans="1:23" ht="15" customHeight="1" thickBot="1" x14ac:dyDescent="0.3">
      <c r="C2" s="8"/>
      <c r="H2" s="10" t="s">
        <v>0</v>
      </c>
      <c r="I2" s="3"/>
      <c r="J2" s="11"/>
      <c r="L2" s="12"/>
      <c r="M2" s="3"/>
      <c r="N2" s="6"/>
      <c r="U2" s="214" t="s">
        <v>53</v>
      </c>
      <c r="V2" s="215" t="s">
        <v>5</v>
      </c>
      <c r="W2" s="216" t="s">
        <v>28</v>
      </c>
    </row>
    <row r="3" spans="1:23" ht="18" customHeight="1" thickBot="1" x14ac:dyDescent="0.35">
      <c r="B3" s="541" t="s">
        <v>1</v>
      </c>
      <c r="C3" s="542"/>
      <c r="D3" s="14"/>
      <c r="E3" s="15"/>
      <c r="F3" s="15"/>
      <c r="H3" s="543" t="s">
        <v>2</v>
      </c>
      <c r="I3" s="543"/>
      <c r="K3" s="17" t="s">
        <v>3</v>
      </c>
      <c r="L3" s="17" t="s">
        <v>4</v>
      </c>
      <c r="M3" s="18"/>
      <c r="U3" s="213" t="s">
        <v>54</v>
      </c>
      <c r="V3" s="219">
        <v>44201</v>
      </c>
      <c r="W3" s="198">
        <v>2000</v>
      </c>
    </row>
    <row r="4" spans="1:23" ht="20.25" thickTop="1" thickBot="1" x14ac:dyDescent="0.35">
      <c r="A4" s="20" t="s">
        <v>6</v>
      </c>
      <c r="B4" s="21"/>
      <c r="C4" s="22">
        <v>249311.35999999999</v>
      </c>
      <c r="D4" s="23">
        <v>44320</v>
      </c>
      <c r="E4" s="544" t="s">
        <v>7</v>
      </c>
      <c r="F4" s="545"/>
      <c r="H4" s="546" t="s">
        <v>8</v>
      </c>
      <c r="I4" s="547"/>
      <c r="J4" s="24"/>
      <c r="K4" s="25"/>
      <c r="L4" s="26"/>
      <c r="M4" s="27" t="s">
        <v>9</v>
      </c>
      <c r="N4" s="28" t="s">
        <v>10</v>
      </c>
      <c r="O4" s="29"/>
      <c r="P4" s="30"/>
      <c r="Q4" s="31"/>
      <c r="R4" s="30"/>
      <c r="S4" s="30"/>
      <c r="U4" s="213" t="s">
        <v>55</v>
      </c>
      <c r="V4" s="219">
        <v>44209</v>
      </c>
      <c r="W4" s="217">
        <v>2000</v>
      </c>
    </row>
    <row r="5" spans="1:23" ht="15.75" thickBot="1" x14ac:dyDescent="0.3">
      <c r="A5" s="34" t="s">
        <v>11</v>
      </c>
      <c r="B5" s="134">
        <v>44321</v>
      </c>
      <c r="C5" s="36">
        <v>7012.81</v>
      </c>
      <c r="D5" s="135" t="s">
        <v>432</v>
      </c>
      <c r="E5" s="136">
        <v>44321</v>
      </c>
      <c r="F5" s="37">
        <v>95578</v>
      </c>
      <c r="G5" s="137"/>
      <c r="H5" s="138">
        <v>44321</v>
      </c>
      <c r="I5" s="38">
        <v>495</v>
      </c>
      <c r="J5" s="39"/>
      <c r="K5" s="157"/>
      <c r="L5" s="6"/>
      <c r="M5" s="41">
        <f>81959+2217</f>
        <v>84176</v>
      </c>
      <c r="N5" s="42">
        <v>3894</v>
      </c>
      <c r="O5" s="29"/>
      <c r="P5" s="7">
        <f>C5+I5+M5+N5+L5</f>
        <v>95577.81</v>
      </c>
      <c r="Q5" s="6">
        <f>P5-F5</f>
        <v>-0.19000000000232831</v>
      </c>
      <c r="R5" s="7"/>
      <c r="T5" s="37"/>
      <c r="U5" s="213" t="s">
        <v>56</v>
      </c>
      <c r="V5" s="220">
        <v>44216</v>
      </c>
      <c r="W5" s="218">
        <v>2000</v>
      </c>
    </row>
    <row r="6" spans="1:23" ht="16.5" thickBot="1" x14ac:dyDescent="0.3">
      <c r="A6" s="34"/>
      <c r="B6" s="134">
        <v>44322</v>
      </c>
      <c r="C6" s="36">
        <v>6238</v>
      </c>
      <c r="D6" s="139" t="s">
        <v>347</v>
      </c>
      <c r="E6" s="136">
        <v>44322</v>
      </c>
      <c r="F6" s="37">
        <v>128352</v>
      </c>
      <c r="G6" s="137"/>
      <c r="H6" s="138">
        <v>44322</v>
      </c>
      <c r="I6" s="43">
        <v>495</v>
      </c>
      <c r="J6" s="52"/>
      <c r="K6" s="151"/>
      <c r="L6" s="46"/>
      <c r="M6" s="41">
        <v>119547</v>
      </c>
      <c r="N6" s="42">
        <v>2072</v>
      </c>
      <c r="O6" s="47" t="s">
        <v>351</v>
      </c>
      <c r="P6" s="7">
        <f>C6+I6+M6+N6+L6</f>
        <v>128352</v>
      </c>
      <c r="Q6" s="6">
        <f>P6-F6</f>
        <v>0</v>
      </c>
      <c r="R6" s="48"/>
      <c r="T6" s="37"/>
      <c r="U6" s="213" t="s">
        <v>57</v>
      </c>
      <c r="V6" s="220">
        <v>44222</v>
      </c>
      <c r="W6" s="218">
        <v>2000</v>
      </c>
    </row>
    <row r="7" spans="1:23" ht="16.5" thickBot="1" x14ac:dyDescent="0.3">
      <c r="A7" s="34"/>
      <c r="B7" s="134">
        <v>44323</v>
      </c>
      <c r="C7" s="36">
        <v>1140</v>
      </c>
      <c r="D7" s="140" t="s">
        <v>45</v>
      </c>
      <c r="E7" s="136">
        <v>44323</v>
      </c>
      <c r="F7" s="37">
        <v>145929</v>
      </c>
      <c r="G7" s="137"/>
      <c r="H7" s="138">
        <v>44323</v>
      </c>
      <c r="I7" s="49">
        <v>10570</v>
      </c>
      <c r="J7" s="52"/>
      <c r="K7" s="158"/>
      <c r="L7" s="46"/>
      <c r="M7" s="41">
        <v>120453</v>
      </c>
      <c r="N7" s="42">
        <v>16799</v>
      </c>
      <c r="O7" s="276" t="s">
        <v>351</v>
      </c>
      <c r="P7" s="7">
        <f t="shared" ref="P7:P37" si="0">C7+I7+M7+N7+L7</f>
        <v>148962</v>
      </c>
      <c r="Q7" s="201">
        <f t="shared" ref="Q7:Q61" si="1">P7-F7</f>
        <v>3033</v>
      </c>
      <c r="R7" s="382"/>
      <c r="T7" s="37"/>
      <c r="U7" s="213" t="s">
        <v>58</v>
      </c>
      <c r="V7" s="220">
        <v>44230</v>
      </c>
      <c r="W7" s="218">
        <v>2000</v>
      </c>
    </row>
    <row r="8" spans="1:23" ht="15.75" thickBot="1" x14ac:dyDescent="0.3">
      <c r="A8" s="34"/>
      <c r="B8" s="134">
        <v>44324</v>
      </c>
      <c r="C8" s="36">
        <v>5693</v>
      </c>
      <c r="D8" s="141" t="s">
        <v>433</v>
      </c>
      <c r="E8" s="136">
        <v>44324</v>
      </c>
      <c r="F8" s="37">
        <v>230776</v>
      </c>
      <c r="G8" s="137"/>
      <c r="H8" s="138">
        <v>44324</v>
      </c>
      <c r="I8" s="49">
        <v>550</v>
      </c>
      <c r="J8" s="291">
        <v>44324</v>
      </c>
      <c r="K8" s="158" t="s">
        <v>434</v>
      </c>
      <c r="L8" s="46">
        <f>16387.84+400+4000</f>
        <v>20787.84</v>
      </c>
      <c r="M8" s="41">
        <v>195553</v>
      </c>
      <c r="N8" s="42">
        <v>16894</v>
      </c>
      <c r="O8" s="275" t="s">
        <v>279</v>
      </c>
      <c r="P8" s="7">
        <f t="shared" si="0"/>
        <v>239477.84</v>
      </c>
      <c r="Q8" s="202">
        <f t="shared" si="1"/>
        <v>8701.8399999999965</v>
      </c>
      <c r="R8" s="383"/>
      <c r="T8" s="37"/>
      <c r="U8" s="213" t="s">
        <v>59</v>
      </c>
      <c r="V8" s="220">
        <v>44239</v>
      </c>
      <c r="W8" s="218">
        <v>2000</v>
      </c>
    </row>
    <row r="9" spans="1:23" ht="15.75" thickBot="1" x14ac:dyDescent="0.3">
      <c r="A9" s="34"/>
      <c r="B9" s="134">
        <v>44325</v>
      </c>
      <c r="C9" s="36">
        <v>14613</v>
      </c>
      <c r="D9" s="141" t="s">
        <v>435</v>
      </c>
      <c r="E9" s="136">
        <v>44325</v>
      </c>
      <c r="F9" s="37">
        <v>110367</v>
      </c>
      <c r="G9" s="137"/>
      <c r="H9" s="138">
        <v>44325</v>
      </c>
      <c r="I9" s="49">
        <v>550</v>
      </c>
      <c r="J9" s="52"/>
      <c r="K9" s="159"/>
      <c r="L9" s="46"/>
      <c r="M9" s="41">
        <v>87079</v>
      </c>
      <c r="N9" s="42">
        <v>8125</v>
      </c>
      <c r="O9" s="47"/>
      <c r="P9" s="7">
        <f t="shared" si="0"/>
        <v>110367</v>
      </c>
      <c r="Q9" s="6">
        <f t="shared" si="1"/>
        <v>0</v>
      </c>
      <c r="R9" s="48"/>
      <c r="T9" s="37"/>
      <c r="U9" s="213" t="s">
        <v>60</v>
      </c>
      <c r="V9" s="220">
        <v>44253</v>
      </c>
      <c r="W9" s="218">
        <v>2000</v>
      </c>
    </row>
    <row r="10" spans="1:23" ht="15.75" thickBot="1" x14ac:dyDescent="0.3">
      <c r="A10" s="34"/>
      <c r="B10" s="134">
        <v>44326</v>
      </c>
      <c r="C10" s="36">
        <v>11047</v>
      </c>
      <c r="D10" s="140" t="s">
        <v>436</v>
      </c>
      <c r="E10" s="136">
        <v>44326</v>
      </c>
      <c r="F10" s="37">
        <v>180626</v>
      </c>
      <c r="G10" s="137"/>
      <c r="H10" s="138">
        <v>44326</v>
      </c>
      <c r="I10" s="49">
        <v>975</v>
      </c>
      <c r="J10" s="52">
        <v>44326</v>
      </c>
      <c r="K10" s="160" t="s">
        <v>437</v>
      </c>
      <c r="L10" s="53">
        <v>3750</v>
      </c>
      <c r="M10" s="41">
        <v>164674</v>
      </c>
      <c r="N10" s="42">
        <v>2339</v>
      </c>
      <c r="O10" s="47"/>
      <c r="P10" s="7">
        <f t="shared" si="0"/>
        <v>182785</v>
      </c>
      <c r="Q10" s="201">
        <f t="shared" si="1"/>
        <v>2159</v>
      </c>
      <c r="R10" s="383"/>
      <c r="T10" s="37"/>
      <c r="U10" s="213" t="s">
        <v>61</v>
      </c>
      <c r="V10" s="220">
        <v>44253</v>
      </c>
      <c r="W10" s="218">
        <v>2000</v>
      </c>
    </row>
    <row r="11" spans="1:23" ht="15.75" thickBot="1" x14ac:dyDescent="0.3">
      <c r="A11" s="34"/>
      <c r="B11" s="134">
        <v>44327</v>
      </c>
      <c r="C11" s="36">
        <v>3360</v>
      </c>
      <c r="D11" s="139" t="s">
        <v>438</v>
      </c>
      <c r="E11" s="136">
        <v>44327</v>
      </c>
      <c r="F11" s="37">
        <v>93500</v>
      </c>
      <c r="G11" s="137"/>
      <c r="H11" s="138">
        <v>44327</v>
      </c>
      <c r="I11" s="49">
        <v>659</v>
      </c>
      <c r="J11" s="292"/>
      <c r="K11" s="161"/>
      <c r="L11" s="46"/>
      <c r="M11" s="41">
        <v>86234</v>
      </c>
      <c r="N11" s="42">
        <v>3247</v>
      </c>
      <c r="O11" s="47"/>
      <c r="P11" s="7">
        <f t="shared" si="0"/>
        <v>93500</v>
      </c>
      <c r="Q11" s="6">
        <f t="shared" si="1"/>
        <v>0</v>
      </c>
      <c r="R11" s="48"/>
      <c r="T11" s="37"/>
      <c r="U11" s="213" t="s">
        <v>62</v>
      </c>
      <c r="V11" s="220">
        <v>44258</v>
      </c>
      <c r="W11" s="218">
        <v>2000</v>
      </c>
    </row>
    <row r="12" spans="1:23" ht="15.75" thickBot="1" x14ac:dyDescent="0.3">
      <c r="A12" s="34"/>
      <c r="B12" s="134">
        <v>44328</v>
      </c>
      <c r="C12" s="36">
        <v>4614</v>
      </c>
      <c r="D12" s="139" t="s">
        <v>439</v>
      </c>
      <c r="E12" s="136">
        <v>44328</v>
      </c>
      <c r="F12" s="37">
        <v>85798</v>
      </c>
      <c r="G12" s="137"/>
      <c r="H12" s="138">
        <v>44328</v>
      </c>
      <c r="I12" s="49">
        <v>440</v>
      </c>
      <c r="J12" s="52"/>
      <c r="K12" s="158"/>
      <c r="L12" s="46"/>
      <c r="M12" s="41">
        <v>73736</v>
      </c>
      <c r="N12" s="42">
        <v>7007</v>
      </c>
      <c r="O12" s="47"/>
      <c r="P12" s="7">
        <f t="shared" si="0"/>
        <v>85797</v>
      </c>
      <c r="Q12" s="6">
        <f t="shared" si="1"/>
        <v>-1</v>
      </c>
      <c r="R12" s="56"/>
      <c r="T12" s="37"/>
      <c r="U12" s="213" t="s">
        <v>63</v>
      </c>
      <c r="V12" s="220">
        <v>44265</v>
      </c>
      <c r="W12" s="218">
        <v>2000</v>
      </c>
    </row>
    <row r="13" spans="1:23" ht="15.75" thickBot="1" x14ac:dyDescent="0.3">
      <c r="A13" s="34"/>
      <c r="B13" s="134">
        <v>44329</v>
      </c>
      <c r="C13" s="36">
        <v>1712</v>
      </c>
      <c r="D13" s="141" t="s">
        <v>45</v>
      </c>
      <c r="E13" s="136">
        <v>44329</v>
      </c>
      <c r="F13" s="37">
        <v>162831</v>
      </c>
      <c r="G13" s="137"/>
      <c r="H13" s="138">
        <v>44329</v>
      </c>
      <c r="I13" s="49">
        <v>495</v>
      </c>
      <c r="J13" s="52"/>
      <c r="K13" s="158"/>
      <c r="L13" s="46"/>
      <c r="M13" s="41">
        <v>155876</v>
      </c>
      <c r="N13" s="42">
        <v>4748</v>
      </c>
      <c r="O13" s="47"/>
      <c r="P13" s="7">
        <f t="shared" si="0"/>
        <v>162831</v>
      </c>
      <c r="Q13" s="6">
        <f t="shared" si="1"/>
        <v>0</v>
      </c>
      <c r="R13" s="48"/>
      <c r="T13" s="37"/>
      <c r="U13" s="213" t="s">
        <v>64</v>
      </c>
      <c r="V13" s="220">
        <v>44272</v>
      </c>
      <c r="W13" s="218">
        <v>2000</v>
      </c>
    </row>
    <row r="14" spans="1:23" ht="15.75" thickBot="1" x14ac:dyDescent="0.3">
      <c r="A14" s="34"/>
      <c r="B14" s="134">
        <v>44330</v>
      </c>
      <c r="C14" s="36">
        <v>4933</v>
      </c>
      <c r="D14" s="140" t="s">
        <v>440</v>
      </c>
      <c r="E14" s="136">
        <v>44330</v>
      </c>
      <c r="F14" s="37">
        <v>149977</v>
      </c>
      <c r="G14" s="137"/>
      <c r="H14" s="138">
        <v>44330</v>
      </c>
      <c r="I14" s="49">
        <v>12570</v>
      </c>
      <c r="J14" s="52"/>
      <c r="K14" s="158"/>
      <c r="L14" s="46"/>
      <c r="M14" s="41">
        <f>117640+2196</f>
        <v>119836</v>
      </c>
      <c r="N14" s="42">
        <v>12638</v>
      </c>
      <c r="O14" s="47"/>
      <c r="P14" s="7">
        <f t="shared" si="0"/>
        <v>149977</v>
      </c>
      <c r="Q14" s="6">
        <f t="shared" si="1"/>
        <v>0</v>
      </c>
      <c r="R14" s="54"/>
      <c r="T14" s="37"/>
      <c r="U14" s="213" t="s">
        <v>65</v>
      </c>
      <c r="V14" s="220">
        <v>44281</v>
      </c>
      <c r="W14" s="218">
        <v>2000</v>
      </c>
    </row>
    <row r="15" spans="1:23" ht="15.75" thickBot="1" x14ac:dyDescent="0.3">
      <c r="A15" s="34"/>
      <c r="B15" s="134">
        <v>44331</v>
      </c>
      <c r="C15" s="36">
        <v>11142</v>
      </c>
      <c r="D15" s="139" t="s">
        <v>441</v>
      </c>
      <c r="E15" s="136">
        <v>44331</v>
      </c>
      <c r="F15" s="37">
        <v>169138</v>
      </c>
      <c r="G15" s="137"/>
      <c r="H15" s="138">
        <v>44331</v>
      </c>
      <c r="I15" s="49">
        <v>895</v>
      </c>
      <c r="J15" s="52">
        <v>44331</v>
      </c>
      <c r="K15" s="158" t="s">
        <v>442</v>
      </c>
      <c r="L15" s="46">
        <f>15306.71+400+4000</f>
        <v>19706.71</v>
      </c>
      <c r="M15" s="41">
        <v>147190</v>
      </c>
      <c r="N15" s="42">
        <v>5582</v>
      </c>
      <c r="O15" s="47" t="s">
        <v>279</v>
      </c>
      <c r="P15" s="7">
        <f t="shared" si="0"/>
        <v>184515.71</v>
      </c>
      <c r="Q15" s="202">
        <f t="shared" si="1"/>
        <v>15377.709999999992</v>
      </c>
      <c r="R15" s="259">
        <v>7278</v>
      </c>
      <c r="S15" s="384"/>
      <c r="T15" s="37"/>
      <c r="U15" s="213" t="s">
        <v>66</v>
      </c>
      <c r="V15" s="220"/>
      <c r="W15" s="218"/>
    </row>
    <row r="16" spans="1:23" ht="15.75" thickBot="1" x14ac:dyDescent="0.3">
      <c r="A16" s="34"/>
      <c r="B16" s="134">
        <v>44332</v>
      </c>
      <c r="C16" s="36">
        <v>23261</v>
      </c>
      <c r="D16" s="139" t="s">
        <v>443</v>
      </c>
      <c r="E16" s="136">
        <v>44332</v>
      </c>
      <c r="F16" s="37">
        <v>128866</v>
      </c>
      <c r="G16" s="137"/>
      <c r="H16" s="138">
        <v>44332</v>
      </c>
      <c r="I16" s="49">
        <v>1430</v>
      </c>
      <c r="J16" s="52"/>
      <c r="K16" s="158"/>
      <c r="L16" s="6"/>
      <c r="M16" s="41">
        <v>92949</v>
      </c>
      <c r="N16" s="42">
        <v>11226</v>
      </c>
      <c r="O16" s="47"/>
      <c r="P16" s="7">
        <f t="shared" si="0"/>
        <v>128866</v>
      </c>
      <c r="Q16" s="6">
        <f t="shared" si="1"/>
        <v>0</v>
      </c>
      <c r="R16" s="58"/>
      <c r="T16" s="37"/>
      <c r="U16" s="213" t="s">
        <v>67</v>
      </c>
      <c r="V16" s="220">
        <v>44300</v>
      </c>
      <c r="W16" s="218">
        <v>2000</v>
      </c>
    </row>
    <row r="17" spans="1:23" ht="15.75" thickBot="1" x14ac:dyDescent="0.3">
      <c r="A17" s="34"/>
      <c r="B17" s="134">
        <v>44333</v>
      </c>
      <c r="C17" s="36">
        <v>6966</v>
      </c>
      <c r="D17" s="141" t="s">
        <v>444</v>
      </c>
      <c r="E17" s="136">
        <v>44333</v>
      </c>
      <c r="F17" s="37">
        <v>133988</v>
      </c>
      <c r="G17" s="137"/>
      <c r="H17" s="138">
        <v>44333</v>
      </c>
      <c r="I17" s="49">
        <v>495</v>
      </c>
      <c r="J17" s="52"/>
      <c r="K17" s="158"/>
      <c r="L17" s="53"/>
      <c r="M17" s="41">
        <v>124042</v>
      </c>
      <c r="N17" s="42">
        <v>2485</v>
      </c>
      <c r="O17" s="47" t="s">
        <v>351</v>
      </c>
      <c r="P17" s="7">
        <f t="shared" si="0"/>
        <v>133988</v>
      </c>
      <c r="Q17" s="6">
        <f t="shared" si="1"/>
        <v>0</v>
      </c>
      <c r="R17" s="48"/>
      <c r="T17" s="37"/>
      <c r="U17" s="213" t="s">
        <v>68</v>
      </c>
      <c r="V17" s="220">
        <v>44300</v>
      </c>
      <c r="W17" s="218">
        <v>2000</v>
      </c>
    </row>
    <row r="18" spans="1:23" ht="15.75" thickBot="1" x14ac:dyDescent="0.3">
      <c r="A18" s="34"/>
      <c r="B18" s="134">
        <v>44334</v>
      </c>
      <c r="C18" s="36">
        <v>391</v>
      </c>
      <c r="D18" s="139" t="s">
        <v>445</v>
      </c>
      <c r="E18" s="136">
        <v>44334</v>
      </c>
      <c r="F18" s="37">
        <v>99312</v>
      </c>
      <c r="G18" s="137"/>
      <c r="H18" s="138">
        <v>44334</v>
      </c>
      <c r="I18" s="49">
        <v>799.2</v>
      </c>
      <c r="J18" s="52"/>
      <c r="K18" s="278"/>
      <c r="L18" s="46"/>
      <c r="M18" s="41">
        <v>90444</v>
      </c>
      <c r="N18" s="42">
        <v>7677</v>
      </c>
      <c r="O18" s="47"/>
      <c r="P18" s="7">
        <f t="shared" si="0"/>
        <v>99311.2</v>
      </c>
      <c r="Q18" s="6">
        <f t="shared" si="1"/>
        <v>-0.80000000000291038</v>
      </c>
      <c r="R18" s="48"/>
      <c r="T18" s="37"/>
      <c r="U18" s="213" t="s">
        <v>69</v>
      </c>
      <c r="V18" s="220">
        <v>44309</v>
      </c>
      <c r="W18" s="218">
        <v>2000</v>
      </c>
    </row>
    <row r="19" spans="1:23" ht="15.75" thickBot="1" x14ac:dyDescent="0.3">
      <c r="A19" s="34"/>
      <c r="B19" s="134">
        <v>44335</v>
      </c>
      <c r="C19" s="36">
        <v>9909</v>
      </c>
      <c r="D19" s="139" t="s">
        <v>446</v>
      </c>
      <c r="E19" s="136">
        <v>44335</v>
      </c>
      <c r="F19" s="37">
        <v>126992</v>
      </c>
      <c r="G19" s="137"/>
      <c r="H19" s="138">
        <v>44335</v>
      </c>
      <c r="I19" s="49">
        <v>553</v>
      </c>
      <c r="J19" s="52"/>
      <c r="K19" s="163"/>
      <c r="L19" s="59"/>
      <c r="M19" s="41">
        <f>113103+400</f>
        <v>113503</v>
      </c>
      <c r="N19" s="42">
        <v>3027</v>
      </c>
      <c r="O19" s="47" t="s">
        <v>351</v>
      </c>
      <c r="P19" s="7">
        <f t="shared" si="0"/>
        <v>126992</v>
      </c>
      <c r="Q19" s="6">
        <f t="shared" si="1"/>
        <v>0</v>
      </c>
      <c r="R19" s="58"/>
      <c r="T19" s="37"/>
      <c r="U19" s="213" t="s">
        <v>70</v>
      </c>
      <c r="V19" s="220">
        <v>44320</v>
      </c>
      <c r="W19" s="218">
        <v>2000</v>
      </c>
    </row>
    <row r="20" spans="1:23" ht="15.75" thickBot="1" x14ac:dyDescent="0.3">
      <c r="A20" s="34"/>
      <c r="B20" s="134">
        <v>44336</v>
      </c>
      <c r="C20" s="36">
        <v>7182</v>
      </c>
      <c r="D20" s="139" t="s">
        <v>447</v>
      </c>
      <c r="E20" s="136">
        <v>44336</v>
      </c>
      <c r="F20" s="37">
        <v>110225</v>
      </c>
      <c r="G20" s="137"/>
      <c r="H20" s="138">
        <v>44336</v>
      </c>
      <c r="I20" s="49">
        <v>650</v>
      </c>
      <c r="J20" s="52"/>
      <c r="K20" s="164"/>
      <c r="L20" s="53"/>
      <c r="M20" s="41">
        <v>99760</v>
      </c>
      <c r="N20" s="42">
        <v>2633</v>
      </c>
      <c r="O20" s="47"/>
      <c r="P20" s="7">
        <f t="shared" si="0"/>
        <v>110225</v>
      </c>
      <c r="Q20" s="6">
        <f t="shared" si="1"/>
        <v>0</v>
      </c>
      <c r="R20" s="58"/>
      <c r="T20" s="37"/>
      <c r="U20" s="213" t="s">
        <v>71</v>
      </c>
      <c r="V20" s="220">
        <v>44320</v>
      </c>
      <c r="W20" s="218">
        <v>2000</v>
      </c>
    </row>
    <row r="21" spans="1:23" ht="15.75" thickBot="1" x14ac:dyDescent="0.3">
      <c r="A21" s="34"/>
      <c r="B21" s="134">
        <v>44337</v>
      </c>
      <c r="C21" s="36">
        <v>7034</v>
      </c>
      <c r="D21" s="139" t="s">
        <v>448</v>
      </c>
      <c r="E21" s="136">
        <v>44337</v>
      </c>
      <c r="F21" s="37">
        <v>188814</v>
      </c>
      <c r="G21" s="137"/>
      <c r="H21" s="138">
        <v>44337</v>
      </c>
      <c r="I21" s="49">
        <v>7560</v>
      </c>
      <c r="J21" s="52"/>
      <c r="K21" s="162"/>
      <c r="L21" s="53"/>
      <c r="M21" s="41">
        <v>163129</v>
      </c>
      <c r="N21" s="42">
        <v>11091</v>
      </c>
      <c r="O21" s="47" t="s">
        <v>279</v>
      </c>
      <c r="P21" s="7">
        <f t="shared" si="0"/>
        <v>188814</v>
      </c>
      <c r="Q21" s="6">
        <f t="shared" si="1"/>
        <v>0</v>
      </c>
      <c r="R21" s="58"/>
      <c r="T21" s="37"/>
      <c r="U21" s="213" t="s">
        <v>72</v>
      </c>
      <c r="V21" s="220">
        <v>44330</v>
      </c>
      <c r="W21" s="218">
        <v>2000</v>
      </c>
    </row>
    <row r="22" spans="1:23" ht="15.75" thickBot="1" x14ac:dyDescent="0.3">
      <c r="A22" s="34"/>
      <c r="B22" s="134">
        <v>44338</v>
      </c>
      <c r="C22" s="36">
        <v>1580</v>
      </c>
      <c r="D22" s="139" t="s">
        <v>449</v>
      </c>
      <c r="E22" s="136">
        <v>44338</v>
      </c>
      <c r="F22" s="37">
        <v>176430</v>
      </c>
      <c r="G22" s="137"/>
      <c r="H22" s="138">
        <v>44338</v>
      </c>
      <c r="I22" s="49">
        <v>5550</v>
      </c>
      <c r="J22" s="52">
        <v>44338</v>
      </c>
      <c r="K22" s="165" t="s">
        <v>450</v>
      </c>
      <c r="L22" s="61">
        <f>16782.75+400+4000</f>
        <v>21182.75</v>
      </c>
      <c r="M22" s="41">
        <v>145895</v>
      </c>
      <c r="N22" s="42">
        <v>11076</v>
      </c>
      <c r="O22" s="47" t="s">
        <v>351</v>
      </c>
      <c r="P22" s="7">
        <f t="shared" si="0"/>
        <v>185283.75</v>
      </c>
      <c r="Q22" s="202">
        <f t="shared" si="1"/>
        <v>8853.75</v>
      </c>
      <c r="R22" s="384"/>
      <c r="T22" s="37"/>
      <c r="U22" s="213" t="s">
        <v>73</v>
      </c>
      <c r="V22" s="220">
        <v>44337</v>
      </c>
      <c r="W22" s="218">
        <v>2000</v>
      </c>
    </row>
    <row r="23" spans="1:23" ht="15.75" thickBot="1" x14ac:dyDescent="0.3">
      <c r="A23" s="34"/>
      <c r="B23" s="134">
        <v>44339</v>
      </c>
      <c r="C23" s="36">
        <v>9277</v>
      </c>
      <c r="D23" s="139" t="s">
        <v>451</v>
      </c>
      <c r="E23" s="136">
        <v>44339</v>
      </c>
      <c r="F23" s="37">
        <v>107356</v>
      </c>
      <c r="G23" s="137"/>
      <c r="H23" s="138">
        <v>44339</v>
      </c>
      <c r="I23" s="49">
        <v>550</v>
      </c>
      <c r="J23" s="293"/>
      <c r="K23" s="279"/>
      <c r="L23" s="53"/>
      <c r="M23" s="41">
        <v>90752</v>
      </c>
      <c r="N23" s="42">
        <v>6777</v>
      </c>
      <c r="O23" s="47"/>
      <c r="P23" s="7">
        <f t="shared" si="0"/>
        <v>107356</v>
      </c>
      <c r="Q23" s="6">
        <f t="shared" si="1"/>
        <v>0</v>
      </c>
      <c r="R23" s="54"/>
      <c r="T23" s="37"/>
      <c r="U23" s="213" t="s">
        <v>74</v>
      </c>
      <c r="V23" s="220">
        <v>44342</v>
      </c>
      <c r="W23" s="218">
        <v>2000</v>
      </c>
    </row>
    <row r="24" spans="1:23" ht="15.75" thickBot="1" x14ac:dyDescent="0.3">
      <c r="A24" s="34"/>
      <c r="B24" s="134">
        <v>44340</v>
      </c>
      <c r="C24" s="36">
        <v>11229</v>
      </c>
      <c r="D24" s="139" t="s">
        <v>452</v>
      </c>
      <c r="E24" s="136">
        <v>44340</v>
      </c>
      <c r="F24" s="37">
        <v>122641</v>
      </c>
      <c r="G24" s="137"/>
      <c r="H24" s="138">
        <v>44340</v>
      </c>
      <c r="I24" s="49">
        <v>440</v>
      </c>
      <c r="J24" s="294"/>
      <c r="K24" s="295"/>
      <c r="L24" s="296"/>
      <c r="M24" s="41">
        <f>23627+89335</f>
        <v>112962</v>
      </c>
      <c r="N24" s="42">
        <v>6693</v>
      </c>
      <c r="O24" s="275"/>
      <c r="P24" s="7">
        <f t="shared" si="0"/>
        <v>131324</v>
      </c>
      <c r="Q24" s="202">
        <f t="shared" si="1"/>
        <v>8683</v>
      </c>
      <c r="R24" s="384"/>
      <c r="T24" s="37"/>
      <c r="U24" s="213" t="s">
        <v>75</v>
      </c>
      <c r="V24" s="220"/>
      <c r="W24" s="218"/>
    </row>
    <row r="25" spans="1:23" ht="15.75" thickBot="1" x14ac:dyDescent="0.3">
      <c r="A25" s="34"/>
      <c r="B25" s="134">
        <v>44341</v>
      </c>
      <c r="C25" s="36">
        <v>4562</v>
      </c>
      <c r="D25" s="139" t="s">
        <v>453</v>
      </c>
      <c r="E25" s="136">
        <v>44341</v>
      </c>
      <c r="F25" s="37">
        <v>117468</v>
      </c>
      <c r="G25" s="137"/>
      <c r="H25" s="138">
        <v>44341</v>
      </c>
      <c r="I25" s="49">
        <v>646</v>
      </c>
      <c r="J25" s="297"/>
      <c r="K25" s="172"/>
      <c r="L25" s="75"/>
      <c r="M25" s="41">
        <v>106688</v>
      </c>
      <c r="N25" s="42">
        <v>5572</v>
      </c>
      <c r="O25" s="47"/>
      <c r="P25" s="7">
        <f t="shared" si="0"/>
        <v>117468</v>
      </c>
      <c r="Q25" s="6">
        <f t="shared" si="1"/>
        <v>0</v>
      </c>
      <c r="R25" s="48"/>
      <c r="T25" s="37"/>
      <c r="U25" s="213" t="s">
        <v>76</v>
      </c>
      <c r="V25" s="220"/>
      <c r="W25" s="218"/>
    </row>
    <row r="26" spans="1:23" ht="15.75" thickBot="1" x14ac:dyDescent="0.3">
      <c r="A26" s="34"/>
      <c r="B26" s="134">
        <v>44342</v>
      </c>
      <c r="C26" s="36">
        <v>2350</v>
      </c>
      <c r="D26" s="139" t="s">
        <v>121</v>
      </c>
      <c r="E26" s="136">
        <v>44342</v>
      </c>
      <c r="F26" s="37">
        <v>83721</v>
      </c>
      <c r="G26" s="137"/>
      <c r="H26" s="138">
        <v>44342</v>
      </c>
      <c r="I26" s="49">
        <v>2440</v>
      </c>
      <c r="J26" s="52"/>
      <c r="K26" s="295"/>
      <c r="L26" s="53"/>
      <c r="M26" s="41">
        <v>78008</v>
      </c>
      <c r="N26" s="42">
        <v>923</v>
      </c>
      <c r="O26" s="47"/>
      <c r="P26" s="7">
        <f t="shared" si="0"/>
        <v>83721</v>
      </c>
      <c r="Q26" s="6">
        <f t="shared" si="1"/>
        <v>0</v>
      </c>
      <c r="R26" s="48"/>
      <c r="T26" s="37"/>
      <c r="U26" s="213" t="s">
        <v>77</v>
      </c>
      <c r="V26" s="220"/>
      <c r="W26" s="218"/>
    </row>
    <row r="27" spans="1:23" ht="15" customHeight="1" thickBot="1" x14ac:dyDescent="0.3">
      <c r="A27" s="34"/>
      <c r="B27" s="134">
        <v>44343</v>
      </c>
      <c r="C27" s="36">
        <v>7850</v>
      </c>
      <c r="D27" s="141" t="s">
        <v>130</v>
      </c>
      <c r="E27" s="136">
        <v>44343</v>
      </c>
      <c r="F27" s="37">
        <v>107095</v>
      </c>
      <c r="G27" s="137"/>
      <c r="H27" s="138">
        <v>44343</v>
      </c>
      <c r="I27" s="49">
        <v>495</v>
      </c>
      <c r="J27" s="298"/>
      <c r="K27" s="282"/>
      <c r="L27" s="75"/>
      <c r="M27" s="41">
        <f>81656+459+2233</f>
        <v>84348</v>
      </c>
      <c r="N27" s="42">
        <v>14401</v>
      </c>
      <c r="O27" s="47" t="s">
        <v>351</v>
      </c>
      <c r="P27" s="7">
        <f t="shared" si="0"/>
        <v>107094</v>
      </c>
      <c r="Q27" s="6">
        <f t="shared" si="1"/>
        <v>-1</v>
      </c>
      <c r="R27" s="48"/>
      <c r="T27" s="37"/>
      <c r="U27" s="213" t="s">
        <v>78</v>
      </c>
      <c r="V27" s="220"/>
      <c r="W27" s="218"/>
    </row>
    <row r="28" spans="1:23" ht="16.5" thickBot="1" x14ac:dyDescent="0.3">
      <c r="A28" s="34"/>
      <c r="B28" s="134">
        <v>44344</v>
      </c>
      <c r="C28" s="36">
        <v>290</v>
      </c>
      <c r="D28" s="141" t="s">
        <v>454</v>
      </c>
      <c r="E28" s="136">
        <v>44344</v>
      </c>
      <c r="F28" s="37">
        <v>184038</v>
      </c>
      <c r="G28" s="137"/>
      <c r="H28" s="138">
        <v>44344</v>
      </c>
      <c r="I28" s="49">
        <v>5505</v>
      </c>
      <c r="J28" s="299"/>
      <c r="K28" s="151"/>
      <c r="L28" s="75"/>
      <c r="M28" s="41">
        <v>172868</v>
      </c>
      <c r="N28" s="42">
        <v>5375</v>
      </c>
      <c r="O28" s="47" t="s">
        <v>279</v>
      </c>
      <c r="P28" s="7">
        <f t="shared" si="0"/>
        <v>184038</v>
      </c>
      <c r="Q28" s="6">
        <f t="shared" si="1"/>
        <v>0</v>
      </c>
      <c r="R28" s="48"/>
      <c r="T28" s="37"/>
      <c r="U28" s="213" t="s">
        <v>79</v>
      </c>
      <c r="V28" s="220"/>
      <c r="W28" s="218"/>
    </row>
    <row r="29" spans="1:23" ht="15.75" thickBot="1" x14ac:dyDescent="0.3">
      <c r="A29" s="34"/>
      <c r="B29" s="134">
        <v>44345</v>
      </c>
      <c r="C29" s="36">
        <v>6801</v>
      </c>
      <c r="D29" s="143" t="s">
        <v>455</v>
      </c>
      <c r="E29" s="136">
        <v>44345</v>
      </c>
      <c r="F29" s="37">
        <v>188105</v>
      </c>
      <c r="G29" s="137"/>
      <c r="H29" s="138">
        <v>44345</v>
      </c>
      <c r="I29" s="49">
        <v>17178.34</v>
      </c>
      <c r="J29" s="300"/>
      <c r="K29" s="169"/>
      <c r="L29" s="75"/>
      <c r="M29" s="41">
        <v>157374</v>
      </c>
      <c r="N29" s="42">
        <v>6751</v>
      </c>
      <c r="O29" s="47" t="s">
        <v>279</v>
      </c>
      <c r="P29" s="7">
        <f t="shared" si="0"/>
        <v>188104.34</v>
      </c>
      <c r="Q29" s="6">
        <f t="shared" si="1"/>
        <v>-0.66000000000349246</v>
      </c>
      <c r="R29" s="58"/>
      <c r="T29" s="37"/>
      <c r="U29" s="213" t="s">
        <v>80</v>
      </c>
      <c r="V29" s="220"/>
      <c r="W29" s="218"/>
    </row>
    <row r="30" spans="1:23" ht="15.75" thickBot="1" x14ac:dyDescent="0.3">
      <c r="A30" s="34"/>
      <c r="B30" s="134">
        <v>44346</v>
      </c>
      <c r="C30" s="36">
        <v>20794</v>
      </c>
      <c r="D30" s="143" t="s">
        <v>456</v>
      </c>
      <c r="E30" s="136">
        <v>44346</v>
      </c>
      <c r="F30" s="37">
        <v>116257</v>
      </c>
      <c r="G30" s="137"/>
      <c r="H30" s="138">
        <v>44346</v>
      </c>
      <c r="I30" s="69">
        <v>550</v>
      </c>
      <c r="J30" s="298"/>
      <c r="K30" s="158"/>
      <c r="L30" s="46"/>
      <c r="M30" s="41">
        <v>83078</v>
      </c>
      <c r="N30" s="42">
        <v>11835</v>
      </c>
      <c r="O30" s="47"/>
      <c r="P30" s="7">
        <f t="shared" si="0"/>
        <v>116257</v>
      </c>
      <c r="Q30" s="6">
        <f t="shared" si="1"/>
        <v>0</v>
      </c>
      <c r="R30" s="48"/>
      <c r="T30" s="37"/>
      <c r="U30" s="213" t="s">
        <v>81</v>
      </c>
      <c r="V30" s="221"/>
      <c r="W30" s="207"/>
    </row>
    <row r="31" spans="1:23" ht="15.75" thickBot="1" x14ac:dyDescent="0.3">
      <c r="A31" s="34"/>
      <c r="B31" s="134">
        <v>44347</v>
      </c>
      <c r="C31" s="36">
        <v>12561</v>
      </c>
      <c r="D31" s="143" t="s">
        <v>493</v>
      </c>
      <c r="E31" s="136">
        <v>44347</v>
      </c>
      <c r="F31" s="37">
        <v>196621</v>
      </c>
      <c r="G31" s="137"/>
      <c r="H31" s="138">
        <v>44347</v>
      </c>
      <c r="I31" s="69">
        <v>2495</v>
      </c>
      <c r="J31" s="298">
        <v>44347</v>
      </c>
      <c r="K31" s="313" t="s">
        <v>494</v>
      </c>
      <c r="L31" s="75">
        <v>31015</v>
      </c>
      <c r="M31" s="335">
        <f>118766+16887+2227</f>
        <v>137880</v>
      </c>
      <c r="N31" s="334">
        <v>12670</v>
      </c>
      <c r="O31" s="47" t="s">
        <v>351</v>
      </c>
      <c r="P31" s="7">
        <f t="shared" si="0"/>
        <v>196621</v>
      </c>
      <c r="Q31" s="6">
        <f t="shared" si="1"/>
        <v>0</v>
      </c>
      <c r="R31" s="48"/>
      <c r="T31" s="37"/>
      <c r="U31" s="213" t="s">
        <v>82</v>
      </c>
      <c r="V31" s="221"/>
      <c r="W31" s="207"/>
    </row>
    <row r="32" spans="1:23" ht="15.75" thickBot="1" x14ac:dyDescent="0.3">
      <c r="A32" s="34"/>
      <c r="B32" s="134">
        <v>44348</v>
      </c>
      <c r="C32" s="36">
        <v>1705</v>
      </c>
      <c r="D32" s="143" t="s">
        <v>45</v>
      </c>
      <c r="E32" s="136">
        <v>44348</v>
      </c>
      <c r="F32" s="70">
        <v>171645</v>
      </c>
      <c r="G32" s="137"/>
      <c r="H32" s="138">
        <v>44348</v>
      </c>
      <c r="I32" s="69">
        <v>495</v>
      </c>
      <c r="J32" s="298"/>
      <c r="K32" s="158"/>
      <c r="L32" s="46"/>
      <c r="M32" s="335">
        <f>160821+1020</f>
        <v>161841</v>
      </c>
      <c r="N32" s="334">
        <v>7605</v>
      </c>
      <c r="O32" s="47" t="s">
        <v>351</v>
      </c>
      <c r="P32" s="7">
        <f t="shared" si="0"/>
        <v>171646</v>
      </c>
      <c r="Q32" s="6">
        <f t="shared" si="1"/>
        <v>1</v>
      </c>
      <c r="R32" s="48"/>
      <c r="T32" s="70"/>
      <c r="U32" s="213" t="s">
        <v>83</v>
      </c>
      <c r="V32" s="221"/>
      <c r="W32" s="207"/>
    </row>
    <row r="33" spans="1:23" ht="15.75" thickBot="1" x14ac:dyDescent="0.3">
      <c r="A33" s="34"/>
      <c r="B33" s="134">
        <v>44349</v>
      </c>
      <c r="C33" s="71">
        <v>4608</v>
      </c>
      <c r="D33" s="312" t="s">
        <v>495</v>
      </c>
      <c r="E33" s="136">
        <v>44349</v>
      </c>
      <c r="F33" s="71">
        <v>143809</v>
      </c>
      <c r="G33" s="137"/>
      <c r="H33" s="138">
        <v>44349</v>
      </c>
      <c r="I33" s="69">
        <v>440</v>
      </c>
      <c r="J33" s="299">
        <v>44349</v>
      </c>
      <c r="K33" s="172" t="s">
        <v>496</v>
      </c>
      <c r="L33" s="71">
        <v>1647</v>
      </c>
      <c r="M33" s="335">
        <v>124378</v>
      </c>
      <c r="N33" s="334">
        <v>12736</v>
      </c>
      <c r="O33" s="47"/>
      <c r="P33" s="7">
        <f t="shared" si="0"/>
        <v>143809</v>
      </c>
      <c r="Q33" s="6">
        <f t="shared" si="1"/>
        <v>0</v>
      </c>
      <c r="R33" s="48"/>
      <c r="T33" s="71"/>
      <c r="U33" s="213" t="s">
        <v>84</v>
      </c>
      <c r="V33" s="221"/>
      <c r="W33" s="207"/>
    </row>
    <row r="34" spans="1:23" ht="15.75" thickBot="1" x14ac:dyDescent="0.3">
      <c r="A34" s="34"/>
      <c r="B34" s="134">
        <v>44350</v>
      </c>
      <c r="C34" s="71">
        <v>11503</v>
      </c>
      <c r="D34" s="267" t="s">
        <v>497</v>
      </c>
      <c r="E34" s="136">
        <v>44350</v>
      </c>
      <c r="F34" s="71">
        <v>240521</v>
      </c>
      <c r="G34" s="137"/>
      <c r="H34" s="138">
        <v>44350</v>
      </c>
      <c r="I34" s="69">
        <v>572</v>
      </c>
      <c r="J34" s="298"/>
      <c r="K34" s="243"/>
      <c r="L34" s="6"/>
      <c r="M34" s="335">
        <f>227043+90</f>
        <v>227133</v>
      </c>
      <c r="N34" s="334">
        <v>1313</v>
      </c>
      <c r="O34" s="47"/>
      <c r="P34" s="7">
        <f t="shared" si="0"/>
        <v>240521</v>
      </c>
      <c r="Q34" s="6">
        <f t="shared" si="1"/>
        <v>0</v>
      </c>
      <c r="R34" s="48"/>
      <c r="T34" s="71"/>
      <c r="U34" s="213" t="s">
        <v>85</v>
      </c>
      <c r="V34" s="221"/>
      <c r="W34" s="207"/>
    </row>
    <row r="35" spans="1:23" ht="15.75" thickBot="1" x14ac:dyDescent="0.3">
      <c r="A35" s="34"/>
      <c r="B35" s="134">
        <v>44351</v>
      </c>
      <c r="C35" s="71">
        <v>2430</v>
      </c>
      <c r="D35" s="267" t="s">
        <v>45</v>
      </c>
      <c r="E35" s="136">
        <v>44351</v>
      </c>
      <c r="F35" s="71">
        <v>136348</v>
      </c>
      <c r="G35" s="137"/>
      <c r="H35" s="138">
        <v>44351</v>
      </c>
      <c r="I35" s="69">
        <v>5645</v>
      </c>
      <c r="J35" s="298"/>
      <c r="K35" s="172"/>
      <c r="L35" s="71"/>
      <c r="M35" s="335">
        <v>118266</v>
      </c>
      <c r="N35" s="334">
        <v>10007</v>
      </c>
      <c r="O35" s="47"/>
      <c r="P35" s="7">
        <f t="shared" si="0"/>
        <v>136348</v>
      </c>
      <c r="Q35" s="6">
        <f t="shared" si="1"/>
        <v>0</v>
      </c>
      <c r="R35" s="48"/>
      <c r="T35" s="71"/>
      <c r="U35" s="213" t="s">
        <v>86</v>
      </c>
      <c r="V35" s="221"/>
      <c r="W35" s="207"/>
    </row>
    <row r="36" spans="1:23" ht="15" customHeight="1" thickBot="1" x14ac:dyDescent="0.3">
      <c r="A36" s="34"/>
      <c r="B36" s="134">
        <v>44352</v>
      </c>
      <c r="C36" s="71">
        <v>11553</v>
      </c>
      <c r="D36" s="242" t="s">
        <v>508</v>
      </c>
      <c r="E36" s="136">
        <v>44352</v>
      </c>
      <c r="F36" s="71">
        <v>241786</v>
      </c>
      <c r="G36" s="137"/>
      <c r="H36" s="138">
        <v>44352</v>
      </c>
      <c r="I36" s="69">
        <v>5616</v>
      </c>
      <c r="J36" s="298">
        <v>44352</v>
      </c>
      <c r="K36" s="243" t="s">
        <v>509</v>
      </c>
      <c r="L36" s="6">
        <f>16003.63+4000+400</f>
        <v>20403.629999999997</v>
      </c>
      <c r="M36" s="335">
        <f>120000+87893</f>
        <v>207893</v>
      </c>
      <c r="N36" s="334">
        <v>4724</v>
      </c>
      <c r="O36" s="47"/>
      <c r="P36" s="7">
        <f t="shared" si="0"/>
        <v>250189.63</v>
      </c>
      <c r="Q36" s="202">
        <f t="shared" si="1"/>
        <v>8403.6300000000047</v>
      </c>
      <c r="R36" s="383"/>
      <c r="T36" s="71"/>
      <c r="U36" s="213" t="s">
        <v>87</v>
      </c>
      <c r="V36" s="221"/>
      <c r="W36" s="207"/>
    </row>
    <row r="37" spans="1:23" ht="19.5" customHeight="1" thickBot="1" x14ac:dyDescent="0.3">
      <c r="A37" s="34"/>
      <c r="B37" s="134">
        <v>44353</v>
      </c>
      <c r="C37" s="71">
        <v>16130</v>
      </c>
      <c r="D37" s="242" t="s">
        <v>510</v>
      </c>
      <c r="E37" s="136">
        <v>44353</v>
      </c>
      <c r="F37" s="265">
        <v>219234</v>
      </c>
      <c r="G37" s="137"/>
      <c r="H37" s="138">
        <v>44353</v>
      </c>
      <c r="I37" s="69">
        <v>12410</v>
      </c>
      <c r="J37" s="298"/>
      <c r="K37" s="246"/>
      <c r="L37" s="71"/>
      <c r="M37" s="335">
        <f>173167+1492</f>
        <v>174659</v>
      </c>
      <c r="N37" s="334">
        <v>16035</v>
      </c>
      <c r="O37" s="47" t="s">
        <v>515</v>
      </c>
      <c r="P37" s="7">
        <f t="shared" si="0"/>
        <v>219234</v>
      </c>
      <c r="Q37" s="6">
        <f t="shared" si="1"/>
        <v>0</v>
      </c>
      <c r="R37" s="48"/>
      <c r="T37" s="265"/>
      <c r="U37" s="213" t="s">
        <v>88</v>
      </c>
      <c r="V37" s="221"/>
      <c r="W37" s="207"/>
    </row>
    <row r="38" spans="1:23" ht="15" customHeight="1" thickBot="1" x14ac:dyDescent="0.3">
      <c r="A38" s="34"/>
      <c r="B38" s="146"/>
      <c r="C38" s="71"/>
      <c r="D38" s="242"/>
      <c r="E38" s="136"/>
      <c r="F38" s="265"/>
      <c r="G38" s="137"/>
      <c r="H38" s="138"/>
      <c r="I38" s="69"/>
      <c r="J38" s="298"/>
      <c r="K38" s="172"/>
      <c r="L38" s="71"/>
      <c r="M38" s="41">
        <v>0</v>
      </c>
      <c r="N38" s="42">
        <v>0</v>
      </c>
      <c r="O38" s="47"/>
      <c r="P38" s="7">
        <v>0</v>
      </c>
      <c r="Q38" s="6">
        <f t="shared" si="1"/>
        <v>0</v>
      </c>
      <c r="R38" s="48"/>
      <c r="T38" s="328"/>
      <c r="U38" s="213" t="s">
        <v>89</v>
      </c>
      <c r="V38" s="221"/>
      <c r="W38" s="207"/>
    </row>
    <row r="39" spans="1:23" ht="15" customHeight="1" thickBot="1" x14ac:dyDescent="0.35">
      <c r="A39" s="34"/>
      <c r="B39" s="146"/>
      <c r="C39" s="71"/>
      <c r="D39" s="242"/>
      <c r="E39" s="136"/>
      <c r="F39" s="239"/>
      <c r="G39" s="137"/>
      <c r="H39" s="138"/>
      <c r="I39" s="69"/>
      <c r="J39" s="325" t="s">
        <v>547</v>
      </c>
      <c r="K39" s="243" t="s">
        <v>548</v>
      </c>
      <c r="L39" s="71">
        <f>9180+10425+10260</f>
        <v>29865</v>
      </c>
      <c r="M39" s="41">
        <v>0</v>
      </c>
      <c r="N39" s="42">
        <v>0</v>
      </c>
      <c r="O39" s="47"/>
      <c r="P39" s="7">
        <v>0</v>
      </c>
      <c r="Q39" s="6">
        <f t="shared" si="1"/>
        <v>0</v>
      </c>
      <c r="R39" s="48"/>
      <c r="U39" s="213" t="s">
        <v>90</v>
      </c>
      <c r="V39" s="221"/>
      <c r="W39" s="207"/>
    </row>
    <row r="40" spans="1:23" ht="15" customHeight="1" thickBot="1" x14ac:dyDescent="0.35">
      <c r="A40" s="34"/>
      <c r="B40" s="146"/>
      <c r="C40" s="71"/>
      <c r="D40" s="242"/>
      <c r="E40" s="136"/>
      <c r="F40" s="239"/>
      <c r="G40" s="137"/>
      <c r="H40" s="138"/>
      <c r="I40" s="69"/>
      <c r="J40" s="325" t="s">
        <v>547</v>
      </c>
      <c r="K40" s="172" t="s">
        <v>136</v>
      </c>
      <c r="L40" s="71">
        <v>986</v>
      </c>
      <c r="M40" s="41">
        <v>0</v>
      </c>
      <c r="N40" s="42">
        <v>0</v>
      </c>
      <c r="O40" s="47"/>
      <c r="P40" s="7">
        <v>0</v>
      </c>
      <c r="Q40" s="6">
        <f t="shared" si="1"/>
        <v>0</v>
      </c>
      <c r="R40" s="48"/>
      <c r="U40" s="213" t="s">
        <v>91</v>
      </c>
      <c r="V40" s="221"/>
      <c r="W40" s="207"/>
    </row>
    <row r="41" spans="1:23" ht="15" customHeight="1" thickBot="1" x14ac:dyDescent="0.35">
      <c r="A41" s="34"/>
      <c r="B41" s="226">
        <v>44321</v>
      </c>
      <c r="C41" s="308">
        <v>24722.91</v>
      </c>
      <c r="D41" s="310">
        <v>393</v>
      </c>
      <c r="E41" s="136" t="s">
        <v>341</v>
      </c>
      <c r="F41" s="240"/>
      <c r="G41" s="137"/>
      <c r="H41" s="138"/>
      <c r="I41" s="69"/>
      <c r="J41" s="325" t="s">
        <v>547</v>
      </c>
      <c r="K41" s="172" t="s">
        <v>371</v>
      </c>
      <c r="L41" s="71">
        <v>9169.4500000000007</v>
      </c>
      <c r="M41" s="41">
        <v>0</v>
      </c>
      <c r="N41" s="42">
        <v>0</v>
      </c>
      <c r="O41" s="47"/>
      <c r="P41" s="7">
        <v>0</v>
      </c>
      <c r="Q41" s="6">
        <f t="shared" si="1"/>
        <v>0</v>
      </c>
      <c r="R41" s="48"/>
      <c r="U41" s="213" t="s">
        <v>92</v>
      </c>
      <c r="V41" s="221"/>
      <c r="W41" s="207"/>
    </row>
    <row r="42" spans="1:23" ht="15" customHeight="1" thickBot="1" x14ac:dyDescent="0.35">
      <c r="A42" s="34"/>
      <c r="B42" s="226">
        <v>44324</v>
      </c>
      <c r="C42" s="225">
        <v>21632.57</v>
      </c>
      <c r="D42" s="310">
        <v>399</v>
      </c>
      <c r="E42" s="136" t="s">
        <v>341</v>
      </c>
      <c r="F42" s="241"/>
      <c r="G42" s="137"/>
      <c r="H42" s="138"/>
      <c r="I42" s="69"/>
      <c r="J42" s="325" t="s">
        <v>547</v>
      </c>
      <c r="K42" s="282" t="s">
        <v>549</v>
      </c>
      <c r="L42" s="71">
        <v>17400</v>
      </c>
      <c r="M42" s="41">
        <v>0</v>
      </c>
      <c r="N42" s="42">
        <v>0</v>
      </c>
      <c r="O42" s="47"/>
      <c r="P42" s="7">
        <v>0</v>
      </c>
      <c r="Q42" s="6">
        <f t="shared" si="1"/>
        <v>0</v>
      </c>
      <c r="R42" s="48"/>
      <c r="U42" s="213" t="s">
        <v>93</v>
      </c>
      <c r="V42" s="221"/>
      <c r="W42" s="207"/>
    </row>
    <row r="43" spans="1:23" ht="15.75" customHeight="1" thickBot="1" x14ac:dyDescent="0.35">
      <c r="A43" s="34"/>
      <c r="B43" s="226">
        <v>44330</v>
      </c>
      <c r="C43" s="225">
        <v>20844.830000000002</v>
      </c>
      <c r="D43" s="310">
        <v>403</v>
      </c>
      <c r="E43" s="136" t="s">
        <v>341</v>
      </c>
      <c r="F43" s="241"/>
      <c r="G43" s="137"/>
      <c r="H43" s="138"/>
      <c r="I43" s="69"/>
      <c r="J43" s="325" t="s">
        <v>547</v>
      </c>
      <c r="K43" s="172" t="s">
        <v>550</v>
      </c>
      <c r="L43" s="71">
        <v>5046</v>
      </c>
      <c r="M43" s="41">
        <v>0</v>
      </c>
      <c r="N43" s="42">
        <v>0</v>
      </c>
      <c r="O43" s="47"/>
      <c r="P43" s="7">
        <v>0</v>
      </c>
      <c r="Q43" s="6">
        <f t="shared" si="1"/>
        <v>0</v>
      </c>
      <c r="R43" s="48"/>
      <c r="U43" s="213" t="s">
        <v>94</v>
      </c>
      <c r="V43" s="221"/>
      <c r="W43" s="207"/>
    </row>
    <row r="44" spans="1:23" ht="16.149999999999999" customHeight="1" thickBot="1" x14ac:dyDescent="0.3">
      <c r="A44" s="34"/>
      <c r="B44" s="226">
        <v>44333</v>
      </c>
      <c r="C44" s="225">
        <v>22555.26</v>
      </c>
      <c r="D44" s="310">
        <v>406</v>
      </c>
      <c r="E44" s="136" t="s">
        <v>341</v>
      </c>
      <c r="F44" s="151"/>
      <c r="G44" s="137"/>
      <c r="H44" s="138"/>
      <c r="I44" s="69"/>
      <c r="J44" s="325" t="s">
        <v>547</v>
      </c>
      <c r="K44" s="172" t="s">
        <v>551</v>
      </c>
      <c r="L44" s="71">
        <v>11500.24</v>
      </c>
      <c r="M44" s="41">
        <v>0</v>
      </c>
      <c r="N44" s="42">
        <v>0</v>
      </c>
      <c r="O44" s="47"/>
      <c r="P44" s="7">
        <v>0</v>
      </c>
      <c r="Q44" s="6">
        <f t="shared" si="1"/>
        <v>0</v>
      </c>
      <c r="R44" s="48"/>
      <c r="U44" s="213" t="s">
        <v>95</v>
      </c>
      <c r="V44" s="221"/>
      <c r="W44" s="207"/>
    </row>
    <row r="45" spans="1:23" ht="16.149999999999999" customHeight="1" thickBot="1" x14ac:dyDescent="0.3">
      <c r="A45" s="34"/>
      <c r="B45" s="226">
        <v>44337</v>
      </c>
      <c r="C45" s="225">
        <v>12182.63</v>
      </c>
      <c r="D45" s="310">
        <v>413</v>
      </c>
      <c r="E45" s="136" t="s">
        <v>341</v>
      </c>
      <c r="F45" s="151"/>
      <c r="G45" s="137"/>
      <c r="H45" s="138"/>
      <c r="I45" s="69"/>
      <c r="J45" s="325" t="s">
        <v>547</v>
      </c>
      <c r="K45" s="326" t="s">
        <v>552</v>
      </c>
      <c r="L45" s="71">
        <v>357005</v>
      </c>
      <c r="M45" s="77">
        <v>0</v>
      </c>
      <c r="N45" s="42">
        <v>0</v>
      </c>
      <c r="O45" s="47"/>
      <c r="P45" s="7">
        <v>0</v>
      </c>
      <c r="Q45" s="6">
        <f t="shared" si="1"/>
        <v>0</v>
      </c>
      <c r="R45" s="48"/>
      <c r="U45" s="213" t="s">
        <v>96</v>
      </c>
      <c r="V45" s="221"/>
      <c r="W45" s="207"/>
    </row>
    <row r="46" spans="1:23" ht="16.149999999999999" customHeight="1" thickBot="1" x14ac:dyDescent="0.3">
      <c r="A46" s="34"/>
      <c r="B46" s="309">
        <v>44340</v>
      </c>
      <c r="C46" s="271">
        <v>19134.990000000002</v>
      </c>
      <c r="D46" s="311">
        <v>417</v>
      </c>
      <c r="E46" s="136" t="s">
        <v>341</v>
      </c>
      <c r="F46" s="151"/>
      <c r="G46" s="137"/>
      <c r="H46" s="138"/>
      <c r="I46" s="69"/>
      <c r="J46" s="325" t="s">
        <v>547</v>
      </c>
      <c r="K46" s="282" t="s">
        <v>553</v>
      </c>
      <c r="L46" s="75">
        <v>6095.81</v>
      </c>
      <c r="M46" s="77">
        <v>0</v>
      </c>
      <c r="N46" s="42">
        <v>0</v>
      </c>
      <c r="O46" s="47"/>
      <c r="P46" s="7">
        <v>0</v>
      </c>
      <c r="Q46" s="6">
        <f t="shared" si="1"/>
        <v>0</v>
      </c>
      <c r="R46" s="48"/>
      <c r="U46" s="213" t="s">
        <v>97</v>
      </c>
      <c r="V46" s="221"/>
      <c r="W46" s="207"/>
    </row>
    <row r="47" spans="1:23" ht="16.149999999999999" customHeight="1" thickBot="1" x14ac:dyDescent="0.3">
      <c r="A47" s="34"/>
      <c r="B47" s="226">
        <v>44344</v>
      </c>
      <c r="C47" s="225">
        <v>28230.799999999999</v>
      </c>
      <c r="D47" s="310">
        <v>424</v>
      </c>
      <c r="E47" s="136" t="s">
        <v>341</v>
      </c>
      <c r="F47" s="151"/>
      <c r="G47" s="137"/>
      <c r="H47" s="138"/>
      <c r="I47" s="69"/>
      <c r="J47" s="325" t="s">
        <v>547</v>
      </c>
      <c r="K47" s="463" t="s">
        <v>714</v>
      </c>
      <c r="L47" s="464">
        <v>11746.93</v>
      </c>
      <c r="M47" s="77">
        <v>0</v>
      </c>
      <c r="N47" s="42">
        <v>0</v>
      </c>
      <c r="O47" s="47"/>
      <c r="P47" s="7">
        <v>0</v>
      </c>
      <c r="Q47" s="6">
        <f t="shared" si="1"/>
        <v>0</v>
      </c>
      <c r="R47" s="48"/>
      <c r="U47" s="213" t="s">
        <v>98</v>
      </c>
      <c r="V47" s="221"/>
      <c r="W47" s="207"/>
    </row>
    <row r="48" spans="1:23" ht="16.149999999999999" customHeight="1" thickBot="1" x14ac:dyDescent="0.3">
      <c r="A48" s="34"/>
      <c r="B48" s="226">
        <v>44349</v>
      </c>
      <c r="C48" s="225">
        <v>29550.23</v>
      </c>
      <c r="D48" s="310">
        <v>427</v>
      </c>
      <c r="E48" s="136" t="s">
        <v>341</v>
      </c>
      <c r="F48" s="74"/>
      <c r="G48" s="137"/>
      <c r="H48" s="138"/>
      <c r="I48" s="69"/>
      <c r="J48" s="325" t="s">
        <v>547</v>
      </c>
      <c r="K48" s="172" t="s">
        <v>554</v>
      </c>
      <c r="L48" s="75">
        <v>3598</v>
      </c>
      <c r="M48" s="77"/>
      <c r="N48" s="42"/>
      <c r="O48" s="47"/>
      <c r="P48" s="7">
        <v>0</v>
      </c>
      <c r="Q48" s="6">
        <f t="shared" si="1"/>
        <v>0</v>
      </c>
      <c r="R48" s="48"/>
      <c r="U48" s="213" t="s">
        <v>99</v>
      </c>
      <c r="V48" s="221"/>
      <c r="W48" s="207"/>
    </row>
    <row r="49" spans="1:23" ht="15.75" thickBot="1" x14ac:dyDescent="0.3">
      <c r="A49" s="34"/>
      <c r="B49" s="226">
        <v>44352</v>
      </c>
      <c r="C49" s="225">
        <v>25143.15</v>
      </c>
      <c r="D49" s="310">
        <v>438</v>
      </c>
      <c r="E49" s="136" t="s">
        <v>341</v>
      </c>
      <c r="F49" s="74"/>
      <c r="G49" s="137"/>
      <c r="H49" s="138"/>
      <c r="I49" s="69"/>
      <c r="J49" s="325" t="s">
        <v>547</v>
      </c>
      <c r="K49" s="172" t="s">
        <v>555</v>
      </c>
      <c r="L49" s="75">
        <v>30868.02</v>
      </c>
      <c r="M49" s="77"/>
      <c r="N49" s="42"/>
      <c r="O49" s="47"/>
      <c r="P49" s="7">
        <v>0</v>
      </c>
      <c r="Q49" s="6">
        <f t="shared" si="1"/>
        <v>0</v>
      </c>
      <c r="R49" s="48"/>
      <c r="U49" s="213" t="s">
        <v>100</v>
      </c>
      <c r="V49" s="221"/>
      <c r="W49" s="207"/>
    </row>
    <row r="50" spans="1:23" ht="16.5" thickBot="1" x14ac:dyDescent="0.3">
      <c r="A50" s="34"/>
      <c r="B50" s="146">
        <v>44351</v>
      </c>
      <c r="C50" s="71">
        <v>56798.82</v>
      </c>
      <c r="D50" s="242" t="s">
        <v>569</v>
      </c>
      <c r="E50" s="149"/>
      <c r="F50" s="74"/>
      <c r="G50" s="137"/>
      <c r="H50" s="138"/>
      <c r="I50" s="69"/>
      <c r="J50" s="325" t="s">
        <v>547</v>
      </c>
      <c r="K50" s="172" t="s">
        <v>556</v>
      </c>
      <c r="L50" s="75">
        <v>798</v>
      </c>
      <c r="M50" s="77"/>
      <c r="N50" s="42"/>
      <c r="O50" s="47"/>
      <c r="P50" s="7">
        <v>0</v>
      </c>
      <c r="Q50" s="6">
        <f t="shared" si="1"/>
        <v>0</v>
      </c>
      <c r="R50" s="48"/>
      <c r="U50" s="213" t="s">
        <v>101</v>
      </c>
      <c r="V50" s="221"/>
      <c r="W50" s="207"/>
    </row>
    <row r="51" spans="1:23" ht="16.5" thickBot="1" x14ac:dyDescent="0.3">
      <c r="A51" s="34"/>
      <c r="B51" s="146"/>
      <c r="C51" s="71"/>
      <c r="D51" s="242"/>
      <c r="E51" s="149"/>
      <c r="F51" s="74"/>
      <c r="G51" s="137"/>
      <c r="H51" s="138"/>
      <c r="I51" s="69"/>
      <c r="J51" s="325" t="s">
        <v>547</v>
      </c>
      <c r="K51" s="172" t="s">
        <v>557</v>
      </c>
      <c r="L51" s="75">
        <f>398.99+421.34+498.99+398.99+199.06</f>
        <v>1917.37</v>
      </c>
      <c r="M51" s="77"/>
      <c r="N51" s="42"/>
      <c r="O51" s="47"/>
      <c r="P51" s="7">
        <v>0</v>
      </c>
      <c r="Q51" s="6">
        <f t="shared" si="1"/>
        <v>0</v>
      </c>
      <c r="R51" s="48"/>
      <c r="U51" s="213" t="s">
        <v>102</v>
      </c>
      <c r="V51" s="221"/>
      <c r="W51" s="207"/>
    </row>
    <row r="52" spans="1:23" ht="16.5" customHeight="1" thickBot="1" x14ac:dyDescent="0.3">
      <c r="A52" s="34"/>
      <c r="B52" s="146"/>
      <c r="C52" s="71"/>
      <c r="D52" s="242"/>
      <c r="E52" s="136"/>
      <c r="F52" s="71"/>
      <c r="G52" s="137"/>
      <c r="H52" s="138"/>
      <c r="I52" s="69"/>
      <c r="J52" s="325" t="s">
        <v>547</v>
      </c>
      <c r="K52" s="460" t="s">
        <v>710</v>
      </c>
      <c r="L52" s="75">
        <f>1162.5+186</f>
        <v>1348.5</v>
      </c>
      <c r="M52" s="77"/>
      <c r="N52" s="42"/>
      <c r="O52" s="47"/>
      <c r="P52" s="7">
        <v>0</v>
      </c>
      <c r="Q52" s="6">
        <f t="shared" si="1"/>
        <v>0</v>
      </c>
      <c r="R52" s="48"/>
      <c r="U52" s="213" t="s">
        <v>103</v>
      </c>
      <c r="V52" s="221"/>
      <c r="W52" s="207"/>
    </row>
    <row r="53" spans="1:23" ht="15.75" customHeight="1" thickBot="1" x14ac:dyDescent="0.35">
      <c r="A53" s="34"/>
      <c r="B53" s="146"/>
      <c r="C53" s="71"/>
      <c r="D53" s="153"/>
      <c r="E53" s="136"/>
      <c r="F53" s="71"/>
      <c r="G53" s="137"/>
      <c r="H53" s="138"/>
      <c r="I53" s="69"/>
      <c r="J53" s="325" t="s">
        <v>547</v>
      </c>
      <c r="K53" s="172" t="s">
        <v>598</v>
      </c>
      <c r="L53" s="75">
        <v>22386.25</v>
      </c>
      <c r="M53" s="77"/>
      <c r="N53" s="42"/>
      <c r="O53" s="47"/>
      <c r="P53" s="7">
        <v>0</v>
      </c>
      <c r="Q53" s="6">
        <f t="shared" si="1"/>
        <v>0</v>
      </c>
      <c r="R53" s="48"/>
      <c r="U53" s="213" t="s">
        <v>104</v>
      </c>
      <c r="V53" s="221"/>
      <c r="W53" s="207"/>
    </row>
    <row r="54" spans="1:23" ht="15.75" customHeight="1" thickBot="1" x14ac:dyDescent="0.35">
      <c r="A54" s="34"/>
      <c r="B54" s="146"/>
      <c r="C54" s="71"/>
      <c r="D54" s="153"/>
      <c r="E54" s="136"/>
      <c r="F54" s="71"/>
      <c r="G54" s="137"/>
      <c r="H54" s="138"/>
      <c r="I54" s="69"/>
      <c r="J54" s="325" t="s">
        <v>547</v>
      </c>
      <c r="K54" s="243" t="s">
        <v>599</v>
      </c>
      <c r="L54" s="75">
        <v>1032</v>
      </c>
      <c r="M54" s="41"/>
      <c r="N54" s="42"/>
      <c r="O54" s="47"/>
      <c r="P54" s="7">
        <v>0</v>
      </c>
      <c r="Q54" s="6">
        <f t="shared" si="1"/>
        <v>0</v>
      </c>
      <c r="R54" s="48"/>
      <c r="U54" s="213" t="s">
        <v>105</v>
      </c>
      <c r="V54" s="221"/>
      <c r="W54" s="207"/>
    </row>
    <row r="55" spans="1:23" ht="15.75" customHeight="1" thickBot="1" x14ac:dyDescent="0.35">
      <c r="A55" s="34"/>
      <c r="B55" s="146"/>
      <c r="C55" s="71"/>
      <c r="D55" s="153"/>
      <c r="E55" s="136"/>
      <c r="F55" s="71"/>
      <c r="G55" s="137"/>
      <c r="H55" s="138"/>
      <c r="I55" s="69"/>
      <c r="J55" s="325" t="s">
        <v>547</v>
      </c>
      <c r="K55" s="144" t="s">
        <v>597</v>
      </c>
      <c r="L55" s="75">
        <v>30500</v>
      </c>
      <c r="M55" s="41">
        <v>0</v>
      </c>
      <c r="N55" s="42">
        <v>0</v>
      </c>
      <c r="O55" s="47"/>
      <c r="P55" s="7">
        <v>0</v>
      </c>
      <c r="Q55" s="6">
        <f t="shared" si="1"/>
        <v>0</v>
      </c>
      <c r="R55" s="48"/>
      <c r="U55" s="212"/>
      <c r="V55" s="222"/>
      <c r="W55" s="207"/>
    </row>
    <row r="56" spans="1:23" ht="15.75" customHeight="1" thickBot="1" x14ac:dyDescent="0.35">
      <c r="A56" s="34"/>
      <c r="B56" s="146"/>
      <c r="C56" s="71"/>
      <c r="D56" s="153"/>
      <c r="E56" s="154"/>
      <c r="F56" s="79"/>
      <c r="G56" s="137"/>
      <c r="H56" s="145"/>
      <c r="I56" s="80"/>
      <c r="J56" s="325" t="s">
        <v>547</v>
      </c>
      <c r="K56" s="288" t="s">
        <v>558</v>
      </c>
      <c r="L56" s="50">
        <v>3875.47</v>
      </c>
      <c r="M56" s="41"/>
      <c r="N56" s="42"/>
      <c r="O56" s="47"/>
      <c r="P56" s="7">
        <v>0</v>
      </c>
      <c r="Q56" s="6">
        <f t="shared" si="1"/>
        <v>0</v>
      </c>
      <c r="R56" s="48"/>
      <c r="U56" s="212"/>
      <c r="V56" s="222"/>
      <c r="W56" s="207"/>
    </row>
    <row r="57" spans="1:23" ht="15.75" customHeight="1" thickBot="1" x14ac:dyDescent="0.3">
      <c r="A57" s="34"/>
      <c r="B57" s="146"/>
      <c r="C57" s="71"/>
      <c r="D57" s="155"/>
      <c r="E57" s="154"/>
      <c r="F57" s="79"/>
      <c r="G57" s="137"/>
      <c r="H57" s="145"/>
      <c r="I57" s="80"/>
      <c r="J57" s="325" t="s">
        <v>568</v>
      </c>
      <c r="K57" s="157" t="s">
        <v>570</v>
      </c>
      <c r="L57" s="50">
        <v>1264.4000000000001</v>
      </c>
      <c r="M57" s="41"/>
      <c r="N57" s="42"/>
      <c r="O57" s="47"/>
      <c r="P57" s="7">
        <v>0</v>
      </c>
      <c r="Q57" s="6">
        <f t="shared" si="1"/>
        <v>0</v>
      </c>
      <c r="R57" s="48"/>
      <c r="U57" s="212"/>
      <c r="V57" s="222"/>
      <c r="W57" s="207"/>
    </row>
    <row r="58" spans="1:23" ht="15.75" customHeight="1" thickBot="1" x14ac:dyDescent="0.3">
      <c r="A58" s="34"/>
      <c r="B58" s="146"/>
      <c r="C58" s="71"/>
      <c r="D58" s="155"/>
      <c r="E58" s="154"/>
      <c r="F58" s="79"/>
      <c r="G58" s="137"/>
      <c r="H58" s="145"/>
      <c r="I58" s="80"/>
      <c r="J58" s="67" t="s">
        <v>568</v>
      </c>
      <c r="K58" s="243" t="s">
        <v>571</v>
      </c>
      <c r="L58" s="50">
        <f>1394.81+986.84</f>
        <v>2381.65</v>
      </c>
      <c r="M58" s="41"/>
      <c r="N58" s="42"/>
      <c r="O58" s="47"/>
      <c r="P58" s="7">
        <v>0</v>
      </c>
      <c r="Q58" s="6">
        <f t="shared" si="1"/>
        <v>0</v>
      </c>
      <c r="R58" s="48"/>
      <c r="U58" s="212"/>
      <c r="V58" s="222"/>
      <c r="W58" s="207"/>
    </row>
    <row r="59" spans="1:23" ht="15.75" customHeight="1" thickBot="1" x14ac:dyDescent="0.3">
      <c r="A59" s="34"/>
      <c r="B59" s="146"/>
      <c r="C59" s="71"/>
      <c r="D59" s="155"/>
      <c r="E59" s="154"/>
      <c r="F59" s="79"/>
      <c r="G59" s="137"/>
      <c r="H59" s="145"/>
      <c r="I59" s="80"/>
      <c r="J59" s="67" t="s">
        <v>568</v>
      </c>
      <c r="K59" s="81" t="s">
        <v>370</v>
      </c>
      <c r="L59" s="50">
        <f>549</f>
        <v>549</v>
      </c>
      <c r="M59" s="41"/>
      <c r="N59" s="42"/>
      <c r="O59" s="47"/>
      <c r="P59" s="7">
        <v>0</v>
      </c>
      <c r="Q59" s="6">
        <f t="shared" si="1"/>
        <v>0</v>
      </c>
      <c r="R59" s="48"/>
      <c r="U59" s="212"/>
      <c r="V59" s="222"/>
      <c r="W59" s="207"/>
    </row>
    <row r="60" spans="1:23" ht="15.75" customHeight="1" thickBot="1" x14ac:dyDescent="0.3">
      <c r="A60" s="34"/>
      <c r="B60" s="35"/>
      <c r="C60" s="71"/>
      <c r="D60" s="82"/>
      <c r="E60" s="78"/>
      <c r="F60" s="79"/>
      <c r="H60" s="73"/>
      <c r="I60" s="80"/>
      <c r="J60" s="67" t="s">
        <v>568</v>
      </c>
      <c r="K60" s="378" t="s">
        <v>572</v>
      </c>
      <c r="L60" s="50">
        <v>10000</v>
      </c>
      <c r="M60" s="41"/>
      <c r="N60" s="42"/>
      <c r="O60" s="47"/>
      <c r="P60" s="7">
        <v>0</v>
      </c>
      <c r="Q60" s="6">
        <f t="shared" si="1"/>
        <v>0</v>
      </c>
      <c r="R60" s="48"/>
      <c r="U60" s="212"/>
      <c r="V60" s="222"/>
      <c r="W60" s="207"/>
    </row>
    <row r="61" spans="1:23" ht="15.75" thickBot="1" x14ac:dyDescent="0.3">
      <c r="A61" s="34"/>
      <c r="B61" s="35"/>
      <c r="C61" s="36">
        <v>0</v>
      </c>
      <c r="D61" s="82"/>
      <c r="E61" s="78"/>
      <c r="F61" s="79"/>
      <c r="H61" s="73"/>
      <c r="I61" s="80"/>
      <c r="J61" s="67"/>
      <c r="K61" s="83"/>
      <c r="L61" s="6"/>
      <c r="M61" s="41">
        <v>0</v>
      </c>
      <c r="N61" s="42">
        <v>0</v>
      </c>
      <c r="O61" s="47"/>
      <c r="P61" s="84">
        <v>0</v>
      </c>
      <c r="Q61" s="84">
        <f t="shared" si="1"/>
        <v>0</v>
      </c>
      <c r="R61" s="48"/>
      <c r="U61" s="210"/>
      <c r="V61" s="222"/>
      <c r="W61" s="207"/>
    </row>
    <row r="62" spans="1:23" ht="16.5" thickBot="1" x14ac:dyDescent="0.3">
      <c r="B62" s="85" t="s">
        <v>13</v>
      </c>
      <c r="C62" s="86">
        <f>SUM(C5:C61)</f>
        <v>512267</v>
      </c>
      <c r="D62" s="87"/>
      <c r="E62" s="88" t="s">
        <v>13</v>
      </c>
      <c r="F62" s="89">
        <f>SUM(F5:F61)</f>
        <v>4894144</v>
      </c>
      <c r="G62" s="87"/>
      <c r="H62" s="90" t="s">
        <v>14</v>
      </c>
      <c r="I62" s="91">
        <f>SUM(I5:I61)</f>
        <v>101208.54</v>
      </c>
      <c r="J62" s="92"/>
      <c r="K62" s="93" t="s">
        <v>15</v>
      </c>
      <c r="L62" s="94">
        <f>SUM(L5:L61)</f>
        <v>677826.02000000014</v>
      </c>
      <c r="M62" s="95">
        <f>SUM(M5:M61)</f>
        <v>4222204</v>
      </c>
      <c r="N62" s="95">
        <f>SUM(N5:N61)</f>
        <v>255977</v>
      </c>
      <c r="O62" s="96"/>
      <c r="P62" s="7">
        <f>SUM(P5:P61)</f>
        <v>4949353.2799999993</v>
      </c>
      <c r="Q62" s="6">
        <f>SUM(Q5:Q61)</f>
        <v>55209.279999999984</v>
      </c>
      <c r="R62" s="97"/>
      <c r="U62" s="210"/>
      <c r="V62" s="222"/>
      <c r="W62" s="207"/>
    </row>
    <row r="63" spans="1:23" ht="20.25" thickTop="1" thickBot="1" x14ac:dyDescent="0.3">
      <c r="C63" s="8" t="s">
        <v>11</v>
      </c>
      <c r="O63" s="96"/>
      <c r="P63" s="7"/>
      <c r="Q63" s="7"/>
      <c r="R63" s="98"/>
      <c r="S63" s="99"/>
      <c r="U63" s="211"/>
      <c r="V63" s="223"/>
      <c r="W63" s="208"/>
    </row>
    <row r="64" spans="1:23" ht="17.25" customHeight="1" thickBot="1" x14ac:dyDescent="0.3">
      <c r="A64" s="60"/>
      <c r="B64" s="100"/>
      <c r="C64" s="4"/>
      <c r="H64" s="548" t="s">
        <v>16</v>
      </c>
      <c r="I64" s="549"/>
      <c r="J64" s="101"/>
      <c r="K64" s="550">
        <f>I62+L62</f>
        <v>779034.56000000017</v>
      </c>
      <c r="L64" s="551"/>
      <c r="M64" s="552">
        <f>M62+N62</f>
        <v>4478181</v>
      </c>
      <c r="N64" s="553"/>
      <c r="O64" s="102"/>
      <c r="P64" s="99"/>
      <c r="Q64" s="99"/>
      <c r="S64" s="174"/>
    </row>
    <row r="65" spans="2:19" ht="19.5" customHeight="1" thickBot="1" x14ac:dyDescent="0.3">
      <c r="D65" s="560" t="s">
        <v>17</v>
      </c>
      <c r="E65" s="560"/>
      <c r="F65" s="103">
        <f>F62-K64-C62</f>
        <v>3602842.44</v>
      </c>
      <c r="I65" s="104"/>
      <c r="J65" s="105"/>
      <c r="P65" s="561">
        <f>P62+Q62</f>
        <v>5004562.5599999996</v>
      </c>
      <c r="Q65" s="562"/>
      <c r="S65" s="50"/>
    </row>
    <row r="66" spans="2:19" ht="15.75" customHeight="1" x14ac:dyDescent="0.3">
      <c r="B66" s="577" t="s">
        <v>528</v>
      </c>
      <c r="C66" s="578"/>
      <c r="D66" s="560" t="s">
        <v>502</v>
      </c>
      <c r="E66" s="560"/>
      <c r="F66" s="95">
        <v>-3854423.8</v>
      </c>
      <c r="I66" s="564" t="s">
        <v>19</v>
      </c>
      <c r="J66" s="565"/>
      <c r="K66" s="566">
        <f>F68+F69+F70</f>
        <v>14998.430000000139</v>
      </c>
      <c r="L66" s="567"/>
      <c r="P66" s="50"/>
      <c r="S66" s="107"/>
    </row>
    <row r="67" spans="2:19" ht="19.5" thickBot="1" x14ac:dyDescent="0.35">
      <c r="B67" s="579"/>
      <c r="C67" s="580"/>
      <c r="D67" s="108"/>
      <c r="E67" s="60"/>
      <c r="F67" s="109">
        <v>0</v>
      </c>
      <c r="I67" s="110"/>
      <c r="J67" s="111"/>
      <c r="K67" s="112"/>
      <c r="L67" s="113"/>
      <c r="P67" s="107"/>
      <c r="Q67" s="7"/>
      <c r="S67" s="50"/>
    </row>
    <row r="68" spans="2:19" ht="18.75" customHeight="1" thickTop="1" thickBot="1" x14ac:dyDescent="0.35">
      <c r="B68" s="581"/>
      <c r="C68" s="582"/>
      <c r="E68" s="60" t="s">
        <v>20</v>
      </c>
      <c r="F68" s="95">
        <f>SUM(F65:F67)</f>
        <v>-251581.35999999987</v>
      </c>
      <c r="H68" s="34"/>
      <c r="I68" s="114" t="s">
        <v>21</v>
      </c>
      <c r="J68" s="115"/>
      <c r="K68" s="568">
        <f>-C4</f>
        <v>-249311.35999999999</v>
      </c>
      <c r="L68" s="569"/>
      <c r="M68" s="116"/>
      <c r="P68" s="50"/>
      <c r="Q68" s="7"/>
      <c r="S68" s="50"/>
    </row>
    <row r="69" spans="2:19" ht="16.5" thickBot="1" x14ac:dyDescent="0.3">
      <c r="D69" s="117" t="s">
        <v>22</v>
      </c>
      <c r="E69" s="60" t="s">
        <v>23</v>
      </c>
      <c r="F69" s="118">
        <v>10815.4</v>
      </c>
      <c r="P69" s="50"/>
      <c r="Q69" s="7"/>
      <c r="S69" s="50"/>
    </row>
    <row r="70" spans="2:19" ht="20.25" thickTop="1" thickBot="1" x14ac:dyDescent="0.35">
      <c r="C70" s="119">
        <v>44353</v>
      </c>
      <c r="D70" s="554" t="s">
        <v>24</v>
      </c>
      <c r="E70" s="555"/>
      <c r="F70" s="120">
        <v>255764.39</v>
      </c>
      <c r="I70" s="556" t="s">
        <v>431</v>
      </c>
      <c r="J70" s="557"/>
      <c r="K70" s="558">
        <f>K66+K68</f>
        <v>-234312.92999999985</v>
      </c>
      <c r="L70" s="559"/>
      <c r="P70" s="50"/>
      <c r="Q70" s="7"/>
      <c r="S70" s="121"/>
    </row>
    <row r="71" spans="2:19" ht="18.75" x14ac:dyDescent="0.3">
      <c r="C71" s="122"/>
      <c r="D71" s="123"/>
      <c r="E71" s="57"/>
      <c r="F71" s="124"/>
      <c r="J71" s="125"/>
      <c r="M71" s="126"/>
      <c r="P71" s="121"/>
      <c r="Q71" s="7"/>
    </row>
    <row r="72" spans="2:19" x14ac:dyDescent="0.25">
      <c r="P72" s="7"/>
      <c r="Q72" s="7"/>
    </row>
    <row r="73" spans="2:19" ht="15.75" x14ac:dyDescent="0.25">
      <c r="B73" s="127"/>
      <c r="C73" s="128"/>
      <c r="D73" s="129"/>
      <c r="E73" s="7"/>
      <c r="M73" s="2"/>
      <c r="N73" s="60"/>
      <c r="P73" s="7"/>
      <c r="Q73" s="7"/>
      <c r="R73" s="165"/>
      <c r="S73" s="173"/>
    </row>
    <row r="74" spans="2:19" ht="15.75" x14ac:dyDescent="0.25">
      <c r="B74" s="127"/>
      <c r="C74" s="130"/>
      <c r="E74" s="7"/>
      <c r="M74" s="2"/>
      <c r="N74" s="60"/>
      <c r="O74" s="248"/>
      <c r="P74" s="173"/>
      <c r="Q74" s="165"/>
      <c r="R74" s="165"/>
      <c r="S74" s="165"/>
    </row>
    <row r="75" spans="2:19" ht="15.75" x14ac:dyDescent="0.25">
      <c r="B75" s="127"/>
      <c r="C75" s="130"/>
      <c r="E75" s="7"/>
      <c r="F75" s="132"/>
      <c r="L75" s="133"/>
      <c r="M75" s="4"/>
      <c r="O75" s="248"/>
      <c r="P75" s="165"/>
      <c r="Q75" s="165"/>
    </row>
    <row r="76" spans="2:19" ht="15.75" x14ac:dyDescent="0.25">
      <c r="B76" s="127"/>
      <c r="C76" s="130"/>
      <c r="E76" s="7"/>
      <c r="M76" s="4"/>
    </row>
    <row r="77" spans="2:19" ht="15.75" x14ac:dyDescent="0.25">
      <c r="B77" s="127"/>
      <c r="C77" s="130"/>
      <c r="D77" s="272"/>
      <c r="E77" s="7"/>
      <c r="F77" s="273"/>
      <c r="M77" s="4"/>
    </row>
    <row r="78" spans="2:19" x14ac:dyDescent="0.25">
      <c r="D78" s="272"/>
      <c r="E78" s="274"/>
      <c r="F78" s="7"/>
      <c r="M78" s="4"/>
    </row>
    <row r="79" spans="2:19" x14ac:dyDescent="0.25">
      <c r="D79" s="272"/>
      <c r="E79" s="274"/>
      <c r="F79" s="7"/>
      <c r="M79" s="4"/>
    </row>
    <row r="80" spans="2:19" x14ac:dyDescent="0.25">
      <c r="D80" s="272"/>
      <c r="E80" s="274"/>
      <c r="F80" s="7"/>
      <c r="M80" s="4"/>
    </row>
    <row r="81" spans="4:13" x14ac:dyDescent="0.25">
      <c r="D81" s="272"/>
      <c r="E81" s="274"/>
      <c r="F81" s="7"/>
      <c r="M81" s="4"/>
    </row>
    <row r="82" spans="4:13" x14ac:dyDescent="0.25">
      <c r="D82" s="272"/>
      <c r="E82" s="274"/>
      <c r="F82" s="7"/>
      <c r="M82" s="4"/>
    </row>
    <row r="83" spans="4:13" x14ac:dyDescent="0.25">
      <c r="D83" s="272"/>
      <c r="E83" s="274"/>
      <c r="F83" s="7"/>
      <c r="M83" s="4"/>
    </row>
    <row r="84" spans="4:13" x14ac:dyDescent="0.25">
      <c r="D84" s="272"/>
      <c r="E84" s="274"/>
      <c r="F84" s="7"/>
      <c r="M84" s="4"/>
    </row>
    <row r="85" spans="4:13" x14ac:dyDescent="0.25">
      <c r="D85" s="272"/>
      <c r="E85" s="274"/>
      <c r="F85" s="7"/>
      <c r="M85" s="4"/>
    </row>
    <row r="86" spans="4:13" x14ac:dyDescent="0.25">
      <c r="D86" s="272"/>
      <c r="E86" s="274"/>
      <c r="F86" s="7"/>
      <c r="M86" s="4"/>
    </row>
    <row r="87" spans="4:13" x14ac:dyDescent="0.25">
      <c r="D87" s="272"/>
      <c r="E87" s="274"/>
      <c r="F87" s="7"/>
      <c r="M87" s="4"/>
    </row>
    <row r="88" spans="4:13" x14ac:dyDescent="0.25">
      <c r="D88" s="272"/>
      <c r="E88" s="274"/>
      <c r="F88" s="7"/>
      <c r="M88" s="4"/>
    </row>
    <row r="89" spans="4:13" x14ac:dyDescent="0.25">
      <c r="D89" s="272"/>
      <c r="E89" s="274"/>
      <c r="F89" s="7"/>
    </row>
    <row r="90" spans="4:13" x14ac:dyDescent="0.25">
      <c r="D90" s="272"/>
      <c r="E90" s="272"/>
      <c r="F90" s="273"/>
    </row>
    <row r="91" spans="4:13" x14ac:dyDescent="0.25">
      <c r="D91" s="272"/>
      <c r="E91" s="272"/>
      <c r="F91" s="273"/>
    </row>
    <row r="92" spans="4:13" x14ac:dyDescent="0.25">
      <c r="D92" s="272"/>
      <c r="E92" s="272"/>
      <c r="F92" s="273"/>
    </row>
  </sheetData>
  <mergeCells count="18">
    <mergeCell ref="D70:E70"/>
    <mergeCell ref="I70:J70"/>
    <mergeCell ref="K70:L70"/>
    <mergeCell ref="M64:N64"/>
    <mergeCell ref="D65:E65"/>
    <mergeCell ref="P65:Q65"/>
    <mergeCell ref="D66:E66"/>
    <mergeCell ref="I66:J66"/>
    <mergeCell ref="K66:L66"/>
    <mergeCell ref="C1:K1"/>
    <mergeCell ref="B3:C3"/>
    <mergeCell ref="H3:I3"/>
    <mergeCell ref="E4:F4"/>
    <mergeCell ref="H4:I4"/>
    <mergeCell ref="H64:I64"/>
    <mergeCell ref="K64:L64"/>
    <mergeCell ref="B66:C68"/>
    <mergeCell ref="K68:L68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27</vt:i4>
      </vt:variant>
    </vt:vector>
  </HeadingPairs>
  <TitlesOfParts>
    <vt:vector size="27" baseType="lpstr">
      <vt:lpstr>E N E R O     2 0 2 1    </vt:lpstr>
      <vt:lpstr>REMISIONES   ENERO  2021  </vt:lpstr>
      <vt:lpstr>FEBRERO    2021   </vt:lpstr>
      <vt:lpstr>REMISIONES  FEBRERO   2021   </vt:lpstr>
      <vt:lpstr>M A R Z O     2 0 2 1     </vt:lpstr>
      <vt:lpstr>REMISIONES  MARZO    2021    </vt:lpstr>
      <vt:lpstr>A B R I L     2 0 2 1     </vt:lpstr>
      <vt:lpstr>REMISIONES    ABRIL   2021   </vt:lpstr>
      <vt:lpstr>M A Y O      2 0 2 1      </vt:lpstr>
      <vt:lpstr>REMISIONES  MAYO   2021   </vt:lpstr>
      <vt:lpstr>J U N I O      2 0 2 1      </vt:lpstr>
      <vt:lpstr>REMISIONES   JUNIO   2021     </vt:lpstr>
      <vt:lpstr>JUNIO    PREREPORTE     </vt:lpstr>
      <vt:lpstr> J U L I O      2 0 2 1       </vt:lpstr>
      <vt:lpstr>REMISIONES  J U L I O   2021   </vt:lpstr>
      <vt:lpstr>A G O S TO    2 0 2 1     </vt:lpstr>
      <vt:lpstr>REMISIONES  AGOSTO  2021  </vt:lpstr>
      <vt:lpstr>SEPTIEMBRE     2 0 2 1     </vt:lpstr>
      <vt:lpstr>REMISIONES  SEPTIEMBRE 2021 </vt:lpstr>
      <vt:lpstr>Hoja6</vt:lpstr>
      <vt:lpstr>Hoja7</vt:lpstr>
      <vt:lpstr>C A N C E L A C I O N E S   </vt:lpstr>
      <vt:lpstr>REPORTE  JUNIO  JULIO  AGOSTO  </vt:lpstr>
      <vt:lpstr>RELACION DE TIKETS       00000</vt:lpstr>
      <vt:lpstr>Hoja1</vt:lpstr>
      <vt:lpstr>Hoja3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2021-10-02T20:19:07Z</cp:lastPrinted>
  <dcterms:created xsi:type="dcterms:W3CDTF">2021-01-11T14:43:39Z</dcterms:created>
  <dcterms:modified xsi:type="dcterms:W3CDTF">2021-10-02T20:44:50Z</dcterms:modified>
</cp:coreProperties>
</file>