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9" i="38" l="1"/>
  <c r="F129" i="38"/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<sst xmlns="http://schemas.openxmlformats.org/spreadsheetml/2006/main" count="4209" uniqueCount="694">
  <si>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</si>
  <si>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</si>
  <si>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</si>
  <si>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</si>
  <si>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</si>
  <si>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</si>
  <si>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</si>
  <si>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</si>
  <si>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</si>
  <si>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</si>
  <si>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</si>
  <si>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</si>
  <si>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</si>
  <si>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</si>
  <si>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</si>
  <si>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</si>
  <si>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</si>
  <si>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</si>
  <si>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</si>
  <si>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</si>
  <si>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</si>
  <si>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</si>
  <si>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</si>
  <si>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</si>
  <si>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</si>
  <si>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</si>
  <si>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</si>
  <si>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</si>
  <si>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</si>
  <si>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</si>
  <si>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</si>
  <si>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</si>
  <si>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</si>
  <si>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</si>
  <si>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</si>
  <si>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</si>
  <si>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</si>
  <si>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</si>
  <si>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</si>
  <si>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</si>
  <si>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</si>
  <si>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</si>
  <si>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</si>
  <si>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</si>
  <si>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</si>
  <si>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</si>
  <si>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</si>
  <si>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</si>
  <si>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</si>
  <si>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</si>
  <si>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</si>
  <si>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</si>
  <si>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</si>
  <si>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</si>
  <si>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</si>
  <si>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</si>
  <si>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</si>
  <si>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</si>
  <si>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</si>
  <si>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</si>
  <si>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</si>
  <si>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</si>
  <si>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</si>
  <si>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</si>
  <si>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</si>
  <si>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</si>
  <si>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</si>
  <si>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</si>
  <si>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</si>
  <si>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</si>
  <si>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</si>
  <si>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</si>
  <si>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</si>
  <si>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</si>
  <si>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</si>
  <si>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</si>
  <si>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</si>
  <si>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</si>
  <si>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</si>
  <si>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</si>
  <si>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</si>
  <si>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</si>
  <si>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</si>
  <si>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</si>
  <si>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</si>
  <si>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</si>
  <si>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</si>
  <si>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</si>
  <si>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</si>
  <si>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</si>
  <si>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</si>
  <si>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</si>
  <si>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</si>
  <si>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</si>
  <si>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</si>
  <si>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</si>
  <si>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</si>
  <si>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</si>
  <si>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</si>
  <si>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</si>
  <si>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</si>
  <si>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</si>
  <si>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</si>
  <si>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</si>
  <si>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</si>
  <si>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</si>
  <si>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</si>
  <si>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</si>
  <si>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</si>
  <si>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</si>
  <si>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</si>
  <si>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</si>
  <si>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</si>
  <si>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</si>
  <si>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</si>
  <si>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</si>
  <si>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</si>
  <si>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</si>
  <si>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</si>
  <si>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</si>
  <si>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</si>
  <si>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</si>
  <si>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</si>
  <si>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</si>
  <si>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</si>
  <si>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</si>
  <si>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</si>
  <si>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</si>
  <si>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</si>
  <si>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</si>
  <si>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</si>
  <si>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</si>
  <si>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</si>
  <si>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</si>
  <si>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</si>
  <si>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</si>
  <si>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</si>
  <si>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</si>
  <si>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</si>
  <si>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</si>
  <si>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</si>
  <si>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</si>
  <si>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</si>
  <si>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</si>
  <si>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</si>
  <si>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</si>
  <si>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</si>
  <si>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</si>
  <si>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</si>
  <si>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</si>
  <si>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</si>
  <si>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</si>
  <si>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</si>
  <si>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</si>
  <si>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</si>
  <si>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</si>
  <si>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</si>
  <si>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</si>
  <si>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</si>
  <si>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</si>
  <si>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</si>
  <si>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</si>
  <si>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</si>
  <si>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</si>
  <si>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</si>
  <si>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</si>
  <si>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</si>
  <si>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</si>
  <si>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</si>
  <si>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</si>
  <si>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</si>
  <si>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</si>
  <si>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</si>
  <si>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</si>
  <si>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</si>
  <si>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</si>
  <si>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</si>
  <si>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</si>
  <si>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</si>
  <si>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</si>
  <si>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</si>
  <si>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</si>
  <si>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</si>
  <si>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</si>
  <si>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</si>
  <si>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</si>
  <si>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</si>
  <si>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</si>
  <si>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</si>
  <si>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</si>
  <si>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</si>
  <si>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</si>
  <si>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</si>
  <si>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</si>
  <si>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</si>
  <si>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</si>
  <si>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</si>
  <si>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</si>
  <si>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</si>
  <si>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</si>
  <si>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</si>
  <si>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</si>
  <si>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</si>
  <si>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</si>
  <si>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</si>
  <si>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</si>
  <si>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</si>
  <si>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</si>
  <si>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</si>
  <si>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</si>
  <si>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</si>
  <si>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</si>
  <si>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</si>
  <si>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</si>
  <si>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</si>
  <si>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</si>
  <si>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</si>
  <si>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</si>
  <si>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</si>
  <si>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</si>
  <si>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</si>
  <si>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</si>
  <si>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</si>
  <si>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</si>
  <si>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</si>
  <si>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</si>
  <si>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</si>
  <si>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</si>
  <si>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</si>
  <si>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</si>
  <si>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</si>
  <si>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</si>
  <si>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</si>
  <si>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</si>
  <si>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</si>
  <si>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</si>
  <si>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</si>
  <si>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</si>
  <si>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</si>
  <si>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</si>
  <si>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</si>
  <si>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</si>
  <si>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</si>
  <si>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</si>
  <si>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</si>
  <si>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</si>
  <si>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</si>
  <si>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</si>
  <si>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</si>
  <si>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</si>
  <si>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</si>
  <si>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</si>
  <si>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</si>
  <si>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</si>
  <si>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</si>
  <si>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</si>
  <si>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</si>
  <si>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</si>
  <si>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</si>
  <si>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</si>
  <si>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</si>
  <si>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</si>
  <si>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</si>
  <si>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</si>
  <si>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</si>
  <si>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</si>
  <si>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</si>
  <si>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</si>
  <si>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</si>
  <si>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</si>
  <si>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</si>
  <si>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</si>
  <si>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</si>
  <si>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</si>
  <si>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</si>
  <si>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</si>
  <si>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</si>
  <si>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</si>
  <si>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</si>
  <si>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</si>
  <si>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</si>
  <si>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</si>
  <si>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</si>
  <si>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</si>
  <si>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</si>
  <si>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</si>
  <si>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</si>
  <si>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</si>
  <si>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</si>
  <si>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</si>
  <si>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</si>
  <si>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</si>
  <si>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</si>
  <si>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</si>
  <si>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</si>
  <si>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</si>
  <si>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</si>
  <si>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</si>
  <si>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</si>
  <si>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</si>
  <si>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</si>
  <si>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</si>
  <si>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</si>
  <si>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</si>
  <si>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</si>
  <si>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</si>
  <si>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</si>
  <si>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</si>
  <si>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</si>
  <si>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</si>
  <si>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</si>
  <si>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</si>
  <si>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</si>
  <si>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</si>
  <si>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</si>
  <si>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</si>
  <si>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</si>
  <si>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</si>
  <si>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</si>
  <si>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</si>
  <si>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</si>
  <si>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</si>
  <si>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</si>
  <si>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</si>
  <si>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</si>
  <si>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</si>
  <si>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</si>
  <si>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</si>
  <si>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</si>
  <si>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</si>
  <si>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</si>
  <si>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</si>
  <si>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</si>
  <si>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</si>
  <si>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</si>
  <si>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</si>
  <si>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</si>
  <si>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</si>
  <si>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</si>
  <si>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</si>
  <si>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</si>
  <si>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</si>
  <si>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</si>
  <si>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</si>
  <si>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</si>
  <si>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</si>
  <si>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</si>
  <si>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</si>
  <si>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</si>
  <si>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</si>
  <si>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</si>
  <si>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</si>
  <si>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</si>
  <si>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</si>
  <si>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</si>
  <si>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</si>
  <si>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</si>
  <si>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</si>
  <si>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</si>
  <si>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</si>
  <si>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</si>
  <si>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</si>
  <si>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</si>
  <si>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</si>
  <si>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</si>
  <si>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</si>
  <si>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</si>
  <si>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</si>
  <si>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</si>
  <si>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</si>
  <si>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</si>
  <si>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</si>
  <si>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</si>
  <si>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</si>
  <si>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</si>
  <si>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</si>
  <si>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</si>
  <si>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</si>
  <si>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</si>
  <si>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</si>
  <si>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</si>
  <si>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</si>
  <si>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</si>
  <si>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</si>
  <si>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</si>
  <si>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</si>
  <si>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</si>
  <si>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</si>
  <si>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</si>
  <si>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</si>
  <si>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</si>
  <si>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</si>
  <si>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</si>
  <si>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</si>
  <si>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</si>
  <si>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</si>
  <si>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</si>
  <si>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</si>
  <si>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</si>
  <si>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</si>
  <si>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</si>
  <si>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</si>
  <si>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</si>
  <si>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</si>
  <si>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</si>
  <si>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</si>
  <si>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</si>
  <si>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</si>
  <si>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</si>
  <si>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</si>
  <si>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</si>
  <si>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</si>
  <si>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</si>
  <si>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</si>
  <si>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</si>
  <si>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</si>
  <si>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</si>
  <si>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</si>
  <si>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</si>
  <si>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</si>
  <si>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</si>
  <si>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</si>
  <si>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</si>
  <si>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</si>
  <si>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</si>
  <si>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</si>
  <si>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</si>
  <si>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</si>
  <si>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</si>
  <si>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</si>
  <si>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</si>
  <si>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</si>
  <si>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</si>
  <si>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</si>
  <si>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</si>
  <si>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</si>
  <si>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</si>
  <si>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</si>
  <si>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</si>
  <si>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</si>
  <si>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</si>
  <si>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</si>
  <si>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</si>
  <si>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</si>
  <si>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</si>
  <si>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</si>
  <si>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</si>
  <si>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</si>
  <si>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</si>
  <si>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</si>
  <si>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</si>
  <si>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</si>
  <si>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</si>
  <si>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</si>
  <si>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</si>
  <si>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</si>
  <si>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</si>
  <si>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</si>
  <si>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</si>
  <si>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</si>
  <si>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</si>
  <si>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</si>
  <si>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</si>
  <si>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</si>
  <si>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</si>
  <si>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</si>
  <si>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</si>
  <si>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</si>
  <si>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</si>
  <si>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</si>
  <si>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</si>
  <si>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</si>
  <si>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</si>
  <si>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</si>
  <si>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</si>
  <si>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</si>
  <si>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</si>
  <si>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</si>
  <si>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</si>
  <si>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</si>
  <si>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</si>
  <si>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</si>
  <si>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</si>
  <si>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</si>
  <si>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</si>
  <si>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</si>
  <si>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</si>
  <si>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</si>
  <si>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</si>
  <si>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</si>
  <si>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</si>
  <si>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</si>
  <si>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</si>
  <si>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</si>
  <si>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</si>
  <si>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</si>
  <si>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</si>
  <si>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</si>
  <si>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</si>
  <si>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</si>
  <si>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</si>
  <si>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</si>
  <si>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</si>
  <si>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</si>
  <si>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</si>
  <si>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</si>
  <si>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</si>
  <si>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</si>
  <si>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</si>
  <si>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</si>
  <si>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</si>
  <si>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</si>
  <si>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</si>
  <si>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</si>
  <si>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</si>
  <si>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</si>
  <si>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</si>
  <si>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</si>
  <si>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</si>
  <si>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</si>
  <si>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</si>
  <si>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</si>
  <si>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</si>
  <si>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</si>
  <si>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</si>
  <si>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</si>
  <si>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</si>
  <si>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</si>
  <si>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</si>
  <si>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</si>
  <si>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</si>
  <si>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</si>
  <si>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</si>
  <si>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</si>
  <si>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</si>
  <si>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</si>
  <si>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</si>
  <si>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</si>
  <si>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</si>
  <si>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</si>
  <si>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</si>
  <si>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</si>
  <si>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</si>
  <si>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</si>
  <si>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</si>
  <si>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</si>
  <si>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</si>
  <si>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</si>
  <si>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</si>
  <si>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</si>
  <si>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</si>
  <si>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</si>
  <si>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</si>
  <si>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</si>
  <si>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</si>
  <si>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</si>
  <si>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</si>
  <si>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</si>
  <si>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</si>
  <si>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</si>
  <si>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</si>
  <si>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</si>
  <si>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</si>
  <si>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</si>
  <si>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</si>
  <si>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</si>
  <si>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</si>
  <si>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</si>
  <si>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</si>
  <si>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</si>
  <si>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</si>
  <si>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</si>
  <si>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</si>
  <si>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</si>
  <si>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</si>
  <si>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</si>
  <si>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</si>
  <si>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</si>
  <si>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</si>
  <si>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</si>
  <si>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</si>
  <si>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</si>
  <si>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</si>
  <si>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</si>
  <si>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</si>
  <si>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</si>
  <si>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</si>
  <si>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</si>
  <si>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</si>
  <si>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</si>
  <si>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</si>
  <si>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</si>
  <si>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</si>
  <si>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</si>
  <si>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</si>
  <si>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</si>
  <si>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</si>
  <si>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</si>
  <si>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</si>
  <si>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</si>
  <si>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</si>
  <si>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</si>
  <si>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</si>
  <si>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</si>
  <si>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</si>
  <si>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</si>
  <si>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</si>
  <si>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</si>
  <si>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</si>
  <si>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</si>
  <si>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</si>
  <si>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</si>
  <si>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</si>
  <si>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</si>
  <si>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</si>
  <si>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</si>
  <si>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</si>
  <si>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</si>
  <si>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</si>
  <si>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</si>
  <si>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</si>
  <si>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</si>
  <si>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</si>
  <si>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</si>
  <si>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</si>
  <si>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</si>
  <si>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</si>
  <si>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</si>
  <si>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</si>
  <si>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</si>
  <si>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</si>
  <si>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</si>
  <si>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</si>
  <si>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</si>
  <si>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</si>
  <si>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</si>
  <si>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</si>
  <si>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</si>
  <si>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</si>
  <si>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</si>
  <si>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</si>
  <si>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</si>
  <si>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</si>
  <si>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</si>
  <si>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</si>
  <si>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</si>
  <si>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</si>
  <si>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</si>
  <si>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</si>
  <si>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</si>
  <si>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</si>
  <si>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</si>
  <si>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</si>
  <si>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</si>
  <si>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</si>
  <si>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</si>
  <si>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</si>
  <si>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</si>
  <si>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</si>
  <si>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</si>
  <si>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</si>
  <si>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</si>
  <si>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</si>
  <si>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</si>
  <si>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</si>
  <si>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</si>
  <si>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</si>
  <si>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</si>
  <si>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</si>
  <si>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</si>
  <si>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</si>
  <si>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</si>
  <si>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</si>
  <si>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</si>
  <si>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</si>
  <si>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</si>
  <si>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</si>
  <si>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</si>
  <si>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</si>
  <si>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</si>
  <si>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</si>
  <si>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</si>
  <si>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</si>
  <si>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</si>
  <si>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</si>
  <si>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</si>
  <si>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</si>
  <si>
    <t>Transfer B 5-Dic-22</t>
  </si>
  <si>
    <t>VARIOS  NORA 1826</t>
  </si>
  <si>
    <t>FOLIO CENTRAL 11190</t>
  </si>
  <si>
    <t>A-336216</t>
  </si>
  <si>
    <t>Transfer S 22-Dic-22</t>
  </si>
  <si>
    <t>FPL-1405866</t>
  </si>
  <si>
    <t>Transfer S 26-Dic-22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</si>
</sst>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44" fontId="10" fillId="2" borderId="91" xfId="1" applyFont="1" applyFill="1" applyBorder="1" applyAlignment="1">
      <alignment vertical="center"/>
    </xf>
    <xf numFmtId="44" fontId="10" fillId="2" borderId="104" xfId="1" applyFont="1" applyFill="1" applyBorder="1" applyAlignment="1">
      <alignment vertical="center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1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0" borderId="70" xfId="0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109" xfId="0" applyNumberFormat="1" applyFont="1" applyFill="1" applyBorder="1" applyAlignment="1">
      <alignment horizontal="center" vertical="center"/>
    </xf>
    <xf numFmtId="1" fontId="41" fillId="0" borderId="110" xfId="0" applyNumberFormat="1" applyFont="1" applyFill="1" applyBorder="1" applyAlignment="1">
      <alignment horizontal="center" vertical="center"/>
    </xf>
    <xf numFmtId="164" fontId="10" fillId="2" borderId="74" xfId="0" applyNumberFormat="1" applyFont="1" applyFill="1" applyBorder="1" applyAlignment="1">
      <alignment horizontal="center" vertical="center" wrapText="1"/>
    </xf>
    <xf numFmtId="164" fontId="10" fillId="2" borderId="10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00FF00"/>
      <color rgb="FF66FFFF"/>
      <color rgb="FFFF3399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  <c:pt idx="18" formatCode="&quot;$&quot;#,##0.00">
                  <c:v>6032</c:v>
                </c:pt>
                <c:pt idx="19" formatCode="&quot;$&quot;#,##0.00">
                  <c:v>6264</c:v>
                </c:pt>
                <c:pt idx="20" formatCode="&quot;$&quot;#,##0.00">
                  <c:v>5974</c:v>
                </c:pt>
                <c:pt idx="21" formatCode="&quot;$&quot;#,##0.00">
                  <c:v>5974</c:v>
                </c:pt>
                <c:pt idx="22" formatCode="&quot;$&quot;#,##0.00">
                  <c:v>5858</c:v>
                </c:pt>
                <c:pt idx="23" formatCode="&quot;$&quot;#,##0.00">
                  <c:v>5858</c:v>
                </c:pt>
                <c:pt idx="24" formatCode="&quot;$&quot;#,##0.00">
                  <c:v>5887</c:v>
                </c:pt>
                <c:pt idx="25" formatCode="&quot;$&quot;#,##0.00">
                  <c:v>5858</c:v>
                </c:pt>
                <c:pt idx="26" formatCode="&quot;$&quot;#,##0.00">
                  <c:v>5800</c:v>
                </c:pt>
                <c:pt idx="27" formatCode="&quot;$&quot;#,##0.00">
                  <c:v>5916</c:v>
                </c:pt>
                <c:pt idx="28" formatCode="&quot;$&quot;#,##0.00">
                  <c:v>5278</c:v>
                </c:pt>
                <c:pt idx="29" formatCode="&quot;$&quot;#,##0.0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1021756.7599999999</c:v>
                </c:pt>
                <c:pt idx="21">
                  <c:v>1026492.8600000001</c:v>
                </c:pt>
                <c:pt idx="22">
                  <c:v>1005950.9119999999</c:v>
                </c:pt>
                <c:pt idx="23">
                  <c:v>1003281.7088</c:v>
                </c:pt>
                <c:pt idx="24">
                  <c:v>1012196.93325</c:v>
                </c:pt>
                <c:pt idx="25">
                  <c:v>1003466.5529</c:v>
                </c:pt>
                <c:pt idx="26">
                  <c:v>990070.13439999986</c:v>
                </c:pt>
                <c:pt idx="27">
                  <c:v>996031.08890000009</c:v>
                </c:pt>
                <c:pt idx="28">
                  <c:v>900595.91649999993</c:v>
                </c:pt>
                <c:pt idx="29">
                  <c:v>905323.50899999996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54.08294324629901</c:v>
                </c:pt>
                <c:pt idx="21">
                  <c:v>53.833797825506593</c:v>
                </c:pt>
                <c:pt idx="22">
                  <c:v>53.122923887834702</c:v>
                </c:pt>
                <c:pt idx="23">
                  <c:v>53.140470135445192</c:v>
                </c:pt>
                <c:pt idx="24">
                  <c:v>53.373242417145178</c:v>
                </c:pt>
                <c:pt idx="25">
                  <c:v>53.260551961072565</c:v>
                </c:pt>
                <c:pt idx="26">
                  <c:v>52.324122375132525</c:v>
                </c:pt>
                <c:pt idx="27">
                  <c:v>52.300397617304419</c:v>
                </c:pt>
                <c:pt idx="28">
                  <c:v>48.107202525640204</c:v>
                </c:pt>
                <c:pt idx="29">
                  <c:v>48.147399149785322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115" activePane="bottomRight" state="frozen"/>
      <selection pane="topRight" activeCell="B1" sqref="B1"/>
      <selection pane="bottomLeft" activeCell="A3" sqref="A3"/>
      <selection pane="bottomRight" activeCell="T121" sqref="T1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60" t="s">
        <v>26</v>
      </c>
      <c r="L1" s="663"/>
      <c r="M1" s="1162" t="s">
        <v>27</v>
      </c>
      <c r="N1" s="1029"/>
      <c r="P1" s="97" t="s">
        <v>38</v>
      </c>
      <c r="Q1" s="1158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61"/>
      <c r="L2" s="664" t="s">
        <v>29</v>
      </c>
      <c r="M2" s="1163"/>
      <c r="N2" s="1030" t="s">
        <v>29</v>
      </c>
      <c r="O2" s="387" t="s">
        <v>30</v>
      </c>
      <c r="P2" s="98" t="s">
        <v>39</v>
      </c>
      <c r="Q2" s="1159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2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1" t="str">
        <f>PIERNA!C4</f>
        <v xml:space="preserve">I B P </v>
      </c>
      <c r="D4" s="832" t="str">
        <f>PIERNA!D4</f>
        <v>PED. 89196141</v>
      </c>
      <c r="E4" s="833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2">
        <v>78675</v>
      </c>
      <c r="K4" s="1007">
        <v>12001</v>
      </c>
      <c r="L4" s="1008" t="s">
        <v>391</v>
      </c>
      <c r="M4" s="790">
        <v>33640</v>
      </c>
      <c r="N4" s="850" t="s">
        <v>438</v>
      </c>
      <c r="O4" s="1077">
        <v>1165651</v>
      </c>
      <c r="P4" s="1076">
        <v>5974</v>
      </c>
      <c r="Q4" s="528">
        <f>48466.73*19.73</f>
        <v>956248.58290000004</v>
      </c>
      <c r="R4" s="849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6" t="s">
        <v>363</v>
      </c>
      <c r="K5" s="1009">
        <v>12001</v>
      </c>
      <c r="L5" s="1010" t="s">
        <v>391</v>
      </c>
      <c r="M5" s="790">
        <v>33640</v>
      </c>
      <c r="N5" s="808" t="s">
        <v>438</v>
      </c>
      <c r="O5" s="1077">
        <v>2100822</v>
      </c>
      <c r="P5" s="1076">
        <v>5974</v>
      </c>
      <c r="Q5" s="997">
        <f>48506.94*19.96</f>
        <v>968198.52240000013</v>
      </c>
      <c r="R5" s="998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1">
        <v>78676</v>
      </c>
      <c r="K6" s="789">
        <v>12001</v>
      </c>
      <c r="L6" s="807" t="s">
        <v>438</v>
      </c>
      <c r="M6" s="790">
        <v>33640</v>
      </c>
      <c r="N6" s="808" t="s">
        <v>439</v>
      </c>
      <c r="O6" s="812">
        <v>1168387</v>
      </c>
      <c r="P6" s="810"/>
      <c r="Q6" s="529">
        <f>47207.86*19.505</f>
        <v>920789.30929999996</v>
      </c>
      <c r="R6" s="813" t="s">
        <v>432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8" t="s">
        <v>369</v>
      </c>
      <c r="K7" s="789">
        <v>9851</v>
      </c>
      <c r="L7" s="822" t="s">
        <v>439</v>
      </c>
      <c r="M7" s="790">
        <v>33640</v>
      </c>
      <c r="N7" s="808" t="s">
        <v>439</v>
      </c>
      <c r="O7" s="812">
        <v>2101200</v>
      </c>
      <c r="P7" s="810"/>
      <c r="Q7" s="999">
        <f>48344.99*19.84</f>
        <v>959164.60159999994</v>
      </c>
      <c r="R7" s="998" t="s">
        <v>389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6" t="s">
        <v>372</v>
      </c>
      <c r="K8" s="789">
        <v>12151</v>
      </c>
      <c r="L8" s="822" t="s">
        <v>439</v>
      </c>
      <c r="M8" s="790">
        <v>33640</v>
      </c>
      <c r="N8" s="814" t="s">
        <v>440</v>
      </c>
      <c r="O8" s="812">
        <v>2101507</v>
      </c>
      <c r="P8" s="810"/>
      <c r="Q8" s="999">
        <f>47733.28*19.855</f>
        <v>947744.27439999999</v>
      </c>
      <c r="R8" s="1001" t="s">
        <v>390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6" t="s">
        <v>373</v>
      </c>
      <c r="K9" s="789">
        <v>12001</v>
      </c>
      <c r="L9" s="822" t="s">
        <v>439</v>
      </c>
      <c r="M9" s="790">
        <v>33640</v>
      </c>
      <c r="N9" s="814" t="s">
        <v>441</v>
      </c>
      <c r="O9" s="816">
        <v>2101508</v>
      </c>
      <c r="P9" s="810"/>
      <c r="Q9" s="997">
        <f>46888.38*19.835</f>
        <v>930031.01729999995</v>
      </c>
      <c r="R9" s="1000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8" t="s">
        <v>374</v>
      </c>
      <c r="K10" s="789">
        <v>9851</v>
      </c>
      <c r="L10" s="822" t="s">
        <v>439</v>
      </c>
      <c r="M10" s="790">
        <v>27840</v>
      </c>
      <c r="N10" s="814" t="s">
        <v>443</v>
      </c>
      <c r="O10" s="816">
        <v>2101506</v>
      </c>
      <c r="P10" s="810"/>
      <c r="Q10" s="997">
        <f>49782.46*19.855</f>
        <v>988430.74329999997</v>
      </c>
      <c r="R10" s="1000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1">
        <v>78677</v>
      </c>
      <c r="K11" s="789">
        <v>11151</v>
      </c>
      <c r="L11" s="815" t="s">
        <v>441</v>
      </c>
      <c r="M11" s="790">
        <v>37120</v>
      </c>
      <c r="N11" s="814" t="s">
        <v>442</v>
      </c>
      <c r="O11" s="819">
        <v>1176365</v>
      </c>
      <c r="P11" s="810"/>
      <c r="Q11" s="528">
        <f>47663.36*19.575</f>
        <v>933010.272</v>
      </c>
      <c r="R11" s="817" t="s">
        <v>433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6" t="s">
        <v>378</v>
      </c>
      <c r="K12" s="789">
        <v>12001</v>
      </c>
      <c r="L12" s="815" t="s">
        <v>442</v>
      </c>
      <c r="M12" s="790">
        <v>37120</v>
      </c>
      <c r="N12" s="814" t="s">
        <v>443</v>
      </c>
      <c r="O12" s="819">
        <v>2103314</v>
      </c>
      <c r="P12" s="810"/>
      <c r="Q12" s="528">
        <f>48343.79*19.74</f>
        <v>954306.4145999999</v>
      </c>
      <c r="R12" s="817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3">
        <v>78678</v>
      </c>
      <c r="K13" s="789">
        <v>11151</v>
      </c>
      <c r="L13" s="815" t="s">
        <v>442</v>
      </c>
      <c r="M13" s="790">
        <v>37120</v>
      </c>
      <c r="N13" s="814" t="s">
        <v>443</v>
      </c>
      <c r="O13" s="819">
        <v>1177754</v>
      </c>
      <c r="P13" s="810"/>
      <c r="Q13" s="386">
        <f>47333.76*19.44</f>
        <v>920168.29440000013</v>
      </c>
      <c r="R13" s="817" t="s">
        <v>434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8" t="s">
        <v>380</v>
      </c>
      <c r="K14" s="789">
        <v>9851</v>
      </c>
      <c r="L14" s="815" t="s">
        <v>443</v>
      </c>
      <c r="M14" s="790">
        <v>37120</v>
      </c>
      <c r="N14" s="814" t="s">
        <v>444</v>
      </c>
      <c r="O14" s="816">
        <v>1182081</v>
      </c>
      <c r="P14" s="810"/>
      <c r="Q14" s="386">
        <f>46213.92*19.368</f>
        <v>895071.20255999989</v>
      </c>
      <c r="R14" s="821" t="s">
        <v>436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0" t="s">
        <v>381</v>
      </c>
      <c r="K15" s="789">
        <v>12151</v>
      </c>
      <c r="L15" s="815" t="s">
        <v>443</v>
      </c>
      <c r="M15" s="790">
        <v>37120</v>
      </c>
      <c r="N15" s="822" t="s">
        <v>444</v>
      </c>
      <c r="O15" s="823">
        <v>2103916</v>
      </c>
      <c r="P15" s="810"/>
      <c r="Q15" s="386">
        <f>47533.53*19.685</f>
        <v>935697.53804999997</v>
      </c>
      <c r="R15" s="824" t="s">
        <v>429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5" t="s">
        <v>382</v>
      </c>
      <c r="K16" s="789">
        <v>11151</v>
      </c>
      <c r="L16" s="815" t="s">
        <v>444</v>
      </c>
      <c r="M16" s="790">
        <v>37120</v>
      </c>
      <c r="N16" s="822" t="s">
        <v>445</v>
      </c>
      <c r="O16" s="819">
        <v>2104268</v>
      </c>
      <c r="P16" s="810"/>
      <c r="Q16" s="528">
        <f>48209.82*19.51</f>
        <v>940573.58820000011</v>
      </c>
      <c r="R16" s="817" t="s">
        <v>430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18" t="s">
        <v>383</v>
      </c>
      <c r="K17" s="789">
        <v>9851</v>
      </c>
      <c r="L17" s="815" t="s">
        <v>444</v>
      </c>
      <c r="M17" s="790">
        <v>37120</v>
      </c>
      <c r="N17" s="822" t="s">
        <v>445</v>
      </c>
      <c r="O17" s="819">
        <v>2104269</v>
      </c>
      <c r="P17" s="810"/>
      <c r="Q17" s="528">
        <f>48297.87*19.51</f>
        <v>942291.44370000018</v>
      </c>
      <c r="R17" s="817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1" t="s">
        <v>384</v>
      </c>
      <c r="K18" s="789">
        <v>12161</v>
      </c>
      <c r="L18" s="815" t="s">
        <v>444</v>
      </c>
      <c r="M18" s="790">
        <v>37120</v>
      </c>
      <c r="N18" s="822" t="s">
        <v>445</v>
      </c>
      <c r="O18" s="809">
        <v>1184459</v>
      </c>
      <c r="P18" s="810"/>
      <c r="Q18" s="528">
        <f>47525.54*19.505</f>
        <v>926985.65769999998</v>
      </c>
      <c r="R18" s="821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8" t="s">
        <v>398</v>
      </c>
      <c r="K19" s="789">
        <v>12001</v>
      </c>
      <c r="L19" s="815" t="s">
        <v>446</v>
      </c>
      <c r="M19" s="790">
        <v>37120</v>
      </c>
      <c r="N19" s="814" t="s">
        <v>447</v>
      </c>
      <c r="O19" s="816">
        <v>2106058</v>
      </c>
      <c r="P19" s="760"/>
      <c r="Q19" s="528">
        <f>50231.71*19.486</f>
        <v>978815.10106000002</v>
      </c>
      <c r="R19" s="808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6" t="s">
        <v>399</v>
      </c>
      <c r="K20" s="789">
        <v>9851</v>
      </c>
      <c r="L20" s="815" t="s">
        <v>446</v>
      </c>
      <c r="M20" s="790">
        <v>37120</v>
      </c>
      <c r="N20" s="814" t="s">
        <v>447</v>
      </c>
      <c r="O20" s="816">
        <v>2106136</v>
      </c>
      <c r="P20" s="810"/>
      <c r="Q20" s="528">
        <f>49815.98*19.486</f>
        <v>970714.18628000014</v>
      </c>
      <c r="R20" s="808" t="s">
        <v>431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6" t="s">
        <v>400</v>
      </c>
      <c r="K21" s="789">
        <v>11151</v>
      </c>
      <c r="L21" s="815" t="s">
        <v>446</v>
      </c>
      <c r="M21" s="790">
        <v>37120</v>
      </c>
      <c r="N21" s="814" t="s">
        <v>447</v>
      </c>
      <c r="O21" s="819">
        <v>1188463</v>
      </c>
      <c r="P21" s="810"/>
      <c r="Q21" s="528">
        <f>49917.55*19.34</f>
        <v>965405.41700000002</v>
      </c>
      <c r="R21" s="808" t="s">
        <v>426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8" t="s">
        <v>401</v>
      </c>
      <c r="K22" s="789">
        <v>12151</v>
      </c>
      <c r="L22" s="815" t="s">
        <v>448</v>
      </c>
      <c r="M22" s="790">
        <v>37120</v>
      </c>
      <c r="N22" s="814" t="s">
        <v>449</v>
      </c>
      <c r="O22" s="819">
        <v>2106988</v>
      </c>
      <c r="P22" s="1144">
        <v>6032</v>
      </c>
      <c r="Q22" s="528">
        <f>50670.99*19.44</f>
        <v>985044.04560000007</v>
      </c>
      <c r="R22" s="808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3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41" t="s">
        <v>402</v>
      </c>
      <c r="K23" s="789">
        <v>12001</v>
      </c>
      <c r="L23" s="815" t="s">
        <v>448</v>
      </c>
      <c r="M23" s="790">
        <v>37120</v>
      </c>
      <c r="N23" s="814" t="s">
        <v>449</v>
      </c>
      <c r="O23" s="809">
        <v>1192355</v>
      </c>
      <c r="P23" s="1144">
        <v>6264</v>
      </c>
      <c r="Q23" s="528">
        <f>52209.89*19.44</f>
        <v>1014960.2616000001</v>
      </c>
      <c r="R23" s="808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8" t="s">
        <v>404</v>
      </c>
      <c r="K24" s="789">
        <v>12151</v>
      </c>
      <c r="L24" s="815" t="s">
        <v>449</v>
      </c>
      <c r="M24" s="790">
        <v>37120</v>
      </c>
      <c r="N24" s="814" t="s">
        <v>450</v>
      </c>
      <c r="O24" s="816">
        <v>2106988</v>
      </c>
      <c r="P24" s="1144">
        <v>5974</v>
      </c>
      <c r="Q24" s="528">
        <f>49552*19.505</f>
        <v>966511.75999999989</v>
      </c>
      <c r="R24" s="808" t="s">
        <v>436</v>
      </c>
      <c r="S24" s="65">
        <f t="shared" si="0"/>
        <v>1021756.7599999999</v>
      </c>
      <c r="T24" s="65">
        <f t="shared" si="1"/>
        <v>54.08294324629901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6" t="s">
        <v>466</v>
      </c>
      <c r="K25" s="789">
        <v>11151</v>
      </c>
      <c r="L25" s="815" t="s">
        <v>449</v>
      </c>
      <c r="M25" s="790">
        <v>37120</v>
      </c>
      <c r="N25" s="814" t="s">
        <v>450</v>
      </c>
      <c r="O25" s="816">
        <v>2106987</v>
      </c>
      <c r="P25" s="1144">
        <v>5974</v>
      </c>
      <c r="Q25" s="528">
        <f>50012.75*19.44</f>
        <v>972247.8600000001</v>
      </c>
      <c r="R25" s="811" t="s">
        <v>500</v>
      </c>
      <c r="S25" s="65">
        <f t="shared" si="0"/>
        <v>1026492.8600000001</v>
      </c>
      <c r="T25" s="65">
        <f t="shared" si="1"/>
        <v>53.833797825506593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8" t="s">
        <v>469</v>
      </c>
      <c r="K26" s="789">
        <v>12001</v>
      </c>
      <c r="L26" s="807" t="s">
        <v>496</v>
      </c>
      <c r="M26" s="790">
        <v>37120</v>
      </c>
      <c r="N26" s="808" t="s">
        <v>497</v>
      </c>
      <c r="O26" s="816">
        <v>2108920</v>
      </c>
      <c r="P26" s="1144">
        <v>5858</v>
      </c>
      <c r="Q26" s="528">
        <f>49120.45*19.36</f>
        <v>950971.91199999989</v>
      </c>
      <c r="R26" s="808" t="s">
        <v>493</v>
      </c>
      <c r="S26" s="65">
        <f t="shared" si="0"/>
        <v>1005950.9119999999</v>
      </c>
      <c r="T26" s="65">
        <f t="shared" si="1"/>
        <v>53.122923887834702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6" t="s">
        <v>470</v>
      </c>
      <c r="K27" s="789">
        <v>12151</v>
      </c>
      <c r="L27" s="807" t="s">
        <v>496</v>
      </c>
      <c r="M27" s="790">
        <v>37120</v>
      </c>
      <c r="N27" s="808" t="s">
        <v>497</v>
      </c>
      <c r="O27" s="816">
        <v>2108921</v>
      </c>
      <c r="P27" s="1144">
        <v>5858</v>
      </c>
      <c r="Q27" s="528">
        <f>48974.83*19.36</f>
        <v>948152.70880000002</v>
      </c>
      <c r="R27" s="808" t="s">
        <v>489</v>
      </c>
      <c r="S27" s="65">
        <f>Q27+M27+K27+P27</f>
        <v>1003281.7088</v>
      </c>
      <c r="T27" s="65">
        <f t="shared" si="1"/>
        <v>53.140470135445192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8" t="s">
        <v>474</v>
      </c>
      <c r="K28" s="789">
        <v>11151</v>
      </c>
      <c r="L28" s="807" t="s">
        <v>496</v>
      </c>
      <c r="M28" s="790">
        <v>37120</v>
      </c>
      <c r="N28" s="808" t="s">
        <v>497</v>
      </c>
      <c r="O28" s="816">
        <v>2108922</v>
      </c>
      <c r="P28" s="1144">
        <v>5887</v>
      </c>
      <c r="Q28" s="528">
        <f>49193.27*19.475</f>
        <v>958038.93325</v>
      </c>
      <c r="R28" s="811" t="s">
        <v>426</v>
      </c>
      <c r="S28" s="65">
        <f t="shared" si="0"/>
        <v>1012196.93325</v>
      </c>
      <c r="T28" s="65">
        <f t="shared" si="1"/>
        <v>53.373242417145178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6" t="s">
        <v>475</v>
      </c>
      <c r="K29" s="720">
        <v>9851</v>
      </c>
      <c r="L29" s="807" t="s">
        <v>496</v>
      </c>
      <c r="M29" s="790">
        <v>37120</v>
      </c>
      <c r="N29" s="808" t="s">
        <v>497</v>
      </c>
      <c r="O29" s="809">
        <v>1200108</v>
      </c>
      <c r="P29" s="1144">
        <v>5858</v>
      </c>
      <c r="Q29" s="528">
        <f>48976.69*19.41</f>
        <v>950637.55290000001</v>
      </c>
      <c r="R29" s="811" t="s">
        <v>495</v>
      </c>
      <c r="S29" s="65">
        <f t="shared" si="0"/>
        <v>1003466.5529</v>
      </c>
      <c r="T29" s="65">
        <f t="shared" si="1"/>
        <v>53.260551961072565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6" t="s">
        <v>477</v>
      </c>
      <c r="K30" s="789">
        <v>12001</v>
      </c>
      <c r="L30" s="807" t="s">
        <v>497</v>
      </c>
      <c r="M30" s="790">
        <v>37120</v>
      </c>
      <c r="N30" s="808" t="s">
        <v>498</v>
      </c>
      <c r="O30" s="809">
        <v>2108923</v>
      </c>
      <c r="P30" s="1144">
        <v>5800</v>
      </c>
      <c r="Q30" s="528">
        <f>48278.56*19.49</f>
        <v>940949.13439999986</v>
      </c>
      <c r="R30" s="811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6" t="s">
        <v>478</v>
      </c>
      <c r="K31" s="789">
        <v>9851</v>
      </c>
      <c r="L31" s="807" t="s">
        <v>497</v>
      </c>
      <c r="M31" s="790">
        <v>37120</v>
      </c>
      <c r="N31" s="808" t="s">
        <v>498</v>
      </c>
      <c r="O31" s="809">
        <v>1202505</v>
      </c>
      <c r="P31" s="1144">
        <v>5916</v>
      </c>
      <c r="Q31" s="528">
        <f>48690.97*19.37</f>
        <v>943144.08890000009</v>
      </c>
      <c r="R31" s="811" t="s">
        <v>491</v>
      </c>
      <c r="S31" s="65">
        <f t="shared" si="0"/>
        <v>996031.08890000009</v>
      </c>
      <c r="T31" s="65">
        <f t="shared" si="1"/>
        <v>52.300397617304419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2" t="str">
        <f>PIERNA!KG5</f>
        <v>PED. 90393224</v>
      </c>
      <c r="E32" s="1073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4" t="s">
        <v>479</v>
      </c>
      <c r="K32" s="789">
        <v>11151</v>
      </c>
      <c r="L32" s="807" t="s">
        <v>499</v>
      </c>
      <c r="M32" s="790">
        <v>37120</v>
      </c>
      <c r="N32" s="808" t="s">
        <v>499</v>
      </c>
      <c r="O32" s="809">
        <v>2111044</v>
      </c>
      <c r="P32" s="1144">
        <v>5278</v>
      </c>
      <c r="Q32" s="528">
        <f>43549.97*19.45</f>
        <v>847046.91649999993</v>
      </c>
      <c r="R32" s="811" t="s">
        <v>485</v>
      </c>
      <c r="S32" s="65">
        <f>Q32+M32+K32+P32</f>
        <v>900595.91649999993</v>
      </c>
      <c r="T32" s="65">
        <f t="shared" ref="T32:T41" si="8">S32/H32+0.1</f>
        <v>48.107202525640204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2" t="str">
        <f>PIERNA!KQ5</f>
        <v>PED. 90393221</v>
      </c>
      <c r="E33" s="1073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4" t="s">
        <v>480</v>
      </c>
      <c r="K33" s="720">
        <v>12151</v>
      </c>
      <c r="L33" s="807" t="s">
        <v>499</v>
      </c>
      <c r="M33" s="790">
        <v>37120</v>
      </c>
      <c r="N33" s="808" t="s">
        <v>499</v>
      </c>
      <c r="O33" s="809">
        <v>2111045</v>
      </c>
      <c r="P33" s="1144">
        <v>5278</v>
      </c>
      <c r="Q33" s="528">
        <f>43741.62*19.45</f>
        <v>850774.50899999996</v>
      </c>
      <c r="R33" s="811" t="s">
        <v>485</v>
      </c>
      <c r="S33" s="65">
        <f>Q33+M33+K33+P33</f>
        <v>905323.50899999996</v>
      </c>
      <c r="T33" s="65">
        <f t="shared" si="8"/>
        <v>48.147399149785322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6"/>
      <c r="K34" s="789"/>
      <c r="L34" s="807"/>
      <c r="M34" s="790"/>
      <c r="N34" s="808"/>
      <c r="O34" s="812"/>
      <c r="P34" s="810"/>
      <c r="Q34" s="529"/>
      <c r="R34" s="81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6"/>
      <c r="K35" s="789"/>
      <c r="L35" s="807"/>
      <c r="M35" s="790"/>
      <c r="N35" s="808"/>
      <c r="O35" s="812"/>
      <c r="P35" s="827"/>
      <c r="Q35" s="386"/>
      <c r="R35" s="81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6"/>
      <c r="K36" s="789"/>
      <c r="L36" s="807"/>
      <c r="M36" s="790"/>
      <c r="N36" s="814"/>
      <c r="O36" s="812"/>
      <c r="P36" s="1145"/>
      <c r="Q36" s="386"/>
      <c r="R36" s="80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6"/>
      <c r="K37" s="789"/>
      <c r="L37" s="807"/>
      <c r="M37" s="790"/>
      <c r="N37" s="808"/>
      <c r="O37" s="816"/>
      <c r="P37" s="810"/>
      <c r="Q37" s="528"/>
      <c r="R37" s="80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28"/>
      <c r="K38" s="789"/>
      <c r="L38" s="829"/>
      <c r="M38" s="790"/>
      <c r="N38" s="808"/>
      <c r="O38" s="816"/>
      <c r="P38" s="810"/>
      <c r="Q38" s="528"/>
      <c r="R38" s="81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0"/>
      <c r="K39" s="386"/>
      <c r="L39" s="829"/>
      <c r="M39" s="790"/>
      <c r="N39" s="808"/>
      <c r="O39" s="809"/>
      <c r="P39" s="810"/>
      <c r="Q39" s="528"/>
      <c r="R39" s="81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7"/>
      <c r="M40" s="790"/>
      <c r="N40" s="808"/>
      <c r="O40" s="809"/>
      <c r="P40" s="810"/>
      <c r="Q40" s="528"/>
      <c r="R40" s="81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7"/>
      <c r="M41" s="790"/>
      <c r="N41" s="808"/>
      <c r="O41" s="809"/>
      <c r="P41" s="810"/>
      <c r="Q41" s="528"/>
      <c r="R41" s="81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7"/>
      <c r="M42" s="790"/>
      <c r="N42" s="808"/>
      <c r="O42" s="809"/>
      <c r="P42" s="810"/>
      <c r="Q42" s="528"/>
      <c r="R42" s="81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7"/>
      <c r="M43" s="790"/>
      <c r="N43" s="808"/>
      <c r="O43" s="809"/>
      <c r="P43" s="810"/>
      <c r="Q43" s="528"/>
      <c r="R43" s="81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0"/>
      <c r="P98" s="840"/>
      <c r="Q98" s="960"/>
      <c r="R98" s="848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16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1"/>
      <c r="O99" s="1017" t="s">
        <v>409</v>
      </c>
      <c r="P99" s="1013"/>
      <c r="Q99" s="1014">
        <v>9776</v>
      </c>
      <c r="R99" s="1015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4" t="s">
        <v>216</v>
      </c>
      <c r="C100" s="1012" t="s">
        <v>217</v>
      </c>
      <c r="D100" s="786"/>
      <c r="E100" s="851">
        <v>44866</v>
      </c>
      <c r="F100" s="968">
        <v>1985.6</v>
      </c>
      <c r="G100" s="699"/>
      <c r="H100" s="972">
        <v>1993.8</v>
      </c>
      <c r="I100" s="469">
        <f t="shared" si="18"/>
        <v>8.2000000000000455</v>
      </c>
      <c r="J100" s="443"/>
      <c r="K100" s="382"/>
      <c r="L100" s="608"/>
      <c r="M100" s="382"/>
      <c r="N100" s="1031"/>
      <c r="O100" s="966" t="s">
        <v>362</v>
      </c>
      <c r="P100" s="961"/>
      <c r="Q100" s="965">
        <f>150000+41404.8</f>
        <v>191404.79999999999</v>
      </c>
      <c r="R100" s="1011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3" t="s">
        <v>364</v>
      </c>
      <c r="C101" s="973" t="s">
        <v>365</v>
      </c>
      <c r="D101" s="963"/>
      <c r="E101" s="967">
        <v>44866</v>
      </c>
      <c r="F101" s="969">
        <v>18544</v>
      </c>
      <c r="G101" s="963">
        <v>650</v>
      </c>
      <c r="H101" s="969">
        <v>18544</v>
      </c>
      <c r="I101" s="469">
        <f t="shared" si="18"/>
        <v>0</v>
      </c>
      <c r="J101" s="1002" t="s">
        <v>366</v>
      </c>
      <c r="K101" s="1004">
        <v>12161</v>
      </c>
      <c r="L101" s="1005" t="s">
        <v>391</v>
      </c>
      <c r="M101" s="1042">
        <v>33640</v>
      </c>
      <c r="N101" s="1028" t="s">
        <v>438</v>
      </c>
      <c r="O101" s="1079">
        <v>2100355</v>
      </c>
      <c r="P101" s="1075">
        <v>5336</v>
      </c>
      <c r="Q101" s="994">
        <f>42926.31*20.01</f>
        <v>858955.46310000005</v>
      </c>
      <c r="R101" s="995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3" t="s">
        <v>211</v>
      </c>
      <c r="C102" s="963" t="s">
        <v>212</v>
      </c>
      <c r="D102" s="963"/>
      <c r="E102" s="967">
        <v>44866</v>
      </c>
      <c r="F102" s="969">
        <v>5012.16</v>
      </c>
      <c r="G102" s="963">
        <v>184</v>
      </c>
      <c r="H102" s="969">
        <v>5012.16</v>
      </c>
      <c r="I102" s="469">
        <f t="shared" si="18"/>
        <v>0</v>
      </c>
      <c r="J102" s="509"/>
      <c r="K102" s="382"/>
      <c r="L102" s="666"/>
      <c r="M102" s="382"/>
      <c r="N102" s="1028"/>
      <c r="O102" s="1027" t="s">
        <v>367</v>
      </c>
      <c r="P102" s="792"/>
      <c r="Q102" s="530">
        <v>451094.4</v>
      </c>
      <c r="R102" s="962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3" t="s">
        <v>364</v>
      </c>
      <c r="C103" s="974" t="s">
        <v>88</v>
      </c>
      <c r="D103" s="963"/>
      <c r="E103" s="967">
        <v>44867</v>
      </c>
      <c r="F103" s="969">
        <v>18564</v>
      </c>
      <c r="G103" s="963">
        <v>922</v>
      </c>
      <c r="H103" s="969">
        <v>18564</v>
      </c>
      <c r="I103" s="469">
        <f t="shared" si="18"/>
        <v>0</v>
      </c>
      <c r="J103" s="1002" t="s">
        <v>368</v>
      </c>
      <c r="K103" s="1003">
        <v>9851</v>
      </c>
      <c r="L103" s="1006" t="s">
        <v>391</v>
      </c>
      <c r="M103" s="1042">
        <v>27840</v>
      </c>
      <c r="N103" s="1028" t="s">
        <v>442</v>
      </c>
      <c r="O103" s="1079">
        <v>2100356</v>
      </c>
      <c r="P103" s="1078">
        <v>6902</v>
      </c>
      <c r="Q103" s="994">
        <f>56477.47*19.88</f>
        <v>1122772.1036</v>
      </c>
      <c r="R103" s="996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3" t="s">
        <v>370</v>
      </c>
      <c r="C104" s="963" t="s">
        <v>82</v>
      </c>
      <c r="D104" s="963"/>
      <c r="E104" s="967">
        <v>44868</v>
      </c>
      <c r="F104" s="969">
        <v>511.02</v>
      </c>
      <c r="G104" s="963">
        <v>27</v>
      </c>
      <c r="H104" s="969">
        <v>511.02</v>
      </c>
      <c r="I104" s="469">
        <f t="shared" si="18"/>
        <v>0</v>
      </c>
      <c r="J104" s="509"/>
      <c r="K104" s="382"/>
      <c r="L104" s="666"/>
      <c r="M104" s="382"/>
      <c r="N104" s="1032"/>
      <c r="O104" s="793" t="s">
        <v>371</v>
      </c>
      <c r="P104" s="792"/>
      <c r="Q104" s="530">
        <v>21973.86</v>
      </c>
      <c r="R104" s="802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76" t="s">
        <v>406</v>
      </c>
      <c r="C105" s="963" t="s">
        <v>407</v>
      </c>
      <c r="D105" s="1023" t="s">
        <v>424</v>
      </c>
      <c r="E105" s="967">
        <v>44868</v>
      </c>
      <c r="F105" s="969">
        <v>37877</v>
      </c>
      <c r="G105" s="963">
        <v>1</v>
      </c>
      <c r="H105" s="969">
        <v>37877</v>
      </c>
      <c r="I105" s="469">
        <f t="shared" si="18"/>
        <v>0</v>
      </c>
      <c r="J105" s="509"/>
      <c r="K105" s="382"/>
      <c r="L105" s="666"/>
      <c r="M105" s="382"/>
      <c r="N105" s="1032"/>
      <c r="O105" s="1062" t="s">
        <v>423</v>
      </c>
      <c r="P105" s="792"/>
      <c r="Q105" s="530">
        <v>37877</v>
      </c>
      <c r="R105" s="802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67" t="s">
        <v>98</v>
      </c>
      <c r="C106" s="373" t="s">
        <v>212</v>
      </c>
      <c r="D106" s="373"/>
      <c r="E106" s="967">
        <v>44870</v>
      </c>
      <c r="F106" s="969">
        <v>5008.4799999999996</v>
      </c>
      <c r="G106" s="963">
        <v>184</v>
      </c>
      <c r="H106" s="969">
        <v>5008.4799999999996</v>
      </c>
      <c r="I106" s="469">
        <f t="shared" si="18"/>
        <v>0</v>
      </c>
      <c r="J106" s="443"/>
      <c r="K106" s="382"/>
      <c r="L106" s="666"/>
      <c r="M106" s="382"/>
      <c r="N106" s="1028"/>
      <c r="O106" s="1155" t="s">
        <v>486</v>
      </c>
      <c r="P106" s="1178" t="s">
        <v>483</v>
      </c>
      <c r="Q106" s="530">
        <v>460780.16</v>
      </c>
      <c r="R106" s="1176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68"/>
      <c r="C107" s="373" t="s">
        <v>214</v>
      </c>
      <c r="D107" s="373"/>
      <c r="E107" s="967">
        <v>44870</v>
      </c>
      <c r="F107" s="969">
        <v>5085.3100000000004</v>
      </c>
      <c r="G107" s="963">
        <v>168</v>
      </c>
      <c r="H107" s="969">
        <v>5085.3100000000004</v>
      </c>
      <c r="I107" s="469">
        <f t="shared" si="18"/>
        <v>0</v>
      </c>
      <c r="J107" s="443"/>
      <c r="K107" s="382"/>
      <c r="L107" s="666"/>
      <c r="M107" s="382"/>
      <c r="N107" s="1028"/>
      <c r="O107" s="1157"/>
      <c r="P107" s="1179"/>
      <c r="Q107" s="530">
        <v>653462.34</v>
      </c>
      <c r="R107" s="1177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76" t="s">
        <v>211</v>
      </c>
      <c r="C108" s="976" t="s">
        <v>375</v>
      </c>
      <c r="D108" s="976"/>
      <c r="E108" s="980">
        <v>44872</v>
      </c>
      <c r="F108" s="987">
        <v>506.1</v>
      </c>
      <c r="G108" s="976">
        <v>29</v>
      </c>
      <c r="H108" s="987">
        <v>506.1</v>
      </c>
      <c r="I108" s="988">
        <f t="shared" si="18"/>
        <v>0</v>
      </c>
      <c r="J108" s="443"/>
      <c r="K108" s="382"/>
      <c r="L108" s="666"/>
      <c r="M108" s="382"/>
      <c r="N108" s="1028"/>
      <c r="O108" s="1063" t="s">
        <v>376</v>
      </c>
      <c r="P108" s="790"/>
      <c r="Q108" s="530">
        <v>72372.3</v>
      </c>
      <c r="R108" s="803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3" t="s">
        <v>385</v>
      </c>
      <c r="C109" s="963" t="s">
        <v>43</v>
      </c>
      <c r="D109" s="963"/>
      <c r="E109" s="967">
        <v>44872</v>
      </c>
      <c r="F109" s="969">
        <v>2002.14</v>
      </c>
      <c r="G109" s="963">
        <v>441</v>
      </c>
      <c r="H109" s="969">
        <v>2002.14</v>
      </c>
      <c r="I109" s="409">
        <f t="shared" si="18"/>
        <v>0</v>
      </c>
      <c r="J109" s="443"/>
      <c r="K109" s="382"/>
      <c r="L109" s="666"/>
      <c r="M109" s="382"/>
      <c r="N109" s="1028"/>
      <c r="O109" s="986" t="s">
        <v>386</v>
      </c>
      <c r="P109" s="789"/>
      <c r="Q109" s="530">
        <v>90096.3</v>
      </c>
      <c r="R109" s="1026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69" t="s">
        <v>370</v>
      </c>
      <c r="C110" s="989" t="s">
        <v>63</v>
      </c>
      <c r="D110" s="990"/>
      <c r="E110" s="1171">
        <v>44873</v>
      </c>
      <c r="F110" s="991">
        <v>507.83</v>
      </c>
      <c r="G110" s="977">
        <v>43</v>
      </c>
      <c r="H110" s="992">
        <v>507.83</v>
      </c>
      <c r="I110" s="993">
        <f>H110-F110</f>
        <v>0</v>
      </c>
      <c r="J110" s="509"/>
      <c r="K110" s="382"/>
      <c r="L110" s="666"/>
      <c r="M110" s="382"/>
      <c r="N110" s="1028"/>
      <c r="O110" s="1173" t="s">
        <v>377</v>
      </c>
      <c r="P110" s="789"/>
      <c r="Q110" s="1025">
        <v>48243.85</v>
      </c>
      <c r="R110" s="1164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69"/>
      <c r="C111" s="975" t="s">
        <v>215</v>
      </c>
      <c r="D111" s="978"/>
      <c r="E111" s="1171"/>
      <c r="F111" s="979">
        <v>1003.37</v>
      </c>
      <c r="G111" s="963">
        <v>83</v>
      </c>
      <c r="H111" s="969">
        <v>1003.37</v>
      </c>
      <c r="I111" s="469">
        <f t="shared" si="18"/>
        <v>0</v>
      </c>
      <c r="J111" s="443"/>
      <c r="K111" s="382"/>
      <c r="L111" s="666"/>
      <c r="M111" s="382"/>
      <c r="N111" s="1028"/>
      <c r="O111" s="1174"/>
      <c r="P111" s="982"/>
      <c r="Q111" s="1025">
        <v>99333.63</v>
      </c>
      <c r="R111" s="1165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69"/>
      <c r="C112" s="975" t="s">
        <v>213</v>
      </c>
      <c r="D112" s="978"/>
      <c r="E112" s="1171"/>
      <c r="F112" s="979">
        <v>201.59</v>
      </c>
      <c r="G112" s="963">
        <v>17</v>
      </c>
      <c r="H112" s="969">
        <v>201.59</v>
      </c>
      <c r="I112" s="469">
        <f t="shared" si="18"/>
        <v>0</v>
      </c>
      <c r="J112" s="443"/>
      <c r="K112" s="382"/>
      <c r="L112" s="667"/>
      <c r="M112" s="382"/>
      <c r="N112" s="1032"/>
      <c r="O112" s="1174"/>
      <c r="P112" s="982"/>
      <c r="Q112" s="1025">
        <v>17135.150000000001</v>
      </c>
      <c r="R112" s="1165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70"/>
      <c r="C113" s="975" t="s">
        <v>82</v>
      </c>
      <c r="D113" s="978"/>
      <c r="E113" s="1172"/>
      <c r="F113" s="979">
        <v>513.49</v>
      </c>
      <c r="G113" s="963">
        <v>28</v>
      </c>
      <c r="H113" s="969">
        <v>513.49</v>
      </c>
      <c r="I113" s="469">
        <f t="shared" si="18"/>
        <v>0</v>
      </c>
      <c r="J113" s="443"/>
      <c r="K113" s="382"/>
      <c r="L113" s="667"/>
      <c r="M113" s="382"/>
      <c r="N113" s="1032"/>
      <c r="O113" s="1175"/>
      <c r="P113" s="982"/>
      <c r="Q113" s="1025">
        <v>20539.599999999999</v>
      </c>
      <c r="R113" s="1166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19" t="s">
        <v>406</v>
      </c>
      <c r="C114" s="975" t="s">
        <v>414</v>
      </c>
      <c r="D114" s="1022" t="s">
        <v>419</v>
      </c>
      <c r="E114" s="1020">
        <v>44872</v>
      </c>
      <c r="F114" s="979">
        <v>17536.439999999999</v>
      </c>
      <c r="G114" s="963">
        <v>1</v>
      </c>
      <c r="H114" s="969">
        <v>17536.439999999999</v>
      </c>
      <c r="I114" s="469">
        <f t="shared" si="18"/>
        <v>0</v>
      </c>
      <c r="J114" s="443"/>
      <c r="K114" s="382"/>
      <c r="L114" s="667"/>
      <c r="M114" s="382"/>
      <c r="N114" s="1032"/>
      <c r="O114" s="1021" t="s">
        <v>420</v>
      </c>
      <c r="P114" s="982"/>
      <c r="Q114" s="530">
        <v>17536</v>
      </c>
      <c r="R114" s="1024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77" t="s">
        <v>379</v>
      </c>
      <c r="C115" s="963" t="s">
        <v>375</v>
      </c>
      <c r="D115" s="963"/>
      <c r="E115" s="981">
        <v>44874</v>
      </c>
      <c r="F115" s="969">
        <v>2545.4699999999998</v>
      </c>
      <c r="G115" s="963">
        <v>128</v>
      </c>
      <c r="H115" s="969">
        <v>2545.4699999999998</v>
      </c>
      <c r="I115" s="469">
        <f t="shared" si="18"/>
        <v>0</v>
      </c>
      <c r="J115" s="443"/>
      <c r="K115" s="382"/>
      <c r="L115" s="666"/>
      <c r="M115" s="382"/>
      <c r="N115" s="1028"/>
      <c r="O115" s="1059" t="s">
        <v>484</v>
      </c>
      <c r="P115" s="1060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77" t="s">
        <v>406</v>
      </c>
      <c r="C116" s="963" t="s">
        <v>417</v>
      </c>
      <c r="D116" s="1023" t="s">
        <v>421</v>
      </c>
      <c r="E116" s="981">
        <v>44875</v>
      </c>
      <c r="F116" s="969">
        <v>204.8</v>
      </c>
      <c r="G116" s="963">
        <v>10</v>
      </c>
      <c r="H116" s="969">
        <v>204.8</v>
      </c>
      <c r="I116" s="733">
        <f t="shared" si="18"/>
        <v>0</v>
      </c>
      <c r="J116" s="443"/>
      <c r="K116" s="382"/>
      <c r="L116" s="666"/>
      <c r="M116" s="382"/>
      <c r="N116" s="1028"/>
      <c r="O116" s="966" t="s">
        <v>418</v>
      </c>
      <c r="P116" s="959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77" t="s">
        <v>406</v>
      </c>
      <c r="C117" s="449" t="s">
        <v>414</v>
      </c>
      <c r="D117" s="1023" t="s">
        <v>422</v>
      </c>
      <c r="E117" s="981">
        <v>44876</v>
      </c>
      <c r="F117" s="969">
        <v>33529</v>
      </c>
      <c r="G117" s="963">
        <v>1</v>
      </c>
      <c r="H117" s="969">
        <v>33529</v>
      </c>
      <c r="I117" s="733">
        <f t="shared" si="18"/>
        <v>0</v>
      </c>
      <c r="J117" s="443"/>
      <c r="K117" s="382"/>
      <c r="L117" s="666"/>
      <c r="M117" s="382"/>
      <c r="N117" s="1028"/>
      <c r="O117" s="966" t="s">
        <v>415</v>
      </c>
      <c r="P117" s="959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3" t="s">
        <v>214</v>
      </c>
      <c r="D118" s="963"/>
      <c r="E118" s="967">
        <v>44881</v>
      </c>
      <c r="F118" s="969">
        <v>1036.8900000000001</v>
      </c>
      <c r="G118" s="963">
        <v>35</v>
      </c>
      <c r="H118" s="969">
        <v>1036.8900000000001</v>
      </c>
      <c r="I118" s="105">
        <f t="shared" si="18"/>
        <v>0</v>
      </c>
      <c r="J118" s="443"/>
      <c r="K118" s="382"/>
      <c r="L118" s="666"/>
      <c r="M118" s="382"/>
      <c r="N118" s="1028"/>
      <c r="O118" s="796" t="s">
        <v>481</v>
      </c>
      <c r="P118" s="1058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3" t="s">
        <v>370</v>
      </c>
      <c r="C119" s="963" t="s">
        <v>213</v>
      </c>
      <c r="D119" s="963"/>
      <c r="E119" s="967">
        <v>44882</v>
      </c>
      <c r="F119" s="969">
        <v>210.37</v>
      </c>
      <c r="G119" s="963">
        <v>18</v>
      </c>
      <c r="H119" s="969">
        <v>210.37</v>
      </c>
      <c r="I119" s="105">
        <f t="shared" si="18"/>
        <v>0</v>
      </c>
      <c r="J119" s="443"/>
      <c r="K119" s="382"/>
      <c r="L119" s="666"/>
      <c r="M119" s="382"/>
      <c r="N119" s="1028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thickBot="1" x14ac:dyDescent="0.3">
      <c r="A120" s="100">
        <v>82</v>
      </c>
      <c r="B120" s="976" t="s">
        <v>385</v>
      </c>
      <c r="C120" s="963" t="s">
        <v>43</v>
      </c>
      <c r="D120" s="963"/>
      <c r="E120" s="967">
        <v>44884</v>
      </c>
      <c r="F120" s="969">
        <v>2002.14</v>
      </c>
      <c r="G120" s="963">
        <v>441</v>
      </c>
      <c r="H120" s="969">
        <v>2002.14</v>
      </c>
      <c r="I120" s="105">
        <f t="shared" si="18"/>
        <v>0</v>
      </c>
      <c r="J120" s="443"/>
      <c r="K120" s="382"/>
      <c r="L120" s="666"/>
      <c r="M120" s="382"/>
      <c r="N120" s="1028"/>
      <c r="O120" s="1288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6.25" customHeight="1" x14ac:dyDescent="0.25">
      <c r="A121" s="100">
        <v>83</v>
      </c>
      <c r="B121" s="1286" t="s">
        <v>467</v>
      </c>
      <c r="C121" s="975" t="s">
        <v>214</v>
      </c>
      <c r="D121" s="963"/>
      <c r="E121" s="967">
        <v>44886</v>
      </c>
      <c r="F121" s="969">
        <v>17078.599999999999</v>
      </c>
      <c r="G121" s="963">
        <v>551</v>
      </c>
      <c r="H121" s="969">
        <v>17078.599999999999</v>
      </c>
      <c r="I121" s="105">
        <f t="shared" si="18"/>
        <v>0</v>
      </c>
      <c r="J121" s="443"/>
      <c r="K121" s="382"/>
      <c r="L121" s="666"/>
      <c r="M121" s="382"/>
      <c r="N121" s="1028"/>
      <c r="O121" s="1289" t="s">
        <v>692</v>
      </c>
      <c r="P121" s="1051"/>
      <c r="Q121" s="1142">
        <v>2250959.61</v>
      </c>
      <c r="R121" s="1291" t="s">
        <v>693</v>
      </c>
      <c r="S121" s="65">
        <f t="shared" si="36"/>
        <v>2250959.61</v>
      </c>
      <c r="T121" s="170">
        <f t="shared" si="37"/>
        <v>131.80000761186514</v>
      </c>
    </row>
    <row r="122" spans="1:20" s="152" customFormat="1" ht="26.25" customHeight="1" thickBot="1" x14ac:dyDescent="0.3">
      <c r="A122" s="100">
        <v>84</v>
      </c>
      <c r="B122" s="1287"/>
      <c r="C122" s="975" t="s">
        <v>468</v>
      </c>
      <c r="D122" s="963"/>
      <c r="E122" s="980">
        <v>44886</v>
      </c>
      <c r="F122" s="969">
        <v>1020.9</v>
      </c>
      <c r="G122" s="963">
        <v>40</v>
      </c>
      <c r="H122" s="969">
        <v>1020.9</v>
      </c>
      <c r="I122" s="105">
        <f t="shared" si="18"/>
        <v>0</v>
      </c>
      <c r="J122" s="443"/>
      <c r="K122" s="382"/>
      <c r="L122" s="666"/>
      <c r="M122" s="382"/>
      <c r="N122" s="1028"/>
      <c r="O122" s="1290"/>
      <c r="P122" s="1051"/>
      <c r="Q122" s="1142">
        <v>154360.07999999999</v>
      </c>
      <c r="R122" s="1292"/>
      <c r="S122" s="65">
        <f t="shared" si="36"/>
        <v>154360.07999999999</v>
      </c>
      <c r="T122" s="170">
        <f t="shared" si="37"/>
        <v>151.19999999999999</v>
      </c>
    </row>
    <row r="123" spans="1:20" s="152" customFormat="1" ht="19.5" customHeight="1" x14ac:dyDescent="0.25">
      <c r="A123" s="100">
        <v>85</v>
      </c>
      <c r="B123" s="1149" t="s">
        <v>471</v>
      </c>
      <c r="C123" s="975" t="s">
        <v>472</v>
      </c>
      <c r="D123" s="978"/>
      <c r="E123" s="1152">
        <v>44887</v>
      </c>
      <c r="F123" s="979">
        <v>2081.2600000000002</v>
      </c>
      <c r="G123" s="963">
        <v>80</v>
      </c>
      <c r="H123" s="969">
        <v>2081.2600000000002</v>
      </c>
      <c r="I123" s="105">
        <f t="shared" si="18"/>
        <v>0</v>
      </c>
      <c r="J123" s="443"/>
      <c r="K123" s="382"/>
      <c r="L123" s="666"/>
      <c r="M123" s="382"/>
      <c r="N123" s="1028"/>
      <c r="O123" s="1155">
        <v>19227</v>
      </c>
      <c r="P123" s="1051"/>
      <c r="Q123" s="1140">
        <v>158175.76</v>
      </c>
      <c r="R123" s="1146" t="s">
        <v>687</v>
      </c>
      <c r="S123" s="65">
        <f t="shared" si="36"/>
        <v>158175.76</v>
      </c>
      <c r="T123" s="170">
        <f t="shared" si="37"/>
        <v>76</v>
      </c>
    </row>
    <row r="124" spans="1:20" s="152" customFormat="1" ht="28.5" customHeight="1" x14ac:dyDescent="0.25">
      <c r="A124" s="100">
        <v>86</v>
      </c>
      <c r="B124" s="1150"/>
      <c r="C124" s="1054" t="s">
        <v>473</v>
      </c>
      <c r="D124" s="1056"/>
      <c r="E124" s="1153"/>
      <c r="F124" s="1057">
        <v>2997.33</v>
      </c>
      <c r="G124" s="699">
        <v>113</v>
      </c>
      <c r="H124" s="972">
        <v>2997.33</v>
      </c>
      <c r="I124" s="105">
        <f t="shared" si="18"/>
        <v>0</v>
      </c>
      <c r="J124" s="443"/>
      <c r="K124" s="382"/>
      <c r="L124" s="666"/>
      <c r="M124" s="382"/>
      <c r="N124" s="1028"/>
      <c r="O124" s="1156"/>
      <c r="P124" s="1052"/>
      <c r="Q124" s="1141">
        <v>226298.42</v>
      </c>
      <c r="R124" s="1147"/>
      <c r="S124" s="65">
        <f t="shared" si="36"/>
        <v>226298.42</v>
      </c>
      <c r="T124" s="170">
        <f t="shared" si="37"/>
        <v>75.500001668151327</v>
      </c>
    </row>
    <row r="125" spans="1:20" s="152" customFormat="1" ht="18.75" customHeight="1" thickBot="1" x14ac:dyDescent="0.3">
      <c r="A125" s="100">
        <v>87</v>
      </c>
      <c r="B125" s="1151"/>
      <c r="C125" s="1054" t="s">
        <v>78</v>
      </c>
      <c r="D125" s="1056"/>
      <c r="E125" s="1154"/>
      <c r="F125" s="1057">
        <v>1008.76</v>
      </c>
      <c r="G125" s="699">
        <v>36</v>
      </c>
      <c r="H125" s="972">
        <v>1008.76</v>
      </c>
      <c r="I125" s="105">
        <f t="shared" si="18"/>
        <v>0</v>
      </c>
      <c r="J125" s="443"/>
      <c r="K125" s="382"/>
      <c r="L125" s="666"/>
      <c r="M125" s="382"/>
      <c r="N125" s="1028"/>
      <c r="O125" s="1157"/>
      <c r="P125" s="1051"/>
      <c r="Q125" s="1140">
        <v>91797.16</v>
      </c>
      <c r="R125" s="1148"/>
      <c r="S125" s="65">
        <f t="shared" si="36"/>
        <v>91797.16</v>
      </c>
      <c r="T125" s="170">
        <f t="shared" si="37"/>
        <v>91</v>
      </c>
    </row>
    <row r="126" spans="1:20" s="152" customFormat="1" ht="38.25" customHeight="1" x14ac:dyDescent="0.25">
      <c r="A126" s="100">
        <v>88</v>
      </c>
      <c r="B126" s="1055" t="s">
        <v>65</v>
      </c>
      <c r="C126" s="835" t="s">
        <v>215</v>
      </c>
      <c r="D126" s="698"/>
      <c r="E126" s="851">
        <v>44888</v>
      </c>
      <c r="F126" s="968">
        <v>507.33</v>
      </c>
      <c r="G126" s="699">
        <v>43</v>
      </c>
      <c r="H126" s="968">
        <v>507.33</v>
      </c>
      <c r="I126" s="105">
        <f t="shared" si="18"/>
        <v>0</v>
      </c>
      <c r="J126" s="443"/>
      <c r="K126" s="382"/>
      <c r="L126" s="666"/>
      <c r="M126" s="382"/>
      <c r="N126" s="1028"/>
      <c r="O126" s="1053" t="s">
        <v>476</v>
      </c>
      <c r="P126" s="795"/>
      <c r="Q126" s="527">
        <v>50225.67</v>
      </c>
      <c r="R126" s="1024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1" t="s">
        <v>471</v>
      </c>
      <c r="C127" s="835" t="s">
        <v>71</v>
      </c>
      <c r="D127" s="716"/>
      <c r="E127" s="697">
        <v>44893</v>
      </c>
      <c r="F127" s="968">
        <v>2810.63</v>
      </c>
      <c r="G127" s="699">
        <v>94</v>
      </c>
      <c r="H127" s="968">
        <v>2810.63</v>
      </c>
      <c r="I127" s="105">
        <f t="shared" si="18"/>
        <v>0</v>
      </c>
      <c r="J127" s="443"/>
      <c r="K127" s="382"/>
      <c r="L127" s="666"/>
      <c r="M127" s="382"/>
      <c r="N127" s="1028"/>
      <c r="O127" s="797">
        <v>19263</v>
      </c>
      <c r="P127" s="795"/>
      <c r="Q127" s="1142">
        <v>73076.38</v>
      </c>
      <c r="R127" s="1143" t="s">
        <v>687</v>
      </c>
      <c r="S127" s="65">
        <f t="shared" si="36"/>
        <v>73076.38</v>
      </c>
      <c r="T127" s="170">
        <f t="shared" si="37"/>
        <v>26</v>
      </c>
    </row>
    <row r="128" spans="1:20" s="152" customFormat="1" ht="33" customHeight="1" x14ac:dyDescent="0.25">
      <c r="A128" s="100">
        <v>90</v>
      </c>
      <c r="B128" s="834" t="s">
        <v>65</v>
      </c>
      <c r="C128" s="835" t="s">
        <v>213</v>
      </c>
      <c r="D128" s="698"/>
      <c r="E128" s="697">
        <v>44894</v>
      </c>
      <c r="F128" s="968">
        <v>248.57</v>
      </c>
      <c r="G128" s="699">
        <v>21</v>
      </c>
      <c r="H128" s="968">
        <v>248.57</v>
      </c>
      <c r="I128" s="105">
        <f t="shared" si="18"/>
        <v>0</v>
      </c>
      <c r="J128" s="443"/>
      <c r="K128" s="382"/>
      <c r="L128" s="666"/>
      <c r="M128" s="382"/>
      <c r="N128" s="1028"/>
      <c r="O128" s="793" t="s">
        <v>488</v>
      </c>
      <c r="P128" s="794"/>
      <c r="Q128" s="1142"/>
      <c r="R128" s="1143"/>
      <c r="S128" s="65">
        <f t="shared" si="36"/>
        <v>0</v>
      </c>
      <c r="T128" s="170">
        <f t="shared" si="37"/>
        <v>0</v>
      </c>
    </row>
    <row r="129" spans="1:20" s="152" customFormat="1" ht="42.75" x14ac:dyDescent="0.25">
      <c r="A129" s="100">
        <v>91</v>
      </c>
      <c r="B129" s="834" t="s">
        <v>406</v>
      </c>
      <c r="C129" s="835" t="s">
        <v>688</v>
      </c>
      <c r="D129" s="716" t="s">
        <v>689</v>
      </c>
      <c r="E129" s="697">
        <v>44894</v>
      </c>
      <c r="F129" s="968">
        <f>206.04+45.46+38.14+88.5</f>
        <v>378.14</v>
      </c>
      <c r="G129" s="699"/>
      <c r="H129" s="968">
        <v>378.14</v>
      </c>
      <c r="I129" s="105">
        <f t="shared" si="18"/>
        <v>0</v>
      </c>
      <c r="J129" s="443"/>
      <c r="K129" s="382"/>
      <c r="L129" s="666"/>
      <c r="M129" s="382"/>
      <c r="N129" s="1028"/>
      <c r="O129" s="793" t="s">
        <v>690</v>
      </c>
      <c r="P129" s="794"/>
      <c r="Q129" s="1142">
        <f>206.04*120+45.46*80+38.14*90+88.5*90</f>
        <v>39759.199999999997</v>
      </c>
      <c r="R129" s="1143" t="s">
        <v>691</v>
      </c>
      <c r="S129" s="65">
        <f t="shared" si="36"/>
        <v>39759.199999999997</v>
      </c>
      <c r="T129" s="170">
        <f t="shared" si="37"/>
        <v>105.14412651398952</v>
      </c>
    </row>
    <row r="130" spans="1:20" s="152" customFormat="1" ht="35.25" customHeight="1" x14ac:dyDescent="0.25">
      <c r="A130" s="100">
        <v>92</v>
      </c>
      <c r="B130" s="837"/>
      <c r="C130" s="835"/>
      <c r="D130" s="698"/>
      <c r="E130" s="787"/>
      <c r="F130" s="968"/>
      <c r="G130" s="699"/>
      <c r="H130" s="968"/>
      <c r="I130" s="105">
        <f t="shared" ref="I130:I133" si="38">H130-F130</f>
        <v>0</v>
      </c>
      <c r="J130" s="443"/>
      <c r="K130" s="382"/>
      <c r="L130" s="666"/>
      <c r="M130" s="382"/>
      <c r="N130" s="1028"/>
      <c r="O130" s="804"/>
      <c r="P130" s="794"/>
      <c r="Q130" s="527"/>
      <c r="R130" s="798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7"/>
      <c r="C131" s="836"/>
      <c r="D131" s="530"/>
      <c r="E131" s="787"/>
      <c r="F131" s="970"/>
      <c r="G131" s="602"/>
      <c r="H131" s="971"/>
      <c r="I131" s="469">
        <f t="shared" si="38"/>
        <v>0</v>
      </c>
      <c r="J131" s="507"/>
      <c r="K131" s="382"/>
      <c r="L131" s="666"/>
      <c r="M131" s="382"/>
      <c r="N131" s="1032"/>
      <c r="O131" s="804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7"/>
      <c r="C132" s="835"/>
      <c r="D132" s="373"/>
      <c r="E132" s="787"/>
      <c r="F132" s="971"/>
      <c r="G132" s="583"/>
      <c r="H132" s="971"/>
      <c r="I132" s="340">
        <f t="shared" si="38"/>
        <v>0</v>
      </c>
      <c r="J132" s="444"/>
      <c r="K132" s="382"/>
      <c r="L132" s="666"/>
      <c r="M132" s="382"/>
      <c r="N132" s="1028"/>
      <c r="O132" s="804"/>
      <c r="P132" s="795"/>
      <c r="Q132" s="527"/>
      <c r="R132" s="798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7"/>
      <c r="C133" s="834"/>
      <c r="D133" s="640"/>
      <c r="E133" s="787"/>
      <c r="F133" s="971"/>
      <c r="G133" s="583"/>
      <c r="H133" s="971"/>
      <c r="I133" s="340">
        <f t="shared" si="38"/>
        <v>0</v>
      </c>
      <c r="J133" s="444"/>
      <c r="K133" s="382"/>
      <c r="L133" s="666"/>
      <c r="M133" s="382"/>
      <c r="N133" s="1028"/>
      <c r="O133" s="804"/>
      <c r="P133" s="795"/>
      <c r="Q133" s="527"/>
      <c r="R133" s="798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5"/>
      <c r="C134" s="835"/>
      <c r="D134" s="373"/>
      <c r="E134" s="565"/>
      <c r="F134" s="971"/>
      <c r="G134" s="583"/>
      <c r="H134" s="971"/>
      <c r="I134" s="105">
        <f t="shared" ref="I134:I186" si="41">H134-F134</f>
        <v>0</v>
      </c>
      <c r="J134" s="443"/>
      <c r="K134" s="382"/>
      <c r="L134" s="666"/>
      <c r="M134" s="382"/>
      <c r="N134" s="1028"/>
      <c r="O134" s="799"/>
      <c r="P134" s="794"/>
      <c r="Q134" s="527"/>
      <c r="R134" s="798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5"/>
      <c r="C135" s="835"/>
      <c r="D135" s="717"/>
      <c r="E135" s="565"/>
      <c r="F135" s="971"/>
      <c r="G135" s="583"/>
      <c r="H135" s="971"/>
      <c r="I135" s="105">
        <f t="shared" si="41"/>
        <v>0</v>
      </c>
      <c r="J135" s="443"/>
      <c r="K135" s="382"/>
      <c r="L135" s="666"/>
      <c r="M135" s="382"/>
      <c r="N135" s="1028"/>
      <c r="O135" s="800"/>
      <c r="P135" s="794"/>
      <c r="Q135" s="527"/>
      <c r="R135" s="798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5"/>
      <c r="C136" s="835"/>
      <c r="D136" s="717"/>
      <c r="E136" s="565"/>
      <c r="F136" s="971"/>
      <c r="G136" s="583"/>
      <c r="H136" s="971"/>
      <c r="I136" s="105">
        <f t="shared" si="41"/>
        <v>0</v>
      </c>
      <c r="J136" s="443"/>
      <c r="K136" s="382"/>
      <c r="L136" s="666"/>
      <c r="M136" s="382"/>
      <c r="N136" s="1028"/>
      <c r="O136" s="800"/>
      <c r="P136" s="794"/>
      <c r="Q136" s="527"/>
      <c r="R136" s="798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5"/>
      <c r="C137" s="835"/>
      <c r="D137" s="717"/>
      <c r="E137" s="565"/>
      <c r="F137" s="971"/>
      <c r="G137" s="583"/>
      <c r="H137" s="971"/>
      <c r="I137" s="105">
        <f t="shared" si="41"/>
        <v>0</v>
      </c>
      <c r="J137" s="443"/>
      <c r="K137" s="382"/>
      <c r="L137" s="666"/>
      <c r="M137" s="382"/>
      <c r="N137" s="1028"/>
      <c r="O137" s="799"/>
      <c r="P137" s="794"/>
      <c r="Q137" s="527"/>
      <c r="R137" s="798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5"/>
      <c r="C138" s="835"/>
      <c r="D138" s="717"/>
      <c r="E138" s="565"/>
      <c r="F138" s="971"/>
      <c r="G138" s="583"/>
      <c r="H138" s="971"/>
      <c r="I138" s="105">
        <f t="shared" si="41"/>
        <v>0</v>
      </c>
      <c r="J138" s="443"/>
      <c r="K138" s="382"/>
      <c r="L138" s="666"/>
      <c r="M138" s="382"/>
      <c r="N138" s="1028"/>
      <c r="O138" s="799"/>
      <c r="P138" s="794"/>
      <c r="Q138" s="527"/>
      <c r="R138" s="798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5"/>
      <c r="C139" s="835"/>
      <c r="D139" s="717"/>
      <c r="E139" s="565"/>
      <c r="F139" s="971"/>
      <c r="G139" s="583"/>
      <c r="H139" s="971"/>
      <c r="I139" s="105">
        <f t="shared" si="41"/>
        <v>0</v>
      </c>
      <c r="J139" s="443"/>
      <c r="K139" s="382"/>
      <c r="L139" s="666"/>
      <c r="M139" s="382"/>
      <c r="N139" s="1028"/>
      <c r="O139" s="800"/>
      <c r="P139" s="794"/>
      <c r="Q139" s="527"/>
      <c r="R139" s="798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5"/>
      <c r="C140" s="835"/>
      <c r="D140" s="373"/>
      <c r="E140" s="565"/>
      <c r="F140" s="971"/>
      <c r="G140" s="583"/>
      <c r="H140" s="971"/>
      <c r="I140" s="105">
        <f t="shared" si="41"/>
        <v>0</v>
      </c>
      <c r="J140" s="443"/>
      <c r="K140" s="382"/>
      <c r="L140" s="666"/>
      <c r="M140" s="382"/>
      <c r="N140" s="1028"/>
      <c r="O140" s="805"/>
      <c r="P140" s="795"/>
      <c r="Q140" s="527"/>
      <c r="R140" s="798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5"/>
      <c r="C141" s="835"/>
      <c r="D141" s="717"/>
      <c r="E141" s="565"/>
      <c r="F141" s="971"/>
      <c r="G141" s="583"/>
      <c r="H141" s="971"/>
      <c r="I141" s="105">
        <f t="shared" si="41"/>
        <v>0</v>
      </c>
      <c r="J141" s="443"/>
      <c r="K141" s="382"/>
      <c r="L141" s="666"/>
      <c r="M141" s="382"/>
      <c r="N141" s="1028"/>
      <c r="O141" s="800"/>
      <c r="P141" s="794"/>
      <c r="Q141" s="527"/>
      <c r="R141" s="798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5"/>
      <c r="C142" s="835"/>
      <c r="D142" s="717"/>
      <c r="E142" s="565"/>
      <c r="F142" s="971"/>
      <c r="G142" s="583"/>
      <c r="H142" s="971"/>
      <c r="I142" s="105">
        <f t="shared" si="41"/>
        <v>0</v>
      </c>
      <c r="J142" s="445"/>
      <c r="K142" s="382"/>
      <c r="L142" s="666"/>
      <c r="M142" s="382"/>
      <c r="N142" s="1033"/>
      <c r="O142" s="800"/>
      <c r="P142" s="795"/>
      <c r="Q142" s="527"/>
      <c r="R142" s="798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5"/>
      <c r="C143" s="835"/>
      <c r="D143" s="373"/>
      <c r="E143" s="788"/>
      <c r="F143" s="971"/>
      <c r="G143" s="583"/>
      <c r="H143" s="971"/>
      <c r="I143" s="105">
        <f t="shared" si="41"/>
        <v>0</v>
      </c>
      <c r="J143" s="584"/>
      <c r="K143" s="382"/>
      <c r="L143" s="666"/>
      <c r="M143" s="382"/>
      <c r="N143" s="1033"/>
      <c r="O143" s="796"/>
      <c r="P143" s="795"/>
      <c r="Q143" s="527"/>
      <c r="R143" s="798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5"/>
      <c r="C144" s="835"/>
      <c r="D144" s="373"/>
      <c r="E144" s="788"/>
      <c r="F144" s="971"/>
      <c r="G144" s="583"/>
      <c r="H144" s="971"/>
      <c r="I144" s="105">
        <f t="shared" si="41"/>
        <v>0</v>
      </c>
      <c r="J144" s="584"/>
      <c r="K144" s="382"/>
      <c r="L144" s="666"/>
      <c r="M144" s="382"/>
      <c r="N144" s="1033"/>
      <c r="O144" s="796"/>
      <c r="P144" s="795"/>
      <c r="Q144" s="527"/>
      <c r="R144" s="798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5"/>
      <c r="C145" s="835"/>
      <c r="D145" s="373"/>
      <c r="E145" s="788"/>
      <c r="F145" s="971"/>
      <c r="G145" s="583"/>
      <c r="H145" s="971"/>
      <c r="I145" s="105">
        <f t="shared" si="41"/>
        <v>0</v>
      </c>
      <c r="J145" s="584"/>
      <c r="K145" s="382"/>
      <c r="L145" s="666"/>
      <c r="M145" s="382"/>
      <c r="N145" s="1033"/>
      <c r="O145" s="796"/>
      <c r="P145" s="795"/>
      <c r="Q145" s="527"/>
      <c r="R145" s="798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5"/>
      <c r="C146" s="835"/>
      <c r="D146" s="373"/>
      <c r="E146" s="788"/>
      <c r="F146" s="971"/>
      <c r="G146" s="583"/>
      <c r="H146" s="971"/>
      <c r="I146" s="105">
        <f t="shared" si="41"/>
        <v>0</v>
      </c>
      <c r="J146" s="584"/>
      <c r="K146" s="382"/>
      <c r="L146" s="666"/>
      <c r="M146" s="382"/>
      <c r="N146" s="1033"/>
      <c r="O146" s="796"/>
      <c r="P146" s="795"/>
      <c r="Q146" s="527"/>
      <c r="R146" s="798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5"/>
      <c r="C147" s="835"/>
      <c r="D147" s="717"/>
      <c r="E147" s="565"/>
      <c r="F147" s="971"/>
      <c r="G147" s="583"/>
      <c r="H147" s="971"/>
      <c r="I147" s="105">
        <f t="shared" ref="I147" si="42">H147-F147</f>
        <v>0</v>
      </c>
      <c r="J147" s="443"/>
      <c r="K147" s="382"/>
      <c r="L147" s="666"/>
      <c r="M147" s="382"/>
      <c r="N147" s="1028"/>
      <c r="O147" s="800"/>
      <c r="P147" s="794"/>
      <c r="Q147" s="527"/>
      <c r="R147" s="798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38"/>
      <c r="C148" s="835"/>
      <c r="D148" s="373"/>
      <c r="E148" s="565"/>
      <c r="F148" s="971"/>
      <c r="G148" s="583"/>
      <c r="H148" s="971"/>
      <c r="I148" s="409">
        <f t="shared" si="41"/>
        <v>0</v>
      </c>
      <c r="J148" s="445"/>
      <c r="K148" s="382"/>
      <c r="L148" s="666"/>
      <c r="M148" s="382"/>
      <c r="N148" s="1033"/>
      <c r="O148" s="799"/>
      <c r="P148" s="795"/>
      <c r="Q148" s="527"/>
      <c r="R148" s="801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5"/>
      <c r="C149" s="835"/>
      <c r="D149" s="373"/>
      <c r="E149" s="565"/>
      <c r="F149" s="971"/>
      <c r="G149" s="583"/>
      <c r="H149" s="971"/>
      <c r="I149" s="105">
        <f t="shared" si="41"/>
        <v>0</v>
      </c>
      <c r="J149" s="445"/>
      <c r="K149" s="382"/>
      <c r="L149" s="666"/>
      <c r="M149" s="382"/>
      <c r="N149" s="1033"/>
      <c r="O149" s="800"/>
      <c r="P149" s="795"/>
      <c r="Q149" s="527"/>
      <c r="R149" s="801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5"/>
      <c r="C150" s="835"/>
      <c r="D150" s="373"/>
      <c r="E150" s="565"/>
      <c r="F150" s="561"/>
      <c r="G150" s="583"/>
      <c r="H150" s="971"/>
      <c r="I150" s="105">
        <f t="shared" si="41"/>
        <v>0</v>
      </c>
      <c r="J150" s="445"/>
      <c r="K150" s="382"/>
      <c r="L150" s="666"/>
      <c r="M150" s="382"/>
      <c r="N150" s="1033"/>
      <c r="O150" s="800"/>
      <c r="P150" s="795"/>
      <c r="Q150" s="527"/>
      <c r="R150" s="801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5"/>
      <c r="C151" s="835"/>
      <c r="D151" s="373"/>
      <c r="E151" s="565"/>
      <c r="F151" s="561"/>
      <c r="G151" s="583"/>
      <c r="H151" s="971"/>
      <c r="I151" s="105">
        <f t="shared" si="41"/>
        <v>0</v>
      </c>
      <c r="J151" s="445"/>
      <c r="K151" s="382"/>
      <c r="L151" s="666"/>
      <c r="M151" s="382"/>
      <c r="N151" s="103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5"/>
      <c r="C152" s="835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5"/>
      <c r="C153" s="835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39"/>
      <c r="C154" s="835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3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3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3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3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3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3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3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3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3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3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3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3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3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3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3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3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3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3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3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3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3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3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3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3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756107.04999999993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0"/>
      <c r="O187" s="391"/>
      <c r="P187" s="117"/>
      <c r="Q187" s="536">
        <f>SUM(Q5:Q186)</f>
        <v>35288197.963500001</v>
      </c>
      <c r="R187" s="686"/>
      <c r="S187" s="167">
        <f>Q187+M187+K187</f>
        <v>36749578.963500001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1"/>
      <c r="O188" s="161"/>
      <c r="P188" s="95"/>
      <c r="Q188" s="394"/>
      <c r="R188" s="482" t="s">
        <v>42</v>
      </c>
    </row>
  </sheetData>
  <sortState ref="B98:O105">
    <sortCondition ref="E98:E105"/>
  </sortState>
  <mergeCells count="18"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  <mergeCell ref="R123:R125"/>
    <mergeCell ref="B121:B122"/>
    <mergeCell ref="B123:B125"/>
    <mergeCell ref="E123:E125"/>
    <mergeCell ref="O123:O125"/>
    <mergeCell ref="O121:O122"/>
    <mergeCell ref="R121:R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4"/>
      <c r="B5" s="1205" t="s">
        <v>77</v>
      </c>
      <c r="C5" s="230"/>
      <c r="D5" s="134"/>
      <c r="E5" s="78"/>
      <c r="F5" s="62"/>
      <c r="G5" s="5"/>
    </row>
    <row r="6" spans="1:9" x14ac:dyDescent="0.25">
      <c r="A6" s="1204"/>
      <c r="B6" s="1205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204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5" t="s">
        <v>150</v>
      </c>
      <c r="B1" s="1195"/>
      <c r="C1" s="1195"/>
      <c r="D1" s="1195"/>
      <c r="E1" s="1195"/>
      <c r="F1" s="1195"/>
      <c r="G1" s="1195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04"/>
      <c r="B5" s="1206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04"/>
      <c r="B6" s="1206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91" t="s">
        <v>325</v>
      </c>
      <c r="B1" s="1191"/>
      <c r="C1" s="1191"/>
      <c r="D1" s="1191"/>
      <c r="E1" s="1191"/>
      <c r="F1" s="1191"/>
      <c r="G1" s="1191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07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99" t="s">
        <v>52</v>
      </c>
      <c r="B5" s="1208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99"/>
      <c r="B6" s="1208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4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7">
        <v>106</v>
      </c>
      <c r="E14" s="888">
        <v>44869</v>
      </c>
      <c r="F14" s="887">
        <f t="shared" si="0"/>
        <v>106</v>
      </c>
      <c r="G14" s="889" t="s">
        <v>529</v>
      </c>
      <c r="H14" s="890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7">
        <v>102.73</v>
      </c>
      <c r="E15" s="888">
        <v>44877</v>
      </c>
      <c r="F15" s="887">
        <f t="shared" si="0"/>
        <v>102.73</v>
      </c>
      <c r="G15" s="889" t="s">
        <v>587</v>
      </c>
      <c r="H15" s="890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7"/>
      <c r="E16" s="892"/>
      <c r="F16" s="891">
        <f t="shared" si="0"/>
        <v>0</v>
      </c>
      <c r="G16" s="893"/>
      <c r="H16" s="896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7"/>
      <c r="E17" s="892"/>
      <c r="F17" s="891">
        <f t="shared" si="0"/>
        <v>0</v>
      </c>
      <c r="G17" s="893"/>
      <c r="H17" s="896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7"/>
      <c r="E18" s="892"/>
      <c r="F18" s="891">
        <f t="shared" si="0"/>
        <v>0</v>
      </c>
      <c r="G18" s="893"/>
      <c r="H18" s="896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7"/>
      <c r="E19" s="892"/>
      <c r="F19" s="891">
        <f t="shared" si="0"/>
        <v>0</v>
      </c>
      <c r="G19" s="893"/>
      <c r="H19" s="896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7"/>
      <c r="E20" s="892"/>
      <c r="F20" s="891">
        <f t="shared" si="0"/>
        <v>0</v>
      </c>
      <c r="G20" s="893"/>
      <c r="H20" s="896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7"/>
      <c r="E21" s="892"/>
      <c r="F21" s="891">
        <f t="shared" si="0"/>
        <v>0</v>
      </c>
      <c r="G21" s="893"/>
      <c r="H21" s="896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7"/>
      <c r="E22" s="892"/>
      <c r="F22" s="891">
        <f t="shared" si="0"/>
        <v>0</v>
      </c>
      <c r="G22" s="893"/>
      <c r="H22" s="896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7"/>
      <c r="E23" s="892"/>
      <c r="F23" s="891">
        <f t="shared" si="0"/>
        <v>0</v>
      </c>
      <c r="G23" s="893"/>
      <c r="H23" s="896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7"/>
      <c r="E24" s="892"/>
      <c r="F24" s="891">
        <f t="shared" si="0"/>
        <v>0</v>
      </c>
      <c r="G24" s="893"/>
      <c r="H24" s="896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7"/>
      <c r="E25" s="892"/>
      <c r="F25" s="891">
        <f t="shared" si="0"/>
        <v>0</v>
      </c>
      <c r="G25" s="893"/>
      <c r="H25" s="896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7"/>
      <c r="E26" s="892"/>
      <c r="F26" s="891">
        <f t="shared" si="0"/>
        <v>0</v>
      </c>
      <c r="G26" s="893"/>
      <c r="H26" s="896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7"/>
      <c r="E27" s="892"/>
      <c r="F27" s="891">
        <v>0</v>
      </c>
      <c r="G27" s="893"/>
      <c r="H27" s="896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7"/>
      <c r="E28" s="888"/>
      <c r="F28" s="887">
        <f t="shared" ref="F28:F33" si="3">D28</f>
        <v>0</v>
      </c>
      <c r="G28" s="889"/>
      <c r="H28" s="890"/>
      <c r="I28" s="60">
        <f t="shared" si="2"/>
        <v>1518.35</v>
      </c>
    </row>
    <row r="29" spans="1:9" x14ac:dyDescent="0.25">
      <c r="A29" s="122"/>
      <c r="B29" s="235"/>
      <c r="C29" s="15"/>
      <c r="D29" s="887"/>
      <c r="E29" s="888"/>
      <c r="F29" s="887">
        <f t="shared" si="3"/>
        <v>0</v>
      </c>
      <c r="G29" s="889"/>
      <c r="H29" s="890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5" t="s">
        <v>343</v>
      </c>
      <c r="B1" s="1195"/>
      <c r="C1" s="1195"/>
      <c r="D1" s="1195"/>
      <c r="E1" s="1195"/>
      <c r="F1" s="1195"/>
      <c r="G1" s="1195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99" t="s">
        <v>454</v>
      </c>
      <c r="B5" s="1209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99"/>
      <c r="B6" s="1209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0">
        <f t="shared" si="0"/>
        <v>0</v>
      </c>
      <c r="G11" s="1111"/>
      <c r="H11" s="1112"/>
      <c r="I11" s="1125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0">
        <f t="shared" si="0"/>
        <v>0</v>
      </c>
      <c r="G12" s="1111"/>
      <c r="H12" s="1112"/>
      <c r="I12" s="1125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0">
        <f t="shared" si="0"/>
        <v>0</v>
      </c>
      <c r="G13" s="1111"/>
      <c r="H13" s="1112"/>
      <c r="I13" s="1125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0">
        <f t="shared" si="0"/>
        <v>0</v>
      </c>
      <c r="G14" s="1111"/>
      <c r="H14" s="1112"/>
      <c r="I14" s="1125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3" t="s">
        <v>11</v>
      </c>
      <c r="D40" s="119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5" t="s">
        <v>346</v>
      </c>
      <c r="B1" s="1195"/>
      <c r="C1" s="1195"/>
      <c r="D1" s="1195"/>
      <c r="E1" s="1195"/>
      <c r="F1" s="1195"/>
      <c r="G1" s="119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04" t="s">
        <v>81</v>
      </c>
      <c r="B5" s="1209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04"/>
      <c r="B6" s="1210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7"/>
      <c r="F26" s="766">
        <f>D26</f>
        <v>0</v>
      </c>
      <c r="G26" s="728"/>
      <c r="H26" s="729"/>
      <c r="I26" s="898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7"/>
      <c r="F27" s="766">
        <f t="shared" si="3"/>
        <v>0</v>
      </c>
      <c r="G27" s="728"/>
      <c r="H27" s="729"/>
      <c r="I27" s="898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7"/>
      <c r="F28" s="766">
        <f t="shared" si="3"/>
        <v>0</v>
      </c>
      <c r="G28" s="728"/>
      <c r="H28" s="729"/>
      <c r="I28" s="898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7"/>
      <c r="F29" s="766">
        <f t="shared" si="3"/>
        <v>0</v>
      </c>
      <c r="G29" s="728"/>
      <c r="H29" s="729"/>
      <c r="I29" s="898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7"/>
      <c r="F30" s="766">
        <f t="shared" si="3"/>
        <v>0</v>
      </c>
      <c r="G30" s="728"/>
      <c r="H30" s="729"/>
      <c r="I30" s="898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80" t="s">
        <v>21</v>
      </c>
      <c r="E38" s="1181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99"/>
      <c r="B5" s="1211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99"/>
      <c r="B6" s="1212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0" t="s">
        <v>21</v>
      </c>
      <c r="E42" s="1181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99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99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3" t="s">
        <v>86</v>
      </c>
      <c r="C4" s="128"/>
      <c r="D4" s="134"/>
      <c r="E4" s="180"/>
      <c r="F4" s="137"/>
      <c r="G4" s="38"/>
    </row>
    <row r="5" spans="1:15" ht="15.75" x14ac:dyDescent="0.25">
      <c r="A5" s="1199"/>
      <c r="B5" s="1214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99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/>
      <c r="B1" s="1184"/>
      <c r="C1" s="1184"/>
      <c r="D1" s="1184"/>
      <c r="E1" s="1184"/>
      <c r="F1" s="1184"/>
      <c r="G1" s="118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4" t="s">
        <v>96</v>
      </c>
      <c r="B5" s="1215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4"/>
      <c r="B6" s="1215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90" t="s">
        <v>323</v>
      </c>
      <c r="L1" s="1190"/>
      <c r="M1" s="1190"/>
      <c r="N1" s="1190"/>
      <c r="O1" s="1190"/>
      <c r="P1" s="1190"/>
      <c r="Q1" s="1190"/>
      <c r="R1" s="269">
        <f>I1+1</f>
        <v>1</v>
      </c>
      <c r="S1" s="269"/>
      <c r="U1" s="1184" t="str">
        <f>K1</f>
        <v>ENTRADA DEL MES DE NOVIEMBRE    2022</v>
      </c>
      <c r="V1" s="1184"/>
      <c r="W1" s="1184"/>
      <c r="X1" s="1184"/>
      <c r="Y1" s="1184"/>
      <c r="Z1" s="1184"/>
      <c r="AA1" s="1184"/>
      <c r="AB1" s="269">
        <f>R1+1</f>
        <v>2</v>
      </c>
      <c r="AC1" s="395"/>
      <c r="AE1" s="1184" t="str">
        <f>U1</f>
        <v>ENTRADA DEL MES DE NOVIEMBRE    2022</v>
      </c>
      <c r="AF1" s="1184"/>
      <c r="AG1" s="1184"/>
      <c r="AH1" s="1184"/>
      <c r="AI1" s="1184"/>
      <c r="AJ1" s="1184"/>
      <c r="AK1" s="1184"/>
      <c r="AL1" s="269">
        <f>AB1+1</f>
        <v>3</v>
      </c>
      <c r="AM1" s="269"/>
      <c r="AO1" s="1184" t="str">
        <f>AE1</f>
        <v>ENTRADA DEL MES DE NOVIEMBRE    2022</v>
      </c>
      <c r="AP1" s="1184"/>
      <c r="AQ1" s="1184"/>
      <c r="AR1" s="1184"/>
      <c r="AS1" s="1184"/>
      <c r="AT1" s="1184"/>
      <c r="AU1" s="1184"/>
      <c r="AV1" s="269">
        <f>AL1+1</f>
        <v>4</v>
      </c>
      <c r="AW1" s="395"/>
      <c r="AY1" s="1184" t="str">
        <f>AO1</f>
        <v>ENTRADA DEL MES DE NOVIEMBRE    2022</v>
      </c>
      <c r="AZ1" s="1184"/>
      <c r="BA1" s="1184"/>
      <c r="BB1" s="1184"/>
      <c r="BC1" s="1184"/>
      <c r="BD1" s="1184"/>
      <c r="BE1" s="1184"/>
      <c r="BF1" s="269">
        <f>AV1+1</f>
        <v>5</v>
      </c>
      <c r="BG1" s="411"/>
      <c r="BI1" s="1184" t="str">
        <f>AY1</f>
        <v>ENTRADA DEL MES DE NOVIEMBRE    2022</v>
      </c>
      <c r="BJ1" s="1184"/>
      <c r="BK1" s="1184"/>
      <c r="BL1" s="1184"/>
      <c r="BM1" s="1184"/>
      <c r="BN1" s="1184"/>
      <c r="BO1" s="1184"/>
      <c r="BP1" s="269">
        <f>BF1+1</f>
        <v>6</v>
      </c>
      <c r="BQ1" s="395"/>
      <c r="BS1" s="1184" t="str">
        <f>BI1</f>
        <v>ENTRADA DEL MES DE NOVIEMBRE    2022</v>
      </c>
      <c r="BT1" s="1184"/>
      <c r="BU1" s="1184"/>
      <c r="BV1" s="1184"/>
      <c r="BW1" s="1184"/>
      <c r="BX1" s="1184"/>
      <c r="BY1" s="1184"/>
      <c r="BZ1" s="269">
        <f>BP1+1</f>
        <v>7</v>
      </c>
      <c r="CC1" s="1184" t="str">
        <f>BS1</f>
        <v>ENTRADA DEL MES DE NOVIEMBRE    2022</v>
      </c>
      <c r="CD1" s="1184"/>
      <c r="CE1" s="1184"/>
      <c r="CF1" s="1184"/>
      <c r="CG1" s="1184"/>
      <c r="CH1" s="1184"/>
      <c r="CI1" s="1184"/>
      <c r="CJ1" s="269">
        <f>BZ1+1</f>
        <v>8</v>
      </c>
      <c r="CM1" s="1184" t="str">
        <f>CC1</f>
        <v>ENTRADA DEL MES DE NOVIEMBRE    2022</v>
      </c>
      <c r="CN1" s="1184"/>
      <c r="CO1" s="1184"/>
      <c r="CP1" s="1184"/>
      <c r="CQ1" s="1184"/>
      <c r="CR1" s="1184"/>
      <c r="CS1" s="1184"/>
      <c r="CT1" s="269">
        <f>CJ1+1</f>
        <v>9</v>
      </c>
      <c r="CU1" s="395"/>
      <c r="CW1" s="1184" t="str">
        <f>CM1</f>
        <v>ENTRADA DEL MES DE NOVIEMBRE    2022</v>
      </c>
      <c r="CX1" s="1184"/>
      <c r="CY1" s="1184"/>
      <c r="CZ1" s="1184"/>
      <c r="DA1" s="1184"/>
      <c r="DB1" s="1184"/>
      <c r="DC1" s="1184"/>
      <c r="DD1" s="269">
        <f>CT1+1</f>
        <v>10</v>
      </c>
      <c r="DE1" s="395"/>
      <c r="DG1" s="1184" t="str">
        <f>CW1</f>
        <v>ENTRADA DEL MES DE NOVIEMBRE    2022</v>
      </c>
      <c r="DH1" s="1184"/>
      <c r="DI1" s="1184"/>
      <c r="DJ1" s="1184"/>
      <c r="DK1" s="1184"/>
      <c r="DL1" s="1184"/>
      <c r="DM1" s="1184"/>
      <c r="DN1" s="269">
        <f>DD1+1</f>
        <v>11</v>
      </c>
      <c r="DO1" s="395"/>
      <c r="DQ1" s="1184" t="str">
        <f>DG1</f>
        <v>ENTRADA DEL MES DE NOVIEMBRE    2022</v>
      </c>
      <c r="DR1" s="1184"/>
      <c r="DS1" s="1184"/>
      <c r="DT1" s="1184"/>
      <c r="DU1" s="1184"/>
      <c r="DV1" s="1184"/>
      <c r="DW1" s="1184"/>
      <c r="DX1" s="269">
        <f>DN1+1</f>
        <v>12</v>
      </c>
      <c r="EA1" s="1184" t="str">
        <f>DQ1</f>
        <v>ENTRADA DEL MES DE NOVIEMBRE    2022</v>
      </c>
      <c r="EB1" s="1184"/>
      <c r="EC1" s="1184"/>
      <c r="ED1" s="1184"/>
      <c r="EE1" s="1184"/>
      <c r="EF1" s="1184"/>
      <c r="EG1" s="1184"/>
      <c r="EH1" s="269">
        <f>DX1+1</f>
        <v>13</v>
      </c>
      <c r="EI1" s="395"/>
      <c r="EK1" s="1184" t="str">
        <f>EA1</f>
        <v>ENTRADA DEL MES DE NOVIEMBRE    2022</v>
      </c>
      <c r="EL1" s="1184"/>
      <c r="EM1" s="1184"/>
      <c r="EN1" s="1184"/>
      <c r="EO1" s="1184"/>
      <c r="EP1" s="1184"/>
      <c r="EQ1" s="1184"/>
      <c r="ER1" s="269">
        <f>EH1+1</f>
        <v>14</v>
      </c>
      <c r="ES1" s="395"/>
      <c r="EU1" s="1184" t="str">
        <f>EK1</f>
        <v>ENTRADA DEL MES DE NOVIEMBRE    2022</v>
      </c>
      <c r="EV1" s="1184"/>
      <c r="EW1" s="1184"/>
      <c r="EX1" s="1184"/>
      <c r="EY1" s="1184"/>
      <c r="EZ1" s="1184"/>
      <c r="FA1" s="1184"/>
      <c r="FB1" s="269">
        <f>ER1+1</f>
        <v>15</v>
      </c>
      <c r="FC1" s="395"/>
      <c r="FE1" s="1184" t="str">
        <f>EU1</f>
        <v>ENTRADA DEL MES DE NOVIEMBRE    2022</v>
      </c>
      <c r="FF1" s="1184"/>
      <c r="FG1" s="1184"/>
      <c r="FH1" s="1184"/>
      <c r="FI1" s="1184"/>
      <c r="FJ1" s="1184"/>
      <c r="FK1" s="1184"/>
      <c r="FL1" s="269">
        <f>FB1+1</f>
        <v>16</v>
      </c>
      <c r="FM1" s="395"/>
      <c r="FO1" s="1184" t="str">
        <f>FE1</f>
        <v>ENTRADA DEL MES DE NOVIEMBRE    2022</v>
      </c>
      <c r="FP1" s="1184"/>
      <c r="FQ1" s="1184"/>
      <c r="FR1" s="1184"/>
      <c r="FS1" s="1184"/>
      <c r="FT1" s="1184"/>
      <c r="FU1" s="1184"/>
      <c r="FV1" s="269">
        <f>FL1+1</f>
        <v>17</v>
      </c>
      <c r="FW1" s="395"/>
      <c r="FY1" s="1184" t="str">
        <f>FO1</f>
        <v>ENTRADA DEL MES DE NOVIEMBRE    2022</v>
      </c>
      <c r="FZ1" s="1184"/>
      <c r="GA1" s="1184"/>
      <c r="GB1" s="1184"/>
      <c r="GC1" s="1184"/>
      <c r="GD1" s="1184"/>
      <c r="GE1" s="1184"/>
      <c r="GF1" s="269">
        <f>FV1+1</f>
        <v>18</v>
      </c>
      <c r="GG1" s="395"/>
      <c r="GH1" s="75" t="s">
        <v>37</v>
      </c>
      <c r="GI1" s="1184" t="str">
        <f>FY1</f>
        <v>ENTRADA DEL MES DE NOVIEMBRE    2022</v>
      </c>
      <c r="GJ1" s="1184"/>
      <c r="GK1" s="1184"/>
      <c r="GL1" s="1184"/>
      <c r="GM1" s="1184"/>
      <c r="GN1" s="1184"/>
      <c r="GO1" s="1184"/>
      <c r="GP1" s="269">
        <f>GF1+1</f>
        <v>19</v>
      </c>
      <c r="GQ1" s="395"/>
      <c r="GS1" s="1184" t="str">
        <f>GI1</f>
        <v>ENTRADA DEL MES DE NOVIEMBRE    2022</v>
      </c>
      <c r="GT1" s="1184"/>
      <c r="GU1" s="1184"/>
      <c r="GV1" s="1184"/>
      <c r="GW1" s="1184"/>
      <c r="GX1" s="1184"/>
      <c r="GY1" s="1184"/>
      <c r="GZ1" s="269">
        <f>GP1+1</f>
        <v>20</v>
      </c>
      <c r="HA1" s="395"/>
      <c r="HC1" s="1184" t="str">
        <f>GS1</f>
        <v>ENTRADA DEL MES DE NOVIEMBRE    2022</v>
      </c>
      <c r="HD1" s="1184"/>
      <c r="HE1" s="1184"/>
      <c r="HF1" s="1184"/>
      <c r="HG1" s="1184"/>
      <c r="HH1" s="1184"/>
      <c r="HI1" s="1184"/>
      <c r="HJ1" s="269">
        <f>GZ1+1</f>
        <v>21</v>
      </c>
      <c r="HK1" s="395"/>
      <c r="HM1" s="1184" t="str">
        <f>HC1</f>
        <v>ENTRADA DEL MES DE NOVIEMBRE    2022</v>
      </c>
      <c r="HN1" s="1184"/>
      <c r="HO1" s="1184"/>
      <c r="HP1" s="1184"/>
      <c r="HQ1" s="1184"/>
      <c r="HR1" s="1184"/>
      <c r="HS1" s="1184"/>
      <c r="HT1" s="269">
        <f>HJ1+1</f>
        <v>22</v>
      </c>
      <c r="HU1" s="395"/>
      <c r="HW1" s="1184" t="str">
        <f>HM1</f>
        <v>ENTRADA DEL MES DE NOVIEMBRE    2022</v>
      </c>
      <c r="HX1" s="1184"/>
      <c r="HY1" s="1184"/>
      <c r="HZ1" s="1184"/>
      <c r="IA1" s="1184"/>
      <c r="IB1" s="1184"/>
      <c r="IC1" s="1184"/>
      <c r="ID1" s="269">
        <f>HT1+1</f>
        <v>23</v>
      </c>
      <c r="IE1" s="395"/>
      <c r="IG1" s="1184" t="str">
        <f>HW1</f>
        <v>ENTRADA DEL MES DE NOVIEMBRE    2022</v>
      </c>
      <c r="IH1" s="1184"/>
      <c r="II1" s="1184"/>
      <c r="IJ1" s="1184"/>
      <c r="IK1" s="1184"/>
      <c r="IL1" s="1184"/>
      <c r="IM1" s="1184"/>
      <c r="IN1" s="269">
        <f>ID1+1</f>
        <v>24</v>
      </c>
      <c r="IO1" s="395"/>
      <c r="IQ1" s="1184" t="str">
        <f>IG1</f>
        <v>ENTRADA DEL MES DE NOVIEMBRE    2022</v>
      </c>
      <c r="IR1" s="1184"/>
      <c r="IS1" s="1184"/>
      <c r="IT1" s="1184"/>
      <c r="IU1" s="1184"/>
      <c r="IV1" s="1184"/>
      <c r="IW1" s="1184"/>
      <c r="IX1" s="269">
        <f>IN1+1</f>
        <v>25</v>
      </c>
      <c r="IY1" s="395"/>
      <c r="JA1" s="1184" t="str">
        <f>IQ1</f>
        <v>ENTRADA DEL MES DE NOVIEMBRE    2022</v>
      </c>
      <c r="JB1" s="1184"/>
      <c r="JC1" s="1184"/>
      <c r="JD1" s="1184"/>
      <c r="JE1" s="1184"/>
      <c r="JF1" s="1184"/>
      <c r="JG1" s="1184"/>
      <c r="JH1" s="269">
        <f>IX1+1</f>
        <v>26</v>
      </c>
      <c r="JI1" s="395"/>
      <c r="JK1" s="1185" t="str">
        <f>JA1</f>
        <v>ENTRADA DEL MES DE NOVIEMBRE    2022</v>
      </c>
      <c r="JL1" s="1185"/>
      <c r="JM1" s="1185"/>
      <c r="JN1" s="1185"/>
      <c r="JO1" s="1185"/>
      <c r="JP1" s="1185"/>
      <c r="JQ1" s="1185"/>
      <c r="JR1" s="269">
        <f>JH1+1</f>
        <v>27</v>
      </c>
      <c r="JS1" s="395"/>
      <c r="JU1" s="1184" t="str">
        <f>JK1</f>
        <v>ENTRADA DEL MES DE NOVIEMBRE    2022</v>
      </c>
      <c r="JV1" s="1184"/>
      <c r="JW1" s="1184"/>
      <c r="JX1" s="1184"/>
      <c r="JY1" s="1184"/>
      <c r="JZ1" s="1184"/>
      <c r="KA1" s="1184"/>
      <c r="KB1" s="269">
        <f>JR1+1</f>
        <v>28</v>
      </c>
      <c r="KC1" s="395"/>
      <c r="KE1" s="1184" t="str">
        <f>JU1</f>
        <v>ENTRADA DEL MES DE NOVIEMBRE    2022</v>
      </c>
      <c r="KF1" s="1184"/>
      <c r="KG1" s="1184"/>
      <c r="KH1" s="1184"/>
      <c r="KI1" s="1184"/>
      <c r="KJ1" s="1184"/>
      <c r="KK1" s="1184"/>
      <c r="KL1" s="269">
        <f>KB1+1</f>
        <v>29</v>
      </c>
      <c r="KM1" s="395"/>
      <c r="KO1" s="1184" t="str">
        <f>KE1</f>
        <v>ENTRADA DEL MES DE NOVIEMBRE    2022</v>
      </c>
      <c r="KP1" s="1184"/>
      <c r="KQ1" s="1184"/>
      <c r="KR1" s="1184"/>
      <c r="KS1" s="1184"/>
      <c r="KT1" s="1184"/>
      <c r="KU1" s="1184"/>
      <c r="KV1" s="269">
        <f>KL1+1</f>
        <v>30</v>
      </c>
      <c r="KW1" s="395"/>
      <c r="KY1" s="1184" t="str">
        <f>KO1</f>
        <v>ENTRADA DEL MES DE NOVIEMBRE    2022</v>
      </c>
      <c r="KZ1" s="1184"/>
      <c r="LA1" s="1184"/>
      <c r="LB1" s="1184"/>
      <c r="LC1" s="1184"/>
      <c r="LD1" s="1184"/>
      <c r="LE1" s="1184"/>
      <c r="LF1" s="269">
        <f>KV1+1</f>
        <v>31</v>
      </c>
      <c r="LG1" s="395"/>
      <c r="LI1" s="1184" t="str">
        <f>KY1</f>
        <v>ENTRADA DEL MES DE NOVIEMBRE    2022</v>
      </c>
      <c r="LJ1" s="1184"/>
      <c r="LK1" s="1184"/>
      <c r="LL1" s="1184"/>
      <c r="LM1" s="1184"/>
      <c r="LN1" s="1184"/>
      <c r="LO1" s="1184"/>
      <c r="LP1" s="269">
        <f>LF1+1</f>
        <v>32</v>
      </c>
      <c r="LQ1" s="395"/>
      <c r="LS1" s="1184" t="str">
        <f>LI1</f>
        <v>ENTRADA DEL MES DE NOVIEMBRE    2022</v>
      </c>
      <c r="LT1" s="1184"/>
      <c r="LU1" s="1184"/>
      <c r="LV1" s="1184"/>
      <c r="LW1" s="1184"/>
      <c r="LX1" s="1184"/>
      <c r="LY1" s="1184"/>
      <c r="LZ1" s="269">
        <f>LP1+1</f>
        <v>33</v>
      </c>
      <c r="MC1" s="1184" t="str">
        <f>LS1</f>
        <v>ENTRADA DEL MES DE NOVIEMBRE    2022</v>
      </c>
      <c r="MD1" s="1184"/>
      <c r="ME1" s="1184"/>
      <c r="MF1" s="1184"/>
      <c r="MG1" s="1184"/>
      <c r="MH1" s="1184"/>
      <c r="MI1" s="1184"/>
      <c r="MJ1" s="269">
        <f>LZ1+1</f>
        <v>34</v>
      </c>
      <c r="MK1" s="269"/>
      <c r="MM1" s="1184" t="str">
        <f>MC1</f>
        <v>ENTRADA DEL MES DE NOVIEMBRE    2022</v>
      </c>
      <c r="MN1" s="1184"/>
      <c r="MO1" s="1184"/>
      <c r="MP1" s="1184"/>
      <c r="MQ1" s="1184"/>
      <c r="MR1" s="1184"/>
      <c r="MS1" s="1184"/>
      <c r="MT1" s="269">
        <f>MJ1+1</f>
        <v>35</v>
      </c>
      <c r="MU1" s="269"/>
      <c r="MW1" s="1184" t="str">
        <f>MM1</f>
        <v>ENTRADA DEL MES DE NOVIEMBRE    2022</v>
      </c>
      <c r="MX1" s="1184"/>
      <c r="MY1" s="1184"/>
      <c r="MZ1" s="1184"/>
      <c r="NA1" s="1184"/>
      <c r="NB1" s="1184"/>
      <c r="NC1" s="1184"/>
      <c r="ND1" s="269">
        <f>MT1+1</f>
        <v>36</v>
      </c>
      <c r="NE1" s="269"/>
      <c r="NG1" s="1184" t="str">
        <f>MW1</f>
        <v>ENTRADA DEL MES DE NOVIEMBRE    2022</v>
      </c>
      <c r="NH1" s="1184"/>
      <c r="NI1" s="1184"/>
      <c r="NJ1" s="1184"/>
      <c r="NK1" s="1184"/>
      <c r="NL1" s="1184"/>
      <c r="NM1" s="1184"/>
      <c r="NN1" s="269">
        <f>ND1+1</f>
        <v>37</v>
      </c>
      <c r="NO1" s="269"/>
      <c r="NQ1" s="1184" t="str">
        <f>NG1</f>
        <v>ENTRADA DEL MES DE NOVIEMBRE    2022</v>
      </c>
      <c r="NR1" s="1184"/>
      <c r="NS1" s="1184"/>
      <c r="NT1" s="1184"/>
      <c r="NU1" s="1184"/>
      <c r="NV1" s="1184"/>
      <c r="NW1" s="1184"/>
      <c r="NX1" s="269">
        <f>NN1+1</f>
        <v>38</v>
      </c>
      <c r="NY1" s="269"/>
      <c r="OA1" s="1184" t="str">
        <f>NQ1</f>
        <v>ENTRADA DEL MES DE NOVIEMBRE    2022</v>
      </c>
      <c r="OB1" s="1184"/>
      <c r="OC1" s="1184"/>
      <c r="OD1" s="1184"/>
      <c r="OE1" s="1184"/>
      <c r="OF1" s="1184"/>
      <c r="OG1" s="1184"/>
      <c r="OH1" s="269">
        <f>NX1+1</f>
        <v>39</v>
      </c>
      <c r="OI1" s="269"/>
      <c r="OK1" s="1184" t="str">
        <f>OA1</f>
        <v>ENTRADA DEL MES DE NOVIEMBRE    2022</v>
      </c>
      <c r="OL1" s="1184"/>
      <c r="OM1" s="1184"/>
      <c r="ON1" s="1184"/>
      <c r="OO1" s="1184"/>
      <c r="OP1" s="1184"/>
      <c r="OQ1" s="1184"/>
      <c r="OR1" s="269">
        <f>OH1+1</f>
        <v>40</v>
      </c>
      <c r="OS1" s="269"/>
      <c r="OU1" s="1184" t="str">
        <f>OK1</f>
        <v>ENTRADA DEL MES DE NOVIEMBRE    2022</v>
      </c>
      <c r="OV1" s="1184"/>
      <c r="OW1" s="1184"/>
      <c r="OX1" s="1184"/>
      <c r="OY1" s="1184"/>
      <c r="OZ1" s="1184"/>
      <c r="PA1" s="1184"/>
      <c r="PB1" s="269">
        <f>OR1+1</f>
        <v>41</v>
      </c>
      <c r="PC1" s="269"/>
      <c r="PE1" s="1184" t="str">
        <f>OU1</f>
        <v>ENTRADA DEL MES DE NOVIEMBRE    2022</v>
      </c>
      <c r="PF1" s="1184"/>
      <c r="PG1" s="1184"/>
      <c r="PH1" s="1184"/>
      <c r="PI1" s="1184"/>
      <c r="PJ1" s="1184"/>
      <c r="PK1" s="1184"/>
      <c r="PL1" s="269">
        <f>PB1+1</f>
        <v>42</v>
      </c>
      <c r="PM1" s="269"/>
      <c r="PO1" s="1184" t="str">
        <f>PE1</f>
        <v>ENTRADA DEL MES DE NOVIEMBRE    2022</v>
      </c>
      <c r="PP1" s="1184"/>
      <c r="PQ1" s="1184"/>
      <c r="PR1" s="1184"/>
      <c r="PS1" s="1184"/>
      <c r="PT1" s="1184"/>
      <c r="PU1" s="1184"/>
      <c r="PV1" s="269">
        <f>PL1+1</f>
        <v>43</v>
      </c>
      <c r="PX1" s="1184" t="str">
        <f>PO1</f>
        <v>ENTRADA DEL MES DE NOVIEMBRE    2022</v>
      </c>
      <c r="PY1" s="1184"/>
      <c r="PZ1" s="1184"/>
      <c r="QA1" s="1184"/>
      <c r="QB1" s="1184"/>
      <c r="QC1" s="1184"/>
      <c r="QD1" s="1184"/>
      <c r="QE1" s="269">
        <f>PV1+1</f>
        <v>44</v>
      </c>
      <c r="QG1" s="1184" t="str">
        <f>PX1</f>
        <v>ENTRADA DEL MES DE NOVIEMBRE    2022</v>
      </c>
      <c r="QH1" s="1184"/>
      <c r="QI1" s="1184"/>
      <c r="QJ1" s="1184"/>
      <c r="QK1" s="1184"/>
      <c r="QL1" s="1184"/>
      <c r="QM1" s="1184"/>
      <c r="QN1" s="269">
        <f>QE1+1</f>
        <v>45</v>
      </c>
      <c r="QP1" s="1184" t="str">
        <f>QG1</f>
        <v>ENTRADA DEL MES DE NOVIEMBRE    2022</v>
      </c>
      <c r="QQ1" s="1184"/>
      <c r="QR1" s="1184"/>
      <c r="QS1" s="1184"/>
      <c r="QT1" s="1184"/>
      <c r="QU1" s="1184"/>
      <c r="QV1" s="1184"/>
      <c r="QW1" s="269">
        <f>QN1+1</f>
        <v>46</v>
      </c>
      <c r="QY1" s="1184" t="str">
        <f>QP1</f>
        <v>ENTRADA DEL MES DE NOVIEMBRE    2022</v>
      </c>
      <c r="QZ1" s="1184"/>
      <c r="RA1" s="1184"/>
      <c r="RB1" s="1184"/>
      <c r="RC1" s="1184"/>
      <c r="RD1" s="1184"/>
      <c r="RE1" s="1184"/>
      <c r="RF1" s="269">
        <f>QW1+1</f>
        <v>47</v>
      </c>
      <c r="RH1" s="1184" t="str">
        <f>QY1</f>
        <v>ENTRADA DEL MES DE NOVIEMBRE    2022</v>
      </c>
      <c r="RI1" s="1184"/>
      <c r="RJ1" s="1184"/>
      <c r="RK1" s="1184"/>
      <c r="RL1" s="1184"/>
      <c r="RM1" s="1184"/>
      <c r="RN1" s="1184"/>
      <c r="RO1" s="269">
        <f>RF1+1</f>
        <v>48</v>
      </c>
      <c r="RQ1" s="1184" t="str">
        <f>RH1</f>
        <v>ENTRADA DEL MES DE NOVIEMBRE    2022</v>
      </c>
      <c r="RR1" s="1184"/>
      <c r="RS1" s="1184"/>
      <c r="RT1" s="1184"/>
      <c r="RU1" s="1184"/>
      <c r="RV1" s="1184"/>
      <c r="RW1" s="1184"/>
      <c r="RX1" s="269">
        <f>RO1+1</f>
        <v>49</v>
      </c>
      <c r="RZ1" s="1184" t="str">
        <f>RQ1</f>
        <v>ENTRADA DEL MES DE NOVIEMBRE    2022</v>
      </c>
      <c r="SA1" s="1184"/>
      <c r="SB1" s="1184"/>
      <c r="SC1" s="1184"/>
      <c r="SD1" s="1184"/>
      <c r="SE1" s="1184"/>
      <c r="SF1" s="1184"/>
      <c r="SG1" s="269">
        <f>RX1+1</f>
        <v>50</v>
      </c>
      <c r="SI1" s="1184" t="str">
        <f>RZ1</f>
        <v>ENTRADA DEL MES DE NOVIEMBRE    2022</v>
      </c>
      <c r="SJ1" s="1184"/>
      <c r="SK1" s="1184"/>
      <c r="SL1" s="1184"/>
      <c r="SM1" s="1184"/>
      <c r="SN1" s="1184"/>
      <c r="SO1" s="1184"/>
      <c r="SP1" s="269">
        <f>SG1+1</f>
        <v>51</v>
      </c>
      <c r="SR1" s="1184" t="str">
        <f>SI1</f>
        <v>ENTRADA DEL MES DE NOVIEMBRE    2022</v>
      </c>
      <c r="SS1" s="1184"/>
      <c r="ST1" s="1184"/>
      <c r="SU1" s="1184"/>
      <c r="SV1" s="1184"/>
      <c r="SW1" s="1184"/>
      <c r="SX1" s="1184"/>
      <c r="SY1" s="269">
        <f>SP1+1</f>
        <v>52</v>
      </c>
      <c r="TA1" s="1184" t="str">
        <f>SR1</f>
        <v>ENTRADA DEL MES DE NOVIEMBRE    2022</v>
      </c>
      <c r="TB1" s="1184"/>
      <c r="TC1" s="1184"/>
      <c r="TD1" s="1184"/>
      <c r="TE1" s="1184"/>
      <c r="TF1" s="1184"/>
      <c r="TG1" s="1184"/>
      <c r="TH1" s="269">
        <f>SY1+1</f>
        <v>53</v>
      </c>
      <c r="TJ1" s="1184" t="str">
        <f>TA1</f>
        <v>ENTRADA DEL MES DE NOVIEMBRE    2022</v>
      </c>
      <c r="TK1" s="1184"/>
      <c r="TL1" s="1184"/>
      <c r="TM1" s="1184"/>
      <c r="TN1" s="1184"/>
      <c r="TO1" s="1184"/>
      <c r="TP1" s="1184"/>
      <c r="TQ1" s="269">
        <f>TH1+1</f>
        <v>54</v>
      </c>
      <c r="TS1" s="1184" t="str">
        <f>TJ1</f>
        <v>ENTRADA DEL MES DE NOVIEMBRE    2022</v>
      </c>
      <c r="TT1" s="1184"/>
      <c r="TU1" s="1184"/>
      <c r="TV1" s="1184"/>
      <c r="TW1" s="1184"/>
      <c r="TX1" s="1184"/>
      <c r="TY1" s="1184"/>
      <c r="TZ1" s="269">
        <f>TQ1+1</f>
        <v>55</v>
      </c>
      <c r="UB1" s="1184" t="str">
        <f>TS1</f>
        <v>ENTRADA DEL MES DE NOVIEMBRE    2022</v>
      </c>
      <c r="UC1" s="1184"/>
      <c r="UD1" s="1184"/>
      <c r="UE1" s="1184"/>
      <c r="UF1" s="1184"/>
      <c r="UG1" s="1184"/>
      <c r="UH1" s="1184"/>
      <c r="UI1" s="269">
        <f>TZ1+1</f>
        <v>56</v>
      </c>
      <c r="UK1" s="1184" t="str">
        <f>UB1</f>
        <v>ENTRADA DEL MES DE NOVIEMBRE    2022</v>
      </c>
      <c r="UL1" s="1184"/>
      <c r="UM1" s="1184"/>
      <c r="UN1" s="1184"/>
      <c r="UO1" s="1184"/>
      <c r="UP1" s="1184"/>
      <c r="UQ1" s="1184"/>
      <c r="UR1" s="269">
        <f>UI1+1</f>
        <v>57</v>
      </c>
      <c r="UT1" s="1184" t="str">
        <f>UK1</f>
        <v>ENTRADA DEL MES DE NOVIEMBRE    2022</v>
      </c>
      <c r="UU1" s="1184"/>
      <c r="UV1" s="1184"/>
      <c r="UW1" s="1184"/>
      <c r="UX1" s="1184"/>
      <c r="UY1" s="1184"/>
      <c r="UZ1" s="1184"/>
      <c r="VA1" s="269">
        <f>UR1+1</f>
        <v>58</v>
      </c>
      <c r="VC1" s="1184" t="str">
        <f>UT1</f>
        <v>ENTRADA DEL MES DE NOVIEMBRE    2022</v>
      </c>
      <c r="VD1" s="1184"/>
      <c r="VE1" s="1184"/>
      <c r="VF1" s="1184"/>
      <c r="VG1" s="1184"/>
      <c r="VH1" s="1184"/>
      <c r="VI1" s="1184"/>
      <c r="VJ1" s="269">
        <f>VA1+1</f>
        <v>59</v>
      </c>
      <c r="VL1" s="1184" t="str">
        <f>VC1</f>
        <v>ENTRADA DEL MES DE NOVIEMBRE    2022</v>
      </c>
      <c r="VM1" s="1184"/>
      <c r="VN1" s="1184"/>
      <c r="VO1" s="1184"/>
      <c r="VP1" s="1184"/>
      <c r="VQ1" s="1184"/>
      <c r="VR1" s="1184"/>
      <c r="VS1" s="269">
        <f>VJ1+1</f>
        <v>60</v>
      </c>
      <c r="VU1" s="1184" t="str">
        <f>VL1</f>
        <v>ENTRADA DEL MES DE NOVIEMBRE    2022</v>
      </c>
      <c r="VV1" s="1184"/>
      <c r="VW1" s="1184"/>
      <c r="VX1" s="1184"/>
      <c r="VY1" s="1184"/>
      <c r="VZ1" s="1184"/>
      <c r="WA1" s="1184"/>
      <c r="WB1" s="269">
        <f>VS1+1</f>
        <v>61</v>
      </c>
      <c r="WD1" s="1184" t="str">
        <f>VU1</f>
        <v>ENTRADA DEL MES DE NOVIEMBRE    2022</v>
      </c>
      <c r="WE1" s="1184"/>
      <c r="WF1" s="1184"/>
      <c r="WG1" s="1184"/>
      <c r="WH1" s="1184"/>
      <c r="WI1" s="1184"/>
      <c r="WJ1" s="1184"/>
      <c r="WK1" s="269">
        <f>WB1+1</f>
        <v>62</v>
      </c>
      <c r="WM1" s="1184" t="str">
        <f>WD1</f>
        <v>ENTRADA DEL MES DE NOVIEMBRE    2022</v>
      </c>
      <c r="WN1" s="1184"/>
      <c r="WO1" s="1184"/>
      <c r="WP1" s="1184"/>
      <c r="WQ1" s="1184"/>
      <c r="WR1" s="1184"/>
      <c r="WS1" s="1184"/>
      <c r="WT1" s="269">
        <f>WK1+1</f>
        <v>63</v>
      </c>
      <c r="WV1" s="1184" t="str">
        <f>WM1</f>
        <v>ENTRADA DEL MES DE NOVIEMBRE    2022</v>
      </c>
      <c r="WW1" s="1184"/>
      <c r="WX1" s="1184"/>
      <c r="WY1" s="1184"/>
      <c r="WZ1" s="1184"/>
      <c r="XA1" s="1184"/>
      <c r="XB1" s="1184"/>
      <c r="XC1" s="269">
        <f>WT1+1</f>
        <v>64</v>
      </c>
      <c r="XE1" s="1184" t="str">
        <f>WV1</f>
        <v>ENTRADA DEL MES DE NOVIEMBRE    2022</v>
      </c>
      <c r="XF1" s="1184"/>
      <c r="XG1" s="1184"/>
      <c r="XH1" s="1184"/>
      <c r="XI1" s="1184"/>
      <c r="XJ1" s="1184"/>
      <c r="XK1" s="1184"/>
      <c r="XL1" s="269">
        <f>XC1+1</f>
        <v>65</v>
      </c>
      <c r="XN1" s="1184" t="str">
        <f>XE1</f>
        <v>ENTRADA DEL MES DE NOVIEMBRE    2022</v>
      </c>
      <c r="XO1" s="1184"/>
      <c r="XP1" s="1184"/>
      <c r="XQ1" s="1184"/>
      <c r="XR1" s="1184"/>
      <c r="XS1" s="1184"/>
      <c r="XT1" s="1184"/>
      <c r="XU1" s="269">
        <f>XL1+1</f>
        <v>66</v>
      </c>
      <c r="XW1" s="1184" t="str">
        <f>XN1</f>
        <v>ENTRADA DEL MES DE NOVIEMBRE    2022</v>
      </c>
      <c r="XX1" s="1184"/>
      <c r="XY1" s="1184"/>
      <c r="XZ1" s="1184"/>
      <c r="YA1" s="1184"/>
      <c r="YB1" s="1184"/>
      <c r="YC1" s="1184"/>
      <c r="YD1" s="269">
        <f>XU1+1</f>
        <v>67</v>
      </c>
      <c r="YF1" s="1184" t="str">
        <f>XW1</f>
        <v>ENTRADA DEL MES DE NOVIEMBRE    2022</v>
      </c>
      <c r="YG1" s="1184"/>
      <c r="YH1" s="1184"/>
      <c r="YI1" s="1184"/>
      <c r="YJ1" s="1184"/>
      <c r="YK1" s="1184"/>
      <c r="YL1" s="1184"/>
      <c r="YM1" s="269">
        <f>YD1+1</f>
        <v>68</v>
      </c>
      <c r="YO1" s="1184" t="str">
        <f>YF1</f>
        <v>ENTRADA DEL MES DE NOVIEMBRE    2022</v>
      </c>
      <c r="YP1" s="1184"/>
      <c r="YQ1" s="1184"/>
      <c r="YR1" s="1184"/>
      <c r="YS1" s="1184"/>
      <c r="YT1" s="1184"/>
      <c r="YU1" s="1184"/>
      <c r="YV1" s="269">
        <f>YM1+1</f>
        <v>69</v>
      </c>
      <c r="YX1" s="1184" t="str">
        <f>YO1</f>
        <v>ENTRADA DEL MES DE NOVIEMBRE    2022</v>
      </c>
      <c r="YY1" s="1184"/>
      <c r="YZ1" s="1184"/>
      <c r="ZA1" s="1184"/>
      <c r="ZB1" s="1184"/>
      <c r="ZC1" s="1184"/>
      <c r="ZD1" s="1184"/>
      <c r="ZE1" s="269">
        <f>YV1+1</f>
        <v>70</v>
      </c>
      <c r="ZG1" s="1184" t="str">
        <f>YX1</f>
        <v>ENTRADA DEL MES DE NOVIEMBRE    2022</v>
      </c>
      <c r="ZH1" s="1184"/>
      <c r="ZI1" s="1184"/>
      <c r="ZJ1" s="1184"/>
      <c r="ZK1" s="1184"/>
      <c r="ZL1" s="1184"/>
      <c r="ZM1" s="1184"/>
      <c r="ZN1" s="269">
        <f>ZE1+1</f>
        <v>71</v>
      </c>
      <c r="ZP1" s="1184" t="str">
        <f>ZG1</f>
        <v>ENTRADA DEL MES DE NOVIEMBRE    2022</v>
      </c>
      <c r="ZQ1" s="1184"/>
      <c r="ZR1" s="1184"/>
      <c r="ZS1" s="1184"/>
      <c r="ZT1" s="1184"/>
      <c r="ZU1" s="1184"/>
      <c r="ZV1" s="1184"/>
      <c r="ZW1" s="269">
        <f>ZN1+1</f>
        <v>72</v>
      </c>
      <c r="ZY1" s="1184" t="str">
        <f>ZP1</f>
        <v>ENTRADA DEL MES DE NOVIEMBRE    2022</v>
      </c>
      <c r="ZZ1" s="1184"/>
      <c r="AAA1" s="1184"/>
      <c r="AAB1" s="1184"/>
      <c r="AAC1" s="1184"/>
      <c r="AAD1" s="1184"/>
      <c r="AAE1" s="1184"/>
      <c r="AAF1" s="269">
        <f>ZW1+1</f>
        <v>73</v>
      </c>
      <c r="AAH1" s="1184" t="str">
        <f>ZY1</f>
        <v>ENTRADA DEL MES DE NOVIEMBRE    2022</v>
      </c>
      <c r="AAI1" s="1184"/>
      <c r="AAJ1" s="1184"/>
      <c r="AAK1" s="1184"/>
      <c r="AAL1" s="1184"/>
      <c r="AAM1" s="1184"/>
      <c r="AAN1" s="1184"/>
      <c r="AAO1" s="269">
        <f>AAF1+1</f>
        <v>74</v>
      </c>
      <c r="AAQ1" s="1184" t="str">
        <f>AAH1</f>
        <v>ENTRADA DEL MES DE NOVIEMBRE    2022</v>
      </c>
      <c r="AAR1" s="1184"/>
      <c r="AAS1" s="1184"/>
      <c r="AAT1" s="1184"/>
      <c r="AAU1" s="1184"/>
      <c r="AAV1" s="1184"/>
      <c r="AAW1" s="1184"/>
      <c r="AAX1" s="269">
        <f>AAO1+1</f>
        <v>75</v>
      </c>
      <c r="AAZ1" s="1184" t="str">
        <f>AAQ1</f>
        <v>ENTRADA DEL MES DE NOVIEMBRE    2022</v>
      </c>
      <c r="ABA1" s="1184"/>
      <c r="ABB1" s="1184"/>
      <c r="ABC1" s="1184"/>
      <c r="ABD1" s="1184"/>
      <c r="ABE1" s="1184"/>
      <c r="ABF1" s="1184"/>
      <c r="ABG1" s="269">
        <f>AAX1+1</f>
        <v>76</v>
      </c>
      <c r="ABI1" s="1184" t="str">
        <f>AAZ1</f>
        <v>ENTRADA DEL MES DE NOVIEMBRE    2022</v>
      </c>
      <c r="ABJ1" s="1184"/>
      <c r="ABK1" s="1184"/>
      <c r="ABL1" s="1184"/>
      <c r="ABM1" s="1184"/>
      <c r="ABN1" s="1184"/>
      <c r="ABO1" s="1184"/>
      <c r="ABP1" s="269">
        <f>ABG1+1</f>
        <v>77</v>
      </c>
      <c r="ABR1" s="1184" t="str">
        <f>ABI1</f>
        <v>ENTRADA DEL MES DE NOVIEMBRE    2022</v>
      </c>
      <c r="ABS1" s="1184"/>
      <c r="ABT1" s="1184"/>
      <c r="ABU1" s="1184"/>
      <c r="ABV1" s="1184"/>
      <c r="ABW1" s="1184"/>
      <c r="ABX1" s="1184"/>
      <c r="ABY1" s="269">
        <f>ABP1+1</f>
        <v>78</v>
      </c>
      <c r="ACA1" s="1184" t="str">
        <f>ABR1</f>
        <v>ENTRADA DEL MES DE NOVIEMBRE    2022</v>
      </c>
      <c r="ACB1" s="1184"/>
      <c r="ACC1" s="1184"/>
      <c r="ACD1" s="1184"/>
      <c r="ACE1" s="1184"/>
      <c r="ACF1" s="1184"/>
      <c r="ACG1" s="1184"/>
      <c r="ACH1" s="269">
        <f>ABY1+1</f>
        <v>79</v>
      </c>
      <c r="ACJ1" s="1184" t="str">
        <f>ACA1</f>
        <v>ENTRADA DEL MES DE NOVIEMBRE    2022</v>
      </c>
      <c r="ACK1" s="1184"/>
      <c r="ACL1" s="1184"/>
      <c r="ACM1" s="1184"/>
      <c r="ACN1" s="1184"/>
      <c r="ACO1" s="1184"/>
      <c r="ACP1" s="1184"/>
      <c r="ACQ1" s="269">
        <f>ACH1+1</f>
        <v>80</v>
      </c>
      <c r="ACS1" s="1184" t="str">
        <f>ACJ1</f>
        <v>ENTRADA DEL MES DE NOVIEMBRE    2022</v>
      </c>
      <c r="ACT1" s="1184"/>
      <c r="ACU1" s="1184"/>
      <c r="ACV1" s="1184"/>
      <c r="ACW1" s="1184"/>
      <c r="ACX1" s="1184"/>
      <c r="ACY1" s="1184"/>
      <c r="ACZ1" s="269">
        <f>ACQ1+1</f>
        <v>81</v>
      </c>
      <c r="ADB1" s="1184" t="str">
        <f>ACS1</f>
        <v>ENTRADA DEL MES DE NOVIEMBRE    2022</v>
      </c>
      <c r="ADC1" s="1184"/>
      <c r="ADD1" s="1184"/>
      <c r="ADE1" s="1184"/>
      <c r="ADF1" s="1184"/>
      <c r="ADG1" s="1184"/>
      <c r="ADH1" s="1184"/>
      <c r="ADI1" s="269">
        <f>ACZ1+1</f>
        <v>82</v>
      </c>
      <c r="ADK1" s="1184" t="str">
        <f>ADB1</f>
        <v>ENTRADA DEL MES DE NOVIEMBRE    2022</v>
      </c>
      <c r="ADL1" s="1184"/>
      <c r="ADM1" s="1184"/>
      <c r="ADN1" s="1184"/>
      <c r="ADO1" s="1184"/>
      <c r="ADP1" s="1184"/>
      <c r="ADQ1" s="1184"/>
      <c r="ADR1" s="269">
        <f>ADI1+1</f>
        <v>83</v>
      </c>
      <c r="ADT1" s="1184" t="str">
        <f>ADK1</f>
        <v>ENTRADA DEL MES DE NOVIEMBRE    2022</v>
      </c>
      <c r="ADU1" s="1184"/>
      <c r="ADV1" s="1184"/>
      <c r="ADW1" s="1184"/>
      <c r="ADX1" s="1184"/>
      <c r="ADY1" s="1184"/>
      <c r="ADZ1" s="1184"/>
      <c r="AEA1" s="269">
        <f>ADR1+1</f>
        <v>84</v>
      </c>
      <c r="AEC1" s="1184" t="str">
        <f>ADT1</f>
        <v>ENTRADA DEL MES DE NOVIEMBRE    2022</v>
      </c>
      <c r="AED1" s="1184"/>
      <c r="AEE1" s="1184"/>
      <c r="AEF1" s="1184"/>
      <c r="AEG1" s="1184"/>
      <c r="AEH1" s="1184"/>
      <c r="AEI1" s="1184"/>
      <c r="AEJ1" s="269">
        <f>AEA1+1</f>
        <v>85</v>
      </c>
      <c r="AEL1" s="1184" t="str">
        <f>AEC1</f>
        <v>ENTRADA DEL MES DE NOVIEMBRE    2022</v>
      </c>
      <c r="AEM1" s="1184"/>
      <c r="AEN1" s="1184"/>
      <c r="AEO1" s="1184"/>
      <c r="AEP1" s="1184"/>
      <c r="AEQ1" s="1184"/>
      <c r="AER1" s="1184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18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7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18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7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7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87" t="s">
        <v>340</v>
      </c>
      <c r="BJ5" s="947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86" t="s">
        <v>340</v>
      </c>
      <c r="BT5" s="949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6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87" t="s">
        <v>340</v>
      </c>
      <c r="CN5" s="958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18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6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89" t="s">
        <v>340</v>
      </c>
      <c r="DR5" s="949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7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7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18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17">
        <v>18567.68</v>
      </c>
      <c r="FB5" s="138">
        <f>EY5-FA5</f>
        <v>-58.340000000000146</v>
      </c>
      <c r="FC5" s="397"/>
      <c r="FE5" s="749" t="s">
        <v>340</v>
      </c>
      <c r="FF5" s="917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17">
        <v>19127.599999999999</v>
      </c>
      <c r="FL5" s="138">
        <f>FI5-FK5</f>
        <v>-46.829999999998108</v>
      </c>
      <c r="FM5" s="397"/>
      <c r="FO5" s="758" t="s">
        <v>340</v>
      </c>
      <c r="FP5" s="917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18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3" t="s">
        <v>340</v>
      </c>
      <c r="GJ5" s="917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87" t="s">
        <v>352</v>
      </c>
      <c r="GT5" s="918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86" t="s">
        <v>340</v>
      </c>
      <c r="HD5" s="917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7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17">
        <v>19103.3</v>
      </c>
      <c r="HT5" s="138">
        <f>HQ5-HS5</f>
        <v>-85</v>
      </c>
      <c r="HU5" s="397"/>
      <c r="HW5" s="1187" t="s">
        <v>455</v>
      </c>
      <c r="HX5" s="917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87" t="s">
        <v>340</v>
      </c>
      <c r="IH5" s="917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87" t="s">
        <v>340</v>
      </c>
      <c r="IR5" s="1047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18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89" t="s">
        <v>340</v>
      </c>
      <c r="JL5" s="1050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17">
        <v>18958.099999999999</v>
      </c>
      <c r="JR5" s="138">
        <f>JO5-JQ5</f>
        <v>-39.829999999998108</v>
      </c>
      <c r="JS5" s="397"/>
      <c r="JU5" s="742" t="s">
        <v>352</v>
      </c>
      <c r="JV5" s="918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88" t="s">
        <v>340</v>
      </c>
      <c r="KF5" s="917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7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87"/>
      <c r="BJ6" s="752"/>
      <c r="BK6" s="749"/>
      <c r="BL6" s="749"/>
      <c r="BM6" s="749"/>
      <c r="BN6" s="749"/>
      <c r="BO6" s="743"/>
      <c r="BQ6" s="244"/>
      <c r="BS6" s="1186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87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89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4"/>
      <c r="GJ6" s="855"/>
      <c r="GK6" s="749"/>
      <c r="GL6" s="749"/>
      <c r="GM6" s="749"/>
      <c r="GN6" s="749"/>
      <c r="GO6" s="743"/>
      <c r="GQ6" s="244"/>
      <c r="GS6" s="1187"/>
      <c r="GT6" s="759"/>
      <c r="GU6" s="749"/>
      <c r="GV6" s="749"/>
      <c r="GW6" s="749"/>
      <c r="GX6" s="749"/>
      <c r="GY6" s="743"/>
      <c r="HA6" s="244"/>
      <c r="HC6" s="1186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87"/>
      <c r="HX6" s="749"/>
      <c r="HY6" s="749"/>
      <c r="HZ6" s="749"/>
      <c r="IA6" s="749"/>
      <c r="IB6" s="749"/>
      <c r="IC6" s="743"/>
      <c r="IE6" s="244"/>
      <c r="IG6" s="1187"/>
      <c r="IH6" s="749"/>
      <c r="II6" s="749"/>
      <c r="IJ6" s="749"/>
      <c r="IK6" s="749"/>
      <c r="IL6" s="749"/>
      <c r="IM6" s="743"/>
      <c r="IO6" s="244"/>
      <c r="IQ6" s="1187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89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88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4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4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4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4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4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4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4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4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4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4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4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4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4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4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4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4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4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4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4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4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80" t="s">
        <v>21</v>
      </c>
      <c r="RU33" s="1181"/>
      <c r="RV33" s="141">
        <f>SUM(RW5-RV32)</f>
        <v>0</v>
      </c>
      <c r="SC33" s="1180" t="s">
        <v>21</v>
      </c>
      <c r="SD33" s="1181"/>
      <c r="SE33" s="141">
        <f>SUM(SF5-SE32)</f>
        <v>0</v>
      </c>
      <c r="SL33" s="1180" t="s">
        <v>21</v>
      </c>
      <c r="SM33" s="1181"/>
      <c r="SN33" s="217">
        <f>SUM(SO5-SN32)</f>
        <v>0</v>
      </c>
      <c r="SU33" s="1180" t="s">
        <v>21</v>
      </c>
      <c r="SV33" s="1181"/>
      <c r="SW33" s="141">
        <f>SUM(SX5-SW32)</f>
        <v>0</v>
      </c>
      <c r="TD33" s="1180" t="s">
        <v>21</v>
      </c>
      <c r="TE33" s="1181"/>
      <c r="TF33" s="141">
        <f>SUM(TG5-TF32)</f>
        <v>0</v>
      </c>
      <c r="TM33" s="1180" t="s">
        <v>21</v>
      </c>
      <c r="TN33" s="1181"/>
      <c r="TO33" s="141">
        <f>SUM(TP5-TO32)</f>
        <v>0</v>
      </c>
      <c r="TV33" s="1180" t="s">
        <v>21</v>
      </c>
      <c r="TW33" s="1181"/>
      <c r="TX33" s="141">
        <f>SUM(TY5-TX32)</f>
        <v>0</v>
      </c>
      <c r="UE33" s="1180" t="s">
        <v>21</v>
      </c>
      <c r="UF33" s="1181"/>
      <c r="UG33" s="141">
        <f>SUM(UH5-UG32)</f>
        <v>0</v>
      </c>
      <c r="UN33" s="1180" t="s">
        <v>21</v>
      </c>
      <c r="UO33" s="1181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80" t="s">
        <v>21</v>
      </c>
      <c r="VP33" s="1181"/>
      <c r="VQ33" s="141">
        <f>VR5-VQ32</f>
        <v>-22</v>
      </c>
      <c r="VX33" s="1180" t="s">
        <v>21</v>
      </c>
      <c r="VY33" s="1181"/>
      <c r="VZ33" s="141">
        <f>WA5-VZ32</f>
        <v>-22</v>
      </c>
      <c r="WG33" s="1180" t="s">
        <v>21</v>
      </c>
      <c r="WH33" s="1181"/>
      <c r="WI33" s="141">
        <f>WJ5-WI32</f>
        <v>-22</v>
      </c>
      <c r="WP33" s="1180" t="s">
        <v>21</v>
      </c>
      <c r="WQ33" s="1181"/>
      <c r="WR33" s="141">
        <f>WS5-WR32</f>
        <v>-22</v>
      </c>
      <c r="WY33" s="1180" t="s">
        <v>21</v>
      </c>
      <c r="WZ33" s="1181"/>
      <c r="XA33" s="141">
        <f>XB5-XA32</f>
        <v>-22</v>
      </c>
      <c r="XH33" s="1180" t="s">
        <v>21</v>
      </c>
      <c r="XI33" s="1181"/>
      <c r="XJ33" s="141">
        <f>XK5-XJ32</f>
        <v>-22</v>
      </c>
      <c r="XQ33" s="1180" t="s">
        <v>21</v>
      </c>
      <c r="XR33" s="1181"/>
      <c r="XS33" s="141">
        <f>XT5-XS32</f>
        <v>-22</v>
      </c>
      <c r="XZ33" s="1180" t="s">
        <v>21</v>
      </c>
      <c r="YA33" s="1181"/>
      <c r="YB33" s="141">
        <f>YC5-YB32</f>
        <v>-22</v>
      </c>
      <c r="YI33" s="1180" t="s">
        <v>21</v>
      </c>
      <c r="YJ33" s="1181"/>
      <c r="YK33" s="141">
        <f>YL5-YK32</f>
        <v>-22</v>
      </c>
      <c r="YR33" s="1180" t="s">
        <v>21</v>
      </c>
      <c r="YS33" s="1181"/>
      <c r="YT33" s="141">
        <f>YU5-YT32</f>
        <v>-22</v>
      </c>
      <c r="ZA33" s="1180" t="s">
        <v>21</v>
      </c>
      <c r="ZB33" s="1181"/>
      <c r="ZC33" s="141">
        <f>ZD5-ZC32</f>
        <v>-22</v>
      </c>
      <c r="ZJ33" s="1180" t="s">
        <v>21</v>
      </c>
      <c r="ZK33" s="1181"/>
      <c r="ZL33" s="141">
        <f>ZM5-ZL32</f>
        <v>-22</v>
      </c>
      <c r="ZS33" s="1180" t="s">
        <v>21</v>
      </c>
      <c r="ZT33" s="1181"/>
      <c r="ZU33" s="141">
        <f>ZV5-ZU32</f>
        <v>-22</v>
      </c>
      <c r="AAB33" s="1180" t="s">
        <v>21</v>
      </c>
      <c r="AAC33" s="1181"/>
      <c r="AAD33" s="141">
        <f>AAE5-AAD32</f>
        <v>-22</v>
      </c>
      <c r="AAK33" s="1180" t="s">
        <v>21</v>
      </c>
      <c r="AAL33" s="1181"/>
      <c r="AAM33" s="141">
        <f>AAN5-AAM32</f>
        <v>-22</v>
      </c>
      <c r="AAT33" s="1180" t="s">
        <v>21</v>
      </c>
      <c r="AAU33" s="1181"/>
      <c r="AAV33" s="141">
        <f>AAV32-AAT32</f>
        <v>22</v>
      </c>
      <c r="ABC33" s="1180" t="s">
        <v>21</v>
      </c>
      <c r="ABD33" s="1181"/>
      <c r="ABE33" s="141">
        <f>ABF5-ABE32</f>
        <v>-22</v>
      </c>
      <c r="ABL33" s="1180" t="s">
        <v>21</v>
      </c>
      <c r="ABM33" s="1181"/>
      <c r="ABN33" s="141">
        <f>ABO5-ABN32</f>
        <v>-22</v>
      </c>
      <c r="ABU33" s="1180" t="s">
        <v>21</v>
      </c>
      <c r="ABV33" s="1181"/>
      <c r="ABW33" s="141">
        <f>ABX5-ABW32</f>
        <v>-22</v>
      </c>
      <c r="ACD33" s="1180" t="s">
        <v>21</v>
      </c>
      <c r="ACE33" s="1181"/>
      <c r="ACF33" s="141">
        <f>ACG5-ACF32</f>
        <v>-22</v>
      </c>
      <c r="ACM33" s="1180" t="s">
        <v>21</v>
      </c>
      <c r="ACN33" s="1181"/>
      <c r="ACO33" s="141">
        <f>ACP5-ACO32</f>
        <v>-22</v>
      </c>
      <c r="ACV33" s="1180" t="s">
        <v>21</v>
      </c>
      <c r="ACW33" s="1181"/>
      <c r="ACX33" s="141">
        <f>ACY5-ACX32</f>
        <v>-22</v>
      </c>
      <c r="ADE33" s="1180" t="s">
        <v>21</v>
      </c>
      <c r="ADF33" s="1181"/>
      <c r="ADG33" s="141">
        <f>ADH5-ADG32</f>
        <v>-22</v>
      </c>
      <c r="ADN33" s="1180" t="s">
        <v>21</v>
      </c>
      <c r="ADO33" s="1181"/>
      <c r="ADP33" s="141">
        <f>ADQ5-ADP32</f>
        <v>-22</v>
      </c>
      <c r="ADW33" s="1180" t="s">
        <v>21</v>
      </c>
      <c r="ADX33" s="1181"/>
      <c r="ADY33" s="141">
        <f>ADZ5-ADY32</f>
        <v>-22</v>
      </c>
      <c r="AEF33" s="1180" t="s">
        <v>21</v>
      </c>
      <c r="AEG33" s="1181"/>
      <c r="AEH33" s="141">
        <f>AEI5-AEH32</f>
        <v>-22</v>
      </c>
      <c r="AEO33" s="1180" t="s">
        <v>21</v>
      </c>
      <c r="AEP33" s="118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82" t="s">
        <v>4</v>
      </c>
      <c r="RU34" s="1183"/>
      <c r="RV34" s="49"/>
      <c r="SC34" s="1182" t="s">
        <v>4</v>
      </c>
      <c r="SD34" s="1183"/>
      <c r="SE34" s="49"/>
      <c r="SL34" s="1182" t="s">
        <v>4</v>
      </c>
      <c r="SM34" s="1183"/>
      <c r="SN34" s="49"/>
      <c r="SU34" s="1182" t="s">
        <v>4</v>
      </c>
      <c r="SV34" s="1183"/>
      <c r="SW34" s="49"/>
      <c r="TD34" s="1182" t="s">
        <v>4</v>
      </c>
      <c r="TE34" s="1183"/>
      <c r="TF34" s="49"/>
      <c r="TM34" s="1182" t="s">
        <v>4</v>
      </c>
      <c r="TN34" s="1183"/>
      <c r="TO34" s="49"/>
      <c r="TV34" s="1182" t="s">
        <v>4</v>
      </c>
      <c r="TW34" s="1183"/>
      <c r="TX34" s="49"/>
      <c r="UE34" s="1182" t="s">
        <v>4</v>
      </c>
      <c r="UF34" s="1183"/>
      <c r="UG34" s="49"/>
      <c r="UN34" s="1182" t="s">
        <v>4</v>
      </c>
      <c r="UO34" s="1183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82" t="s">
        <v>4</v>
      </c>
      <c r="VP34" s="1183"/>
      <c r="VQ34" s="49"/>
      <c r="VX34" s="1182" t="s">
        <v>4</v>
      </c>
      <c r="VY34" s="1183"/>
      <c r="VZ34" s="49"/>
      <c r="WG34" s="1182" t="s">
        <v>4</v>
      </c>
      <c r="WH34" s="1183"/>
      <c r="WI34" s="49"/>
      <c r="WP34" s="1182" t="s">
        <v>4</v>
      </c>
      <c r="WQ34" s="1183"/>
      <c r="WR34" s="49"/>
      <c r="WY34" s="1182" t="s">
        <v>4</v>
      </c>
      <c r="WZ34" s="1183"/>
      <c r="XA34" s="49"/>
      <c r="XH34" s="1182" t="s">
        <v>4</v>
      </c>
      <c r="XI34" s="1183"/>
      <c r="XJ34" s="49"/>
      <c r="XQ34" s="1182" t="s">
        <v>4</v>
      </c>
      <c r="XR34" s="1183"/>
      <c r="XS34" s="49"/>
      <c r="XZ34" s="1182" t="s">
        <v>4</v>
      </c>
      <c r="YA34" s="1183"/>
      <c r="YB34" s="49"/>
      <c r="YI34" s="1182" t="s">
        <v>4</v>
      </c>
      <c r="YJ34" s="1183"/>
      <c r="YK34" s="49"/>
      <c r="YR34" s="1182" t="s">
        <v>4</v>
      </c>
      <c r="YS34" s="1183"/>
      <c r="YT34" s="49"/>
      <c r="ZA34" s="1182" t="s">
        <v>4</v>
      </c>
      <c r="ZB34" s="1183"/>
      <c r="ZC34" s="49"/>
      <c r="ZJ34" s="1182" t="s">
        <v>4</v>
      </c>
      <c r="ZK34" s="1183"/>
      <c r="ZL34" s="49"/>
      <c r="ZS34" s="1182" t="s">
        <v>4</v>
      </c>
      <c r="ZT34" s="1183"/>
      <c r="ZU34" s="49"/>
      <c r="AAB34" s="1182" t="s">
        <v>4</v>
      </c>
      <c r="AAC34" s="1183"/>
      <c r="AAD34" s="49"/>
      <c r="AAK34" s="1182" t="s">
        <v>4</v>
      </c>
      <c r="AAL34" s="1183"/>
      <c r="AAM34" s="49"/>
      <c r="AAT34" s="1182" t="s">
        <v>4</v>
      </c>
      <c r="AAU34" s="1183"/>
      <c r="AAV34" s="49"/>
      <c r="ABC34" s="1182" t="s">
        <v>4</v>
      </c>
      <c r="ABD34" s="1183"/>
      <c r="ABE34" s="49"/>
      <c r="ABL34" s="1182" t="s">
        <v>4</v>
      </c>
      <c r="ABM34" s="1183"/>
      <c r="ABN34" s="49"/>
      <c r="ABU34" s="1182" t="s">
        <v>4</v>
      </c>
      <c r="ABV34" s="1183"/>
      <c r="ABW34" s="49"/>
      <c r="ACD34" s="1182" t="s">
        <v>4</v>
      </c>
      <c r="ACE34" s="1183"/>
      <c r="ACF34" s="49"/>
      <c r="ACM34" s="1182" t="s">
        <v>4</v>
      </c>
      <c r="ACN34" s="1183"/>
      <c r="ACO34" s="49"/>
      <c r="ACV34" s="1182" t="s">
        <v>4</v>
      </c>
      <c r="ACW34" s="1183"/>
      <c r="ACX34" s="49"/>
      <c r="ADE34" s="1182" t="s">
        <v>4</v>
      </c>
      <c r="ADF34" s="1183"/>
      <c r="ADG34" s="49"/>
      <c r="ADN34" s="1182" t="s">
        <v>4</v>
      </c>
      <c r="ADO34" s="1183"/>
      <c r="ADP34" s="49"/>
      <c r="ADW34" s="1182" t="s">
        <v>4</v>
      </c>
      <c r="ADX34" s="1183"/>
      <c r="ADY34" s="49"/>
      <c r="AEF34" s="1182" t="s">
        <v>4</v>
      </c>
      <c r="AEG34" s="1183"/>
      <c r="AEH34" s="49"/>
      <c r="AEO34" s="1182" t="s">
        <v>4</v>
      </c>
      <c r="AEP34" s="118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/>
      <c r="B1" s="1184"/>
      <c r="C1" s="1184"/>
      <c r="D1" s="1184"/>
      <c r="E1" s="1184"/>
      <c r="F1" s="1184"/>
      <c r="G1" s="118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4"/>
      <c r="B5" s="1215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4"/>
      <c r="B6" s="1215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0" t="s">
        <v>21</v>
      </c>
      <c r="E29" s="1181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0" t="s">
        <v>21</v>
      </c>
      <c r="E32" s="1181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1" t="s">
        <v>327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04" t="s">
        <v>98</v>
      </c>
      <c r="B5" s="1206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04"/>
      <c r="B6" s="1206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5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1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3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7">
        <v>31.74</v>
      </c>
      <c r="E19" s="899">
        <v>44870</v>
      </c>
      <c r="F19" s="900">
        <f t="shared" si="0"/>
        <v>31.74</v>
      </c>
      <c r="G19" s="889" t="s">
        <v>535</v>
      </c>
      <c r="H19" s="890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7">
        <v>31.36</v>
      </c>
      <c r="E20" s="899">
        <v>44877</v>
      </c>
      <c r="F20" s="900">
        <f t="shared" si="0"/>
        <v>31.36</v>
      </c>
      <c r="G20" s="889" t="s">
        <v>582</v>
      </c>
      <c r="H20" s="890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7">
        <v>26.53</v>
      </c>
      <c r="E21" s="899">
        <v>44881</v>
      </c>
      <c r="F21" s="900">
        <f t="shared" si="0"/>
        <v>26.53</v>
      </c>
      <c r="G21" s="889" t="s">
        <v>610</v>
      </c>
      <c r="H21" s="890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7">
        <v>0</v>
      </c>
      <c r="E22" s="899"/>
      <c r="F22" s="900">
        <f t="shared" si="0"/>
        <v>0</v>
      </c>
      <c r="G22" s="889"/>
      <c r="H22" s="890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7">
        <v>0</v>
      </c>
      <c r="E23" s="899"/>
      <c r="F23" s="900">
        <f t="shared" si="0"/>
        <v>0</v>
      </c>
      <c r="G23" s="889"/>
      <c r="H23" s="890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7">
        <v>0</v>
      </c>
      <c r="E24" s="899"/>
      <c r="F24" s="900">
        <f t="shared" si="0"/>
        <v>0</v>
      </c>
      <c r="G24" s="889"/>
      <c r="H24" s="890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7">
        <v>0</v>
      </c>
      <c r="E25" s="899"/>
      <c r="F25" s="900">
        <f t="shared" si="0"/>
        <v>0</v>
      </c>
      <c r="G25" s="889"/>
      <c r="H25" s="890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0" t="s">
        <v>21</v>
      </c>
      <c r="E29" s="1181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99"/>
      <c r="B6" s="1216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99"/>
      <c r="B7" s="1217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0" t="s">
        <v>21</v>
      </c>
      <c r="E30" s="1181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21" t="s">
        <v>328</v>
      </c>
      <c r="B1" s="1221"/>
      <c r="C1" s="1221"/>
      <c r="D1" s="1221"/>
      <c r="E1" s="1221"/>
      <c r="F1" s="1221"/>
      <c r="G1" s="1221"/>
      <c r="H1" s="1221"/>
      <c r="I1" s="1221"/>
      <c r="J1" s="1221"/>
      <c r="K1" s="481">
        <v>1</v>
      </c>
      <c r="M1" s="1221" t="str">
        <f>A1</f>
        <v>INVENTARIO   DEL MES DE    OCRUBRE   2022</v>
      </c>
      <c r="N1" s="1221"/>
      <c r="O1" s="1221"/>
      <c r="P1" s="1221"/>
      <c r="Q1" s="1221"/>
      <c r="R1" s="1221"/>
      <c r="S1" s="1221"/>
      <c r="T1" s="1221"/>
      <c r="U1" s="1221"/>
      <c r="V1" s="1221"/>
      <c r="W1" s="481">
        <v>2</v>
      </c>
      <c r="Y1" s="1218" t="s">
        <v>343</v>
      </c>
      <c r="Z1" s="1218"/>
      <c r="AA1" s="1218"/>
      <c r="AB1" s="1218"/>
      <c r="AC1" s="1218"/>
      <c r="AD1" s="1218"/>
      <c r="AE1" s="1218"/>
      <c r="AF1" s="1218"/>
      <c r="AG1" s="1218"/>
      <c r="AH1" s="1218"/>
      <c r="AI1" s="481">
        <v>3</v>
      </c>
      <c r="AK1" s="1218" t="s">
        <v>343</v>
      </c>
      <c r="AL1" s="1218"/>
      <c r="AM1" s="1218"/>
      <c r="AN1" s="1218"/>
      <c r="AO1" s="1218"/>
      <c r="AP1" s="1218"/>
      <c r="AQ1" s="1218"/>
      <c r="AR1" s="1218"/>
      <c r="AS1" s="1218"/>
      <c r="AT1" s="1218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19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19" t="s">
        <v>211</v>
      </c>
      <c r="N5" s="73" t="s">
        <v>48</v>
      </c>
      <c r="O5" s="552">
        <v>85</v>
      </c>
      <c r="P5" s="135">
        <v>44842</v>
      </c>
      <c r="Q5" s="873">
        <v>5012.16</v>
      </c>
      <c r="R5" s="879">
        <v>184</v>
      </c>
      <c r="S5" s="47">
        <f>R115</f>
        <v>5200.329999999999</v>
      </c>
      <c r="T5" s="154">
        <f>Q5+Q6-S5+Q4</f>
        <v>8.2422957348171622E-13</v>
      </c>
      <c r="Y5" s="1219" t="s">
        <v>211</v>
      </c>
      <c r="Z5" s="73" t="s">
        <v>48</v>
      </c>
      <c r="AA5" s="939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19" t="s">
        <v>98</v>
      </c>
      <c r="AL5" s="73" t="s">
        <v>48</v>
      </c>
      <c r="AM5" s="939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20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20"/>
      <c r="N6" s="688" t="s">
        <v>149</v>
      </c>
      <c r="O6" s="156"/>
      <c r="P6" s="135"/>
      <c r="Q6" s="78"/>
      <c r="R6" s="62"/>
      <c r="Y6" s="1220"/>
      <c r="Z6" s="688" t="s">
        <v>149</v>
      </c>
      <c r="AA6" s="940"/>
      <c r="AB6" s="748"/>
      <c r="AC6" s="904"/>
      <c r="AD6" s="941"/>
      <c r="AK6" s="1220"/>
      <c r="AL6" s="688" t="s">
        <v>149</v>
      </c>
      <c r="AM6" s="940"/>
      <c r="AN6" s="748"/>
      <c r="AO6" s="904"/>
      <c r="AP6" s="941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4" t="s">
        <v>59</v>
      </c>
      <c r="V8" s="844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4" t="s">
        <v>59</v>
      </c>
      <c r="AH8" s="914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4" t="s">
        <v>59</v>
      </c>
      <c r="AT8" s="914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3">
        <f>I9-F10-2.52</f>
        <v>16629.049999999996</v>
      </c>
      <c r="J10" s="882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10">
        <v>600.15</v>
      </c>
      <c r="S21" s="1111"/>
      <c r="T21" s="1112"/>
      <c r="U21" s="1119">
        <f t="shared" si="12"/>
        <v>0</v>
      </c>
      <c r="V21" s="1120">
        <f t="shared" si="23"/>
        <v>0</v>
      </c>
      <c r="W21" s="1121">
        <f t="shared" si="5"/>
        <v>0</v>
      </c>
      <c r="Z21">
        <v>27.22</v>
      </c>
      <c r="AA21" s="15"/>
      <c r="AB21" s="297">
        <f t="shared" si="14"/>
        <v>0</v>
      </c>
      <c r="AC21" s="245"/>
      <c r="AD21" s="1110">
        <v>4.99</v>
      </c>
      <c r="AE21" s="1111"/>
      <c r="AF21" s="1112"/>
      <c r="AG21" s="1119">
        <f t="shared" si="16"/>
        <v>5.773159728050814E-13</v>
      </c>
      <c r="AH21" s="1120">
        <f t="shared" si="24"/>
        <v>0</v>
      </c>
      <c r="AI21" s="1121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10">
        <f t="shared" si="27"/>
        <v>0</v>
      </c>
      <c r="S22" s="1111"/>
      <c r="T22" s="1112"/>
      <c r="U22" s="1119">
        <f t="shared" si="12"/>
        <v>0</v>
      </c>
      <c r="V22" s="1120">
        <f t="shared" si="23"/>
        <v>0</v>
      </c>
      <c r="W22" s="1121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10">
        <f t="shared" si="15"/>
        <v>0</v>
      </c>
      <c r="AE22" s="1111"/>
      <c r="AF22" s="1112"/>
      <c r="AG22" s="1119">
        <f t="shared" si="16"/>
        <v>5.773159728050814E-13</v>
      </c>
      <c r="AH22" s="1120">
        <f t="shared" si="24"/>
        <v>0</v>
      </c>
      <c r="AI22" s="1121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10">
        <f t="shared" si="27"/>
        <v>0</v>
      </c>
      <c r="S23" s="1111"/>
      <c r="T23" s="1112"/>
      <c r="U23" s="1119">
        <f t="shared" si="12"/>
        <v>0</v>
      </c>
      <c r="V23" s="1120">
        <f t="shared" si="23"/>
        <v>0</v>
      </c>
      <c r="W23" s="1121">
        <f t="shared" si="5"/>
        <v>0</v>
      </c>
      <c r="Z23">
        <v>27.22</v>
      </c>
      <c r="AA23" s="15"/>
      <c r="AB23" s="297">
        <f t="shared" si="14"/>
        <v>0</v>
      </c>
      <c r="AC23" s="245"/>
      <c r="AD23" s="1110">
        <f t="shared" si="15"/>
        <v>0</v>
      </c>
      <c r="AE23" s="1111"/>
      <c r="AF23" s="1112"/>
      <c r="AG23" s="1119">
        <f t="shared" si="16"/>
        <v>5.773159728050814E-13</v>
      </c>
      <c r="AH23" s="1120">
        <f t="shared" si="24"/>
        <v>0</v>
      </c>
      <c r="AI23" s="1121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10">
        <f t="shared" si="27"/>
        <v>0</v>
      </c>
      <c r="S24" s="1111"/>
      <c r="T24" s="1112"/>
      <c r="U24" s="1119">
        <f t="shared" si="12"/>
        <v>0</v>
      </c>
      <c r="V24" s="1120">
        <f t="shared" si="23"/>
        <v>0</v>
      </c>
      <c r="W24" s="1121">
        <f t="shared" si="5"/>
        <v>0</v>
      </c>
      <c r="Z24">
        <v>27.22</v>
      </c>
      <c r="AA24" s="15"/>
      <c r="AB24" s="297">
        <f t="shared" si="14"/>
        <v>0</v>
      </c>
      <c r="AC24" s="245"/>
      <c r="AD24" s="1110">
        <f t="shared" si="15"/>
        <v>0</v>
      </c>
      <c r="AE24" s="1111"/>
      <c r="AF24" s="1112"/>
      <c r="AG24" s="1119">
        <f t="shared" si="16"/>
        <v>5.773159728050814E-13</v>
      </c>
      <c r="AH24" s="1120">
        <f t="shared" si="24"/>
        <v>0</v>
      </c>
      <c r="AI24" s="1121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10">
        <f t="shared" si="27"/>
        <v>0</v>
      </c>
      <c r="S25" s="1111"/>
      <c r="T25" s="1112"/>
      <c r="U25" s="1119">
        <f t="shared" si="12"/>
        <v>0</v>
      </c>
      <c r="V25" s="1120">
        <f t="shared" si="23"/>
        <v>0</v>
      </c>
      <c r="W25" s="1121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3">
        <f t="shared" si="10"/>
        <v>2637.9699999999939</v>
      </c>
      <c r="J42" s="882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7">
        <f t="shared" si="8"/>
        <v>108.88</v>
      </c>
      <c r="E43" s="902">
        <v>44865</v>
      </c>
      <c r="F43" s="887">
        <f t="shared" si="9"/>
        <v>108.88</v>
      </c>
      <c r="G43" s="889" t="s">
        <v>501</v>
      </c>
      <c r="H43" s="890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7">
        <f t="shared" si="8"/>
        <v>54.44</v>
      </c>
      <c r="E44" s="902">
        <v>44865</v>
      </c>
      <c r="F44" s="887">
        <f t="shared" si="9"/>
        <v>54.44</v>
      </c>
      <c r="G44" s="889" t="s">
        <v>507</v>
      </c>
      <c r="H44" s="890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7">
        <f t="shared" si="8"/>
        <v>653.28</v>
      </c>
      <c r="E45" s="902">
        <v>44867</v>
      </c>
      <c r="F45" s="887">
        <f t="shared" si="9"/>
        <v>653.28</v>
      </c>
      <c r="G45" s="889" t="s">
        <v>514</v>
      </c>
      <c r="H45" s="890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7">
        <f t="shared" si="8"/>
        <v>979.92</v>
      </c>
      <c r="E46" s="902">
        <v>44867</v>
      </c>
      <c r="F46" s="887">
        <f t="shared" si="9"/>
        <v>979.92</v>
      </c>
      <c r="G46" s="889" t="s">
        <v>517</v>
      </c>
      <c r="H46" s="890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7">
        <f t="shared" si="8"/>
        <v>653.28</v>
      </c>
      <c r="E47" s="902">
        <v>44869</v>
      </c>
      <c r="F47" s="887">
        <f t="shared" si="9"/>
        <v>653.28</v>
      </c>
      <c r="G47" s="889" t="s">
        <v>527</v>
      </c>
      <c r="H47" s="890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7">
        <f t="shared" si="8"/>
        <v>0</v>
      </c>
      <c r="E48" s="902"/>
      <c r="F48" s="887">
        <f t="shared" si="9"/>
        <v>0</v>
      </c>
      <c r="G48" s="889"/>
      <c r="H48" s="890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7">
        <f t="shared" si="8"/>
        <v>0</v>
      </c>
      <c r="E49" s="902"/>
      <c r="F49" s="887">
        <f t="shared" si="9"/>
        <v>0</v>
      </c>
      <c r="G49" s="889"/>
      <c r="H49" s="890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7">
        <f t="shared" si="8"/>
        <v>0</v>
      </c>
      <c r="E50" s="902"/>
      <c r="F50" s="1095">
        <f t="shared" si="9"/>
        <v>0</v>
      </c>
      <c r="G50" s="1096"/>
      <c r="H50" s="1097"/>
      <c r="I50" s="1119">
        <f t="shared" si="10"/>
        <v>188.16999999999382</v>
      </c>
      <c r="J50" s="1120">
        <f t="shared" si="22"/>
        <v>7</v>
      </c>
      <c r="K50" s="1121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7">
        <v>0</v>
      </c>
      <c r="E51" s="902"/>
      <c r="F51" s="1095">
        <v>188.17</v>
      </c>
      <c r="G51" s="1096"/>
      <c r="H51" s="1097"/>
      <c r="I51" s="1119">
        <f t="shared" si="10"/>
        <v>-6.1675109463976696E-12</v>
      </c>
      <c r="J51" s="1120">
        <f t="shared" si="22"/>
        <v>0</v>
      </c>
      <c r="K51" s="1121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7">
        <f t="shared" si="8"/>
        <v>0</v>
      </c>
      <c r="E52" s="902"/>
      <c r="F52" s="1095">
        <f t="shared" si="9"/>
        <v>0</v>
      </c>
      <c r="G52" s="1096"/>
      <c r="H52" s="1097"/>
      <c r="I52" s="1119">
        <f t="shared" si="10"/>
        <v>-6.1675109463976696E-12</v>
      </c>
      <c r="J52" s="1120">
        <f t="shared" si="22"/>
        <v>0</v>
      </c>
      <c r="K52" s="1121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7">
        <f t="shared" si="8"/>
        <v>0</v>
      </c>
      <c r="E53" s="902"/>
      <c r="F53" s="1095">
        <f t="shared" si="9"/>
        <v>0</v>
      </c>
      <c r="G53" s="1096"/>
      <c r="H53" s="1097"/>
      <c r="I53" s="1119">
        <f t="shared" si="10"/>
        <v>-6.1675109463976696E-12</v>
      </c>
      <c r="J53" s="1120">
        <f t="shared" si="22"/>
        <v>0</v>
      </c>
      <c r="K53" s="1121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7">
        <f t="shared" si="8"/>
        <v>0</v>
      </c>
      <c r="E54" s="902"/>
      <c r="F54" s="887">
        <f t="shared" si="9"/>
        <v>0</v>
      </c>
      <c r="G54" s="889"/>
      <c r="H54" s="890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7">
        <f t="shared" si="8"/>
        <v>0</v>
      </c>
      <c r="E55" s="902"/>
      <c r="F55" s="887">
        <f t="shared" si="9"/>
        <v>0</v>
      </c>
      <c r="G55" s="889"/>
      <c r="H55" s="890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7">
        <f t="shared" si="8"/>
        <v>0</v>
      </c>
      <c r="E56" s="902"/>
      <c r="F56" s="887">
        <f t="shared" si="9"/>
        <v>0</v>
      </c>
      <c r="G56" s="889"/>
      <c r="H56" s="890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7">
        <f t="shared" si="8"/>
        <v>0</v>
      </c>
      <c r="E57" s="902"/>
      <c r="F57" s="887">
        <f t="shared" si="9"/>
        <v>0</v>
      </c>
      <c r="G57" s="889"/>
      <c r="H57" s="890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7">
        <f t="shared" si="8"/>
        <v>0</v>
      </c>
      <c r="E58" s="902"/>
      <c r="F58" s="887">
        <f t="shared" si="9"/>
        <v>0</v>
      </c>
      <c r="G58" s="889"/>
      <c r="H58" s="890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7">
        <f t="shared" si="8"/>
        <v>0</v>
      </c>
      <c r="E59" s="902"/>
      <c r="F59" s="887">
        <f t="shared" si="9"/>
        <v>0</v>
      </c>
      <c r="G59" s="889"/>
      <c r="H59" s="890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7">
        <f t="shared" si="8"/>
        <v>0</v>
      </c>
      <c r="E60" s="902"/>
      <c r="F60" s="887">
        <f t="shared" si="9"/>
        <v>0</v>
      </c>
      <c r="G60" s="889"/>
      <c r="H60" s="890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7">
        <f t="shared" si="8"/>
        <v>0</v>
      </c>
      <c r="E61" s="902"/>
      <c r="F61" s="887">
        <f t="shared" si="9"/>
        <v>0</v>
      </c>
      <c r="G61" s="889"/>
      <c r="H61" s="890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7">
        <f t="shared" si="8"/>
        <v>0</v>
      </c>
      <c r="E62" s="902"/>
      <c r="F62" s="887">
        <f t="shared" si="9"/>
        <v>0</v>
      </c>
      <c r="G62" s="889"/>
      <c r="H62" s="890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7">
        <f t="shared" si="8"/>
        <v>0</v>
      </c>
      <c r="E63" s="902"/>
      <c r="F63" s="887">
        <f t="shared" si="9"/>
        <v>0</v>
      </c>
      <c r="G63" s="889"/>
      <c r="H63" s="890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7">
        <f t="shared" si="8"/>
        <v>0</v>
      </c>
      <c r="E64" s="902"/>
      <c r="F64" s="887">
        <f t="shared" si="9"/>
        <v>0</v>
      </c>
      <c r="G64" s="889"/>
      <c r="H64" s="890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7">
        <f t="shared" si="8"/>
        <v>0</v>
      </c>
      <c r="E65" s="902"/>
      <c r="F65" s="887">
        <f t="shared" si="9"/>
        <v>0</v>
      </c>
      <c r="G65" s="889"/>
      <c r="H65" s="890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7">
        <f t="shared" si="8"/>
        <v>0</v>
      </c>
      <c r="E66" s="902"/>
      <c r="F66" s="887">
        <f t="shared" si="9"/>
        <v>0</v>
      </c>
      <c r="G66" s="889"/>
      <c r="H66" s="890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7">
        <f t="shared" si="8"/>
        <v>0</v>
      </c>
      <c r="E67" s="902"/>
      <c r="F67" s="887">
        <f t="shared" si="9"/>
        <v>0</v>
      </c>
      <c r="G67" s="889"/>
      <c r="H67" s="890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7">
        <f t="shared" si="8"/>
        <v>0</v>
      </c>
      <c r="E68" s="902"/>
      <c r="F68" s="887">
        <f t="shared" si="9"/>
        <v>0</v>
      </c>
      <c r="G68" s="889"/>
      <c r="H68" s="890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7">
        <f t="shared" si="8"/>
        <v>0</v>
      </c>
      <c r="E69" s="902"/>
      <c r="F69" s="887">
        <f t="shared" si="9"/>
        <v>0</v>
      </c>
      <c r="G69" s="889"/>
      <c r="H69" s="890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7">
        <f t="shared" si="8"/>
        <v>0</v>
      </c>
      <c r="E70" s="902"/>
      <c r="F70" s="887">
        <f t="shared" si="9"/>
        <v>0</v>
      </c>
      <c r="G70" s="889"/>
      <c r="H70" s="890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7">
        <f t="shared" si="8"/>
        <v>0</v>
      </c>
      <c r="E71" s="902"/>
      <c r="F71" s="887">
        <f t="shared" si="9"/>
        <v>0</v>
      </c>
      <c r="G71" s="889"/>
      <c r="H71" s="890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7">
        <f t="shared" si="8"/>
        <v>0</v>
      </c>
      <c r="E72" s="902"/>
      <c r="F72" s="887">
        <f t="shared" si="9"/>
        <v>0</v>
      </c>
      <c r="G72" s="889"/>
      <c r="H72" s="890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7">
        <f t="shared" ref="D73:D114" si="28">C73*B73</f>
        <v>0</v>
      </c>
      <c r="E73" s="902"/>
      <c r="F73" s="887">
        <f t="shared" ref="F73:F114" si="29">D73</f>
        <v>0</v>
      </c>
      <c r="G73" s="889"/>
      <c r="H73" s="890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7">
        <f t="shared" si="28"/>
        <v>0</v>
      </c>
      <c r="E74" s="902"/>
      <c r="F74" s="887">
        <f t="shared" si="29"/>
        <v>0</v>
      </c>
      <c r="G74" s="889"/>
      <c r="H74" s="890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7">
        <f t="shared" si="28"/>
        <v>0</v>
      </c>
      <c r="E75" s="902"/>
      <c r="F75" s="887">
        <f t="shared" si="29"/>
        <v>0</v>
      </c>
      <c r="G75" s="889"/>
      <c r="H75" s="890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7">
        <f t="shared" si="28"/>
        <v>0</v>
      </c>
      <c r="E76" s="902"/>
      <c r="F76" s="887">
        <f t="shared" si="29"/>
        <v>0</v>
      </c>
      <c r="G76" s="889"/>
      <c r="H76" s="890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7">
        <f t="shared" si="28"/>
        <v>0</v>
      </c>
      <c r="E77" s="902"/>
      <c r="F77" s="887">
        <f t="shared" si="29"/>
        <v>0</v>
      </c>
      <c r="G77" s="889"/>
      <c r="H77" s="890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7">
        <f t="shared" si="28"/>
        <v>0</v>
      </c>
      <c r="E78" s="902"/>
      <c r="F78" s="887">
        <f t="shared" si="29"/>
        <v>0</v>
      </c>
      <c r="G78" s="889"/>
      <c r="H78" s="890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7">
        <f t="shared" si="28"/>
        <v>0</v>
      </c>
      <c r="E79" s="902"/>
      <c r="F79" s="887">
        <f t="shared" si="29"/>
        <v>0</v>
      </c>
      <c r="G79" s="889"/>
      <c r="H79" s="890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7">
        <f t="shared" si="28"/>
        <v>0</v>
      </c>
      <c r="E80" s="902"/>
      <c r="F80" s="887">
        <f t="shared" si="29"/>
        <v>0</v>
      </c>
      <c r="G80" s="889"/>
      <c r="H80" s="890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7">
        <f t="shared" si="28"/>
        <v>0</v>
      </c>
      <c r="E81" s="902"/>
      <c r="F81" s="887">
        <f t="shared" si="29"/>
        <v>0</v>
      </c>
      <c r="G81" s="889"/>
      <c r="H81" s="890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7">
        <f t="shared" si="28"/>
        <v>0</v>
      </c>
      <c r="E82" s="902"/>
      <c r="F82" s="887">
        <f t="shared" si="29"/>
        <v>0</v>
      </c>
      <c r="G82" s="889"/>
      <c r="H82" s="890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7">
        <f t="shared" si="28"/>
        <v>0</v>
      </c>
      <c r="E83" s="902"/>
      <c r="F83" s="887">
        <f t="shared" si="29"/>
        <v>0</v>
      </c>
      <c r="G83" s="889"/>
      <c r="H83" s="890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7">
        <f t="shared" si="28"/>
        <v>0</v>
      </c>
      <c r="E84" s="902"/>
      <c r="F84" s="887">
        <f t="shared" si="29"/>
        <v>0</v>
      </c>
      <c r="G84" s="889"/>
      <c r="H84" s="890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7">
        <f t="shared" si="28"/>
        <v>0</v>
      </c>
      <c r="E85" s="902"/>
      <c r="F85" s="887">
        <f t="shared" si="29"/>
        <v>0</v>
      </c>
      <c r="G85" s="889"/>
      <c r="H85" s="890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7">
        <f t="shared" si="28"/>
        <v>0</v>
      </c>
      <c r="E86" s="902"/>
      <c r="F86" s="887">
        <f t="shared" si="29"/>
        <v>0</v>
      </c>
      <c r="G86" s="889"/>
      <c r="H86" s="890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7">
        <f t="shared" si="28"/>
        <v>0</v>
      </c>
      <c r="E87" s="902"/>
      <c r="F87" s="887">
        <f t="shared" si="29"/>
        <v>0</v>
      </c>
      <c r="G87" s="889"/>
      <c r="H87" s="890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7">
        <f t="shared" si="28"/>
        <v>0</v>
      </c>
      <c r="E88" s="902"/>
      <c r="F88" s="887">
        <f t="shared" si="29"/>
        <v>0</v>
      </c>
      <c r="G88" s="889"/>
      <c r="H88" s="890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7">
        <f t="shared" si="28"/>
        <v>0</v>
      </c>
      <c r="E89" s="902"/>
      <c r="F89" s="887">
        <f t="shared" si="29"/>
        <v>0</v>
      </c>
      <c r="G89" s="889"/>
      <c r="H89" s="890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7">
        <f t="shared" si="28"/>
        <v>0</v>
      </c>
      <c r="E90" s="902"/>
      <c r="F90" s="887">
        <f t="shared" si="29"/>
        <v>0</v>
      </c>
      <c r="G90" s="889"/>
      <c r="H90" s="890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7">
        <f t="shared" si="28"/>
        <v>0</v>
      </c>
      <c r="E91" s="902"/>
      <c r="F91" s="887">
        <f t="shared" si="29"/>
        <v>0</v>
      </c>
      <c r="G91" s="889"/>
      <c r="H91" s="890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7">
        <f t="shared" si="28"/>
        <v>0</v>
      </c>
      <c r="E92" s="902"/>
      <c r="F92" s="887">
        <f t="shared" si="29"/>
        <v>0</v>
      </c>
      <c r="G92" s="889"/>
      <c r="H92" s="890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7">
        <f t="shared" si="28"/>
        <v>0</v>
      </c>
      <c r="E93" s="902"/>
      <c r="F93" s="887">
        <f t="shared" si="29"/>
        <v>0</v>
      </c>
      <c r="G93" s="889"/>
      <c r="H93" s="890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93" t="s">
        <v>11</v>
      </c>
      <c r="D120" s="1194"/>
      <c r="E120" s="57">
        <f>E4+E5+E6-F115</f>
        <v>2.5200000000040745</v>
      </c>
      <c r="G120" s="47"/>
      <c r="H120" s="91"/>
      <c r="O120" s="1193" t="s">
        <v>11</v>
      </c>
      <c r="P120" s="1194"/>
      <c r="Q120" s="57">
        <f>Q4+Q5+Q6-R115</f>
        <v>0</v>
      </c>
      <c r="S120" s="47"/>
      <c r="T120" s="91"/>
      <c r="AA120" s="1193" t="s">
        <v>11</v>
      </c>
      <c r="AB120" s="1194"/>
      <c r="AC120" s="57">
        <f>AC4+AC5+AC6-AD115</f>
        <v>0</v>
      </c>
      <c r="AE120" s="47"/>
      <c r="AF120" s="91"/>
      <c r="AM120" s="1193" t="s">
        <v>11</v>
      </c>
      <c r="AN120" s="1194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91" t="s">
        <v>329</v>
      </c>
      <c r="B1" s="1191"/>
      <c r="C1" s="1191"/>
      <c r="D1" s="1191"/>
      <c r="E1" s="1191"/>
      <c r="F1" s="1191"/>
      <c r="G1" s="1191"/>
      <c r="H1" s="11">
        <v>1</v>
      </c>
      <c r="K1" s="1195" t="s">
        <v>351</v>
      </c>
      <c r="L1" s="1195"/>
      <c r="M1" s="1195"/>
      <c r="N1" s="1195"/>
      <c r="O1" s="1195"/>
      <c r="P1" s="1195"/>
      <c r="Q1" s="1195"/>
      <c r="R1" s="11">
        <v>2</v>
      </c>
      <c r="U1" s="1195" t="s">
        <v>351</v>
      </c>
      <c r="V1" s="1195"/>
      <c r="W1" s="1195"/>
      <c r="X1" s="1195"/>
      <c r="Y1" s="1195"/>
      <c r="Z1" s="1195"/>
      <c r="AA1" s="119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0"/>
      <c r="N4" s="951"/>
      <c r="O4" s="952"/>
      <c r="P4" s="953"/>
      <c r="Q4" s="73"/>
      <c r="V4" s="83"/>
      <c r="W4" s="950"/>
      <c r="X4" s="951"/>
      <c r="Y4" s="1123">
        <v>111.09</v>
      </c>
      <c r="Z4" s="941">
        <v>6</v>
      </c>
      <c r="AA4" s="73"/>
    </row>
    <row r="5" spans="1:29" ht="15.75" customHeight="1" thickBot="1" x14ac:dyDescent="0.3">
      <c r="A5" s="1199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99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99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199"/>
      <c r="B6" s="579" t="s">
        <v>67</v>
      </c>
      <c r="C6" s="1222" t="s">
        <v>321</v>
      </c>
      <c r="D6" s="1223"/>
      <c r="E6" s="1224"/>
      <c r="F6" s="62">
        <v>1</v>
      </c>
      <c r="K6" s="1199"/>
      <c r="L6" s="916" t="s">
        <v>67</v>
      </c>
      <c r="M6" s="954"/>
      <c r="N6" s="954"/>
      <c r="O6" s="954"/>
      <c r="P6" s="953"/>
      <c r="U6" s="1199"/>
      <c r="V6" s="916" t="s">
        <v>67</v>
      </c>
      <c r="W6" s="954"/>
      <c r="X6" s="954"/>
      <c r="Y6" s="954"/>
      <c r="Z6" s="953"/>
    </row>
    <row r="7" spans="1:29" ht="15.75" thickBot="1" x14ac:dyDescent="0.3">
      <c r="B7" s="73"/>
      <c r="C7" s="1225"/>
      <c r="D7" s="1226"/>
      <c r="E7" s="1227"/>
      <c r="F7" s="73"/>
      <c r="L7" s="73"/>
      <c r="M7" s="955"/>
      <c r="N7" s="955"/>
      <c r="O7" s="955"/>
      <c r="P7" s="953"/>
      <c r="V7" s="73"/>
      <c r="W7" s="955"/>
      <c r="X7" s="955"/>
      <c r="Y7" s="955"/>
      <c r="Z7" s="953"/>
    </row>
    <row r="8" spans="1:29" ht="16.5" thickTop="1" thickBot="1" x14ac:dyDescent="0.3">
      <c r="B8" s="64" t="s">
        <v>7</v>
      </c>
      <c r="C8" s="875" t="s">
        <v>8</v>
      </c>
      <c r="D8" s="876" t="s">
        <v>3</v>
      </c>
      <c r="E8" s="877" t="s">
        <v>2</v>
      </c>
      <c r="F8" s="9" t="s">
        <v>9</v>
      </c>
      <c r="G8" s="10" t="s">
        <v>15</v>
      </c>
      <c r="H8" s="24"/>
      <c r="L8" s="64" t="s">
        <v>7</v>
      </c>
      <c r="M8" s="875" t="s">
        <v>8</v>
      </c>
      <c r="N8" s="876" t="s">
        <v>3</v>
      </c>
      <c r="O8" s="877" t="s">
        <v>2</v>
      </c>
      <c r="P8" s="9" t="s">
        <v>9</v>
      </c>
      <c r="Q8" s="10" t="s">
        <v>15</v>
      </c>
      <c r="R8" s="24"/>
      <c r="V8" s="64" t="s">
        <v>7</v>
      </c>
      <c r="W8" s="875" t="s">
        <v>8</v>
      </c>
      <c r="X8" s="876" t="s">
        <v>3</v>
      </c>
      <c r="Y8" s="877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4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4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4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0">
        <f t="shared" si="1"/>
        <v>0</v>
      </c>
      <c r="Q17" s="1111"/>
      <c r="R17" s="1112"/>
      <c r="S17" s="1098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0">
        <v>111.09</v>
      </c>
      <c r="Q18" s="1111"/>
      <c r="R18" s="1112"/>
      <c r="S18" s="1098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0">
        <f t="shared" si="1"/>
        <v>0</v>
      </c>
      <c r="Q19" s="1111"/>
      <c r="R19" s="1112"/>
      <c r="S19" s="1098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4">
        <f t="shared" si="4"/>
        <v>63.270000000000067</v>
      </c>
      <c r="L20" s="182">
        <f t="shared" si="5"/>
        <v>0</v>
      </c>
      <c r="M20" s="127"/>
      <c r="N20" s="69"/>
      <c r="O20" s="246"/>
      <c r="P20" s="1110">
        <f t="shared" si="1"/>
        <v>0</v>
      </c>
      <c r="Q20" s="1111"/>
      <c r="R20" s="1112"/>
      <c r="S20" s="1098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36">
        <v>3</v>
      </c>
      <c r="D21" s="887">
        <v>63.77</v>
      </c>
      <c r="E21" s="902">
        <v>44866</v>
      </c>
      <c r="F21" s="887">
        <f t="shared" si="0"/>
        <v>63.77</v>
      </c>
      <c r="G21" s="889" t="s">
        <v>505</v>
      </c>
      <c r="H21" s="890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0">
        <f t="shared" si="1"/>
        <v>0</v>
      </c>
      <c r="Q21" s="1111"/>
      <c r="R21" s="1112"/>
      <c r="S21" s="1098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7"/>
      <c r="E22" s="902"/>
      <c r="F22" s="1095">
        <f t="shared" si="0"/>
        <v>0</v>
      </c>
      <c r="G22" s="1096"/>
      <c r="H22" s="1097"/>
      <c r="I22" s="1098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7"/>
      <c r="E23" s="902"/>
      <c r="F23" s="1095">
        <f t="shared" si="0"/>
        <v>0</v>
      </c>
      <c r="G23" s="1096"/>
      <c r="H23" s="1097"/>
      <c r="I23" s="1098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7"/>
      <c r="E24" s="902"/>
      <c r="F24" s="1095">
        <f t="shared" si="0"/>
        <v>0</v>
      </c>
      <c r="G24" s="1096"/>
      <c r="H24" s="1097"/>
      <c r="I24" s="1098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7"/>
      <c r="E25" s="902"/>
      <c r="F25" s="1095">
        <f t="shared" si="0"/>
        <v>0</v>
      </c>
      <c r="G25" s="1096"/>
      <c r="H25" s="1097"/>
      <c r="I25" s="1098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7"/>
      <c r="E26" s="902"/>
      <c r="F26" s="887">
        <f t="shared" si="0"/>
        <v>0</v>
      </c>
      <c r="G26" s="889"/>
      <c r="H26" s="890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7"/>
      <c r="E27" s="902"/>
      <c r="F27" s="887">
        <f t="shared" si="0"/>
        <v>0</v>
      </c>
      <c r="G27" s="889"/>
      <c r="H27" s="890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7"/>
      <c r="E28" s="902"/>
      <c r="F28" s="887">
        <f t="shared" si="0"/>
        <v>0</v>
      </c>
      <c r="G28" s="889"/>
      <c r="H28" s="890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7"/>
      <c r="E29" s="902"/>
      <c r="F29" s="887">
        <f t="shared" si="0"/>
        <v>0</v>
      </c>
      <c r="G29" s="889"/>
      <c r="H29" s="890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7"/>
      <c r="E30" s="902"/>
      <c r="F30" s="887">
        <f t="shared" si="0"/>
        <v>0</v>
      </c>
      <c r="G30" s="889"/>
      <c r="H30" s="890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7"/>
      <c r="E31" s="902"/>
      <c r="F31" s="887">
        <f t="shared" si="0"/>
        <v>0</v>
      </c>
      <c r="G31" s="889"/>
      <c r="H31" s="890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93" t="s">
        <v>11</v>
      </c>
      <c r="D73" s="1194"/>
      <c r="E73" s="57">
        <f>E5-F68+E4+E6+E7</f>
        <v>-0.49999999999969447</v>
      </c>
      <c r="L73" s="91"/>
      <c r="M73" s="1193" t="s">
        <v>11</v>
      </c>
      <c r="N73" s="1194"/>
      <c r="O73" s="57">
        <f>O5-P68+O4+O6+O7</f>
        <v>0</v>
      </c>
      <c r="V73" s="91"/>
      <c r="W73" s="1193" t="s">
        <v>11</v>
      </c>
      <c r="X73" s="1194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99"/>
      <c r="B5" s="1228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99"/>
      <c r="B6" s="1228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3" t="s">
        <v>11</v>
      </c>
      <c r="D60" s="119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 t="s">
        <v>343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99"/>
      <c r="B4" s="1229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99"/>
      <c r="B5" s="1230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30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3"/>
      <c r="F13" s="730">
        <f t="shared" si="0"/>
        <v>0</v>
      </c>
      <c r="G13" s="728"/>
      <c r="H13" s="729"/>
      <c r="I13" s="904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3"/>
      <c r="F14" s="730">
        <f t="shared" si="0"/>
        <v>0</v>
      </c>
      <c r="G14" s="728"/>
      <c r="H14" s="729"/>
      <c r="I14" s="904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3"/>
      <c r="F15" s="730">
        <f t="shared" si="0"/>
        <v>0</v>
      </c>
      <c r="G15" s="728"/>
      <c r="H15" s="729"/>
      <c r="I15" s="904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3"/>
      <c r="F16" s="730">
        <f t="shared" si="0"/>
        <v>0</v>
      </c>
      <c r="G16" s="728"/>
      <c r="H16" s="729"/>
      <c r="I16" s="904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3"/>
      <c r="F17" s="730">
        <f t="shared" si="0"/>
        <v>0</v>
      </c>
      <c r="G17" s="728"/>
      <c r="H17" s="729"/>
      <c r="I17" s="904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3"/>
      <c r="F18" s="730">
        <f t="shared" si="0"/>
        <v>0</v>
      </c>
      <c r="G18" s="728"/>
      <c r="H18" s="729"/>
      <c r="I18" s="904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3"/>
      <c r="F19" s="730">
        <f t="shared" si="0"/>
        <v>0</v>
      </c>
      <c r="G19" s="728"/>
      <c r="H19" s="729"/>
      <c r="I19" s="904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3"/>
      <c r="F20" s="730">
        <f t="shared" si="0"/>
        <v>0</v>
      </c>
      <c r="G20" s="728"/>
      <c r="H20" s="729"/>
      <c r="I20" s="904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3"/>
      <c r="F21" s="730">
        <f t="shared" si="0"/>
        <v>0</v>
      </c>
      <c r="G21" s="728"/>
      <c r="H21" s="729"/>
      <c r="I21" s="904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93" t="s">
        <v>11</v>
      </c>
      <c r="D61" s="1194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5"/>
      <c r="B1" s="1195"/>
      <c r="C1" s="1195"/>
      <c r="D1" s="1195"/>
      <c r="E1" s="1195"/>
      <c r="F1" s="1195"/>
      <c r="G1" s="119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1"/>
      <c r="B5" s="1233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2"/>
      <c r="B6" s="1234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5" t="s">
        <v>11</v>
      </c>
      <c r="D56" s="123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1" t="s">
        <v>108</v>
      </c>
      <c r="B1" s="1191"/>
      <c r="C1" s="1191"/>
      <c r="D1" s="1191"/>
      <c r="E1" s="1191"/>
      <c r="F1" s="1191"/>
      <c r="G1" s="119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92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92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4"/>
      <c r="B1" s="1184"/>
      <c r="C1" s="1184"/>
      <c r="D1" s="1184"/>
      <c r="E1" s="1184"/>
      <c r="F1" s="1184"/>
      <c r="G1" s="118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7"/>
      <c r="C4" s="17"/>
      <c r="E4" s="254"/>
      <c r="F4" s="240"/>
    </row>
    <row r="5" spans="1:10" ht="15" customHeight="1" x14ac:dyDescent="0.25">
      <c r="A5" s="1231"/>
      <c r="B5" s="1238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2"/>
      <c r="B6" s="1239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5" t="s">
        <v>11</v>
      </c>
      <c r="D55" s="123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1" t="s">
        <v>326</v>
      </c>
      <c r="B1" s="1191"/>
      <c r="C1" s="1191"/>
      <c r="D1" s="1191"/>
      <c r="E1" s="1191"/>
      <c r="F1" s="1191"/>
      <c r="G1" s="1191"/>
      <c r="H1" s="1191"/>
      <c r="I1" s="1191"/>
      <c r="J1" s="11">
        <v>1</v>
      </c>
      <c r="M1" s="1195" t="s">
        <v>346</v>
      </c>
      <c r="N1" s="1195"/>
      <c r="O1" s="1195"/>
      <c r="P1" s="1195"/>
      <c r="Q1" s="1195"/>
      <c r="R1" s="1195"/>
      <c r="S1" s="1195"/>
      <c r="T1" s="1195"/>
      <c r="U1" s="119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204" t="s">
        <v>209</v>
      </c>
      <c r="B5" s="1240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204" t="s">
        <v>209</v>
      </c>
      <c r="N5" s="1240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204"/>
      <c r="B6" s="1240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204"/>
      <c r="N6" s="1240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37"/>
      <c r="P7" s="1138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0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78">
        <f t="shared" si="6"/>
        <v>1239.4200000000019</v>
      </c>
      <c r="J54" s="879">
        <f t="shared" si="7"/>
        <v>273</v>
      </c>
      <c r="K54" s="60">
        <f t="shared" si="4"/>
        <v>9988</v>
      </c>
      <c r="M54" s="749" t="s">
        <v>322</v>
      </c>
      <c r="N54" s="984">
        <v>4.54</v>
      </c>
      <c r="O54" s="864"/>
      <c r="P54" s="730">
        <f t="shared" si="2"/>
        <v>0</v>
      </c>
      <c r="Q54" s="911"/>
      <c r="R54" s="730">
        <f t="shared" si="11"/>
        <v>0</v>
      </c>
      <c r="S54" s="728"/>
      <c r="T54" s="729"/>
      <c r="U54" s="985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7">
        <f t="shared" si="0"/>
        <v>68.099999999999994</v>
      </c>
      <c r="E55" s="905">
        <v>44866</v>
      </c>
      <c r="F55" s="887">
        <f t="shared" si="10"/>
        <v>68.099999999999994</v>
      </c>
      <c r="G55" s="889" t="s">
        <v>504</v>
      </c>
      <c r="H55" s="890">
        <v>55</v>
      </c>
      <c r="I55" s="906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4">
        <v>4.54</v>
      </c>
      <c r="O55" s="864"/>
      <c r="P55" s="730">
        <f t="shared" si="2"/>
        <v>0</v>
      </c>
      <c r="Q55" s="911"/>
      <c r="R55" s="730">
        <f t="shared" si="11"/>
        <v>0</v>
      </c>
      <c r="S55" s="728"/>
      <c r="T55" s="729"/>
      <c r="U55" s="985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7">
        <f t="shared" si="0"/>
        <v>136.19999999999999</v>
      </c>
      <c r="E56" s="905">
        <v>44866</v>
      </c>
      <c r="F56" s="887">
        <f t="shared" si="10"/>
        <v>136.19999999999999</v>
      </c>
      <c r="G56" s="889" t="s">
        <v>505</v>
      </c>
      <c r="H56" s="890">
        <v>55</v>
      </c>
      <c r="I56" s="906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7">
        <f t="shared" si="0"/>
        <v>22.7</v>
      </c>
      <c r="E57" s="905">
        <v>44866</v>
      </c>
      <c r="F57" s="887">
        <f t="shared" si="10"/>
        <v>22.7</v>
      </c>
      <c r="G57" s="889" t="s">
        <v>505</v>
      </c>
      <c r="H57" s="890">
        <v>55</v>
      </c>
      <c r="I57" s="906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7">
        <f t="shared" si="0"/>
        <v>4.54</v>
      </c>
      <c r="E58" s="905">
        <v>44867</v>
      </c>
      <c r="F58" s="887">
        <f t="shared" si="10"/>
        <v>4.54</v>
      </c>
      <c r="G58" s="889" t="s">
        <v>516</v>
      </c>
      <c r="H58" s="890">
        <v>55</v>
      </c>
      <c r="I58" s="906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7">
        <f t="shared" si="0"/>
        <v>4.54</v>
      </c>
      <c r="E59" s="905">
        <v>44867</v>
      </c>
      <c r="F59" s="887">
        <f t="shared" si="10"/>
        <v>4.54</v>
      </c>
      <c r="G59" s="889" t="s">
        <v>519</v>
      </c>
      <c r="H59" s="890">
        <v>55</v>
      </c>
      <c r="I59" s="906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7">
        <f t="shared" si="0"/>
        <v>45.4</v>
      </c>
      <c r="E60" s="905">
        <v>44868</v>
      </c>
      <c r="F60" s="887">
        <f t="shared" si="10"/>
        <v>45.4</v>
      </c>
      <c r="G60" s="889" t="s">
        <v>523</v>
      </c>
      <c r="H60" s="890">
        <v>55</v>
      </c>
      <c r="I60" s="906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7">
        <f t="shared" si="0"/>
        <v>22.7</v>
      </c>
      <c r="E61" s="905">
        <v>44868</v>
      </c>
      <c r="F61" s="887">
        <f t="shared" si="10"/>
        <v>22.7</v>
      </c>
      <c r="G61" s="889" t="s">
        <v>524</v>
      </c>
      <c r="H61" s="890">
        <v>55</v>
      </c>
      <c r="I61" s="906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7">
        <f t="shared" si="0"/>
        <v>181.6</v>
      </c>
      <c r="E62" s="905">
        <v>44869</v>
      </c>
      <c r="F62" s="887">
        <f t="shared" si="10"/>
        <v>181.6</v>
      </c>
      <c r="G62" s="889" t="s">
        <v>529</v>
      </c>
      <c r="H62" s="890">
        <v>55</v>
      </c>
      <c r="I62" s="906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7">
        <f t="shared" si="0"/>
        <v>68.099999999999994</v>
      </c>
      <c r="E63" s="905">
        <v>44870</v>
      </c>
      <c r="F63" s="887">
        <f t="shared" si="10"/>
        <v>68.099999999999994</v>
      </c>
      <c r="G63" s="889" t="s">
        <v>534</v>
      </c>
      <c r="H63" s="890">
        <v>55</v>
      </c>
      <c r="I63" s="906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7">
        <f t="shared" si="0"/>
        <v>136.19999999999999</v>
      </c>
      <c r="E64" s="905">
        <v>44870</v>
      </c>
      <c r="F64" s="887">
        <f t="shared" si="10"/>
        <v>136.19999999999999</v>
      </c>
      <c r="G64" s="889" t="s">
        <v>536</v>
      </c>
      <c r="H64" s="890">
        <v>55</v>
      </c>
      <c r="I64" s="906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7">
        <f t="shared" si="0"/>
        <v>68.099999999999994</v>
      </c>
      <c r="E65" s="905">
        <v>44870</v>
      </c>
      <c r="F65" s="887">
        <f t="shared" si="10"/>
        <v>68.099999999999994</v>
      </c>
      <c r="G65" s="889" t="s">
        <v>539</v>
      </c>
      <c r="H65" s="890">
        <v>55</v>
      </c>
      <c r="I65" s="906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7">
        <f t="shared" si="0"/>
        <v>136.19999999999999</v>
      </c>
      <c r="E66" s="905">
        <v>44870</v>
      </c>
      <c r="F66" s="887">
        <f t="shared" si="10"/>
        <v>136.19999999999999</v>
      </c>
      <c r="G66" s="889" t="s">
        <v>540</v>
      </c>
      <c r="H66" s="890">
        <v>55</v>
      </c>
      <c r="I66" s="906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7">
        <f t="shared" si="0"/>
        <v>9.08</v>
      </c>
      <c r="E67" s="905">
        <v>44872</v>
      </c>
      <c r="F67" s="887">
        <f t="shared" si="10"/>
        <v>9.08</v>
      </c>
      <c r="G67" s="889" t="s">
        <v>543</v>
      </c>
      <c r="H67" s="890">
        <v>55</v>
      </c>
      <c r="I67" s="906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7">
        <f t="shared" si="0"/>
        <v>22.7</v>
      </c>
      <c r="E68" s="905">
        <v>44872</v>
      </c>
      <c r="F68" s="887">
        <f t="shared" si="10"/>
        <v>22.7</v>
      </c>
      <c r="G68" s="889" t="s">
        <v>547</v>
      </c>
      <c r="H68" s="890">
        <v>55</v>
      </c>
      <c r="I68" s="906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7">
        <f t="shared" si="0"/>
        <v>136.19999999999999</v>
      </c>
      <c r="E69" s="905">
        <v>44872</v>
      </c>
      <c r="F69" s="887">
        <f t="shared" si="10"/>
        <v>136.19999999999999</v>
      </c>
      <c r="G69" s="889" t="s">
        <v>548</v>
      </c>
      <c r="H69" s="890">
        <v>55</v>
      </c>
      <c r="I69" s="906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7">
        <f t="shared" si="0"/>
        <v>27.240000000000002</v>
      </c>
      <c r="E70" s="905">
        <v>44873</v>
      </c>
      <c r="F70" s="887">
        <f t="shared" si="10"/>
        <v>27.240000000000002</v>
      </c>
      <c r="G70" s="889" t="s">
        <v>554</v>
      </c>
      <c r="H70" s="890">
        <v>55</v>
      </c>
      <c r="I70" s="906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7">
        <f t="shared" si="0"/>
        <v>136.19999999999999</v>
      </c>
      <c r="E71" s="905">
        <v>44873</v>
      </c>
      <c r="F71" s="887">
        <f t="shared" si="10"/>
        <v>136.19999999999999</v>
      </c>
      <c r="G71" s="889" t="s">
        <v>556</v>
      </c>
      <c r="H71" s="890">
        <v>55</v>
      </c>
      <c r="I71" s="906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7">
        <f t="shared" si="0"/>
        <v>0</v>
      </c>
      <c r="E72" s="905"/>
      <c r="F72" s="887">
        <f t="shared" si="10"/>
        <v>0</v>
      </c>
      <c r="G72" s="889"/>
      <c r="H72" s="890"/>
      <c r="I72" s="906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7">
        <f t="shared" ref="D73:D108" si="12">C73*B73</f>
        <v>0</v>
      </c>
      <c r="E73" s="905"/>
      <c r="F73" s="887">
        <f t="shared" si="10"/>
        <v>0</v>
      </c>
      <c r="G73" s="889"/>
      <c r="H73" s="890"/>
      <c r="I73" s="906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7">
        <f t="shared" si="12"/>
        <v>13.620000000000001</v>
      </c>
      <c r="E74" s="905"/>
      <c r="F74" s="1095">
        <f t="shared" si="10"/>
        <v>13.620000000000001</v>
      </c>
      <c r="G74" s="1096"/>
      <c r="H74" s="1097"/>
      <c r="I74" s="1107">
        <f t="shared" si="6"/>
        <v>1.993072373807081E-12</v>
      </c>
      <c r="J74" s="1108">
        <f t="shared" si="7"/>
        <v>0</v>
      </c>
      <c r="K74" s="1109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7">
        <f t="shared" si="12"/>
        <v>0</v>
      </c>
      <c r="E75" s="905"/>
      <c r="F75" s="1095">
        <f t="shared" si="10"/>
        <v>0</v>
      </c>
      <c r="G75" s="1096"/>
      <c r="H75" s="1097"/>
      <c r="I75" s="1107">
        <f t="shared" ref="I75:I107" si="14">I74-F75</f>
        <v>1.993072373807081E-12</v>
      </c>
      <c r="J75" s="1108">
        <f t="shared" ref="J75:J106" si="15">J74-C75</f>
        <v>0</v>
      </c>
      <c r="K75" s="1109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0">
        <f t="shared" si="10"/>
        <v>0</v>
      </c>
      <c r="G76" s="1111"/>
      <c r="H76" s="1112"/>
      <c r="I76" s="1113">
        <f t="shared" si="14"/>
        <v>1.993072373807081E-12</v>
      </c>
      <c r="J76" s="1108">
        <f t="shared" si="15"/>
        <v>0</v>
      </c>
      <c r="K76" s="1109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0">
        <f t="shared" si="10"/>
        <v>0</v>
      </c>
      <c r="G77" s="1111"/>
      <c r="H77" s="1112"/>
      <c r="I77" s="1113">
        <f t="shared" si="14"/>
        <v>1.993072373807081E-12</v>
      </c>
      <c r="J77" s="1108">
        <f t="shared" si="15"/>
        <v>0</v>
      </c>
      <c r="K77" s="1109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41" t="s">
        <v>19</v>
      </c>
      <c r="D112" s="1242"/>
      <c r="E112" s="39">
        <f>E4+E5-F109+E6+E7</f>
        <v>2.9558577807620168E-12</v>
      </c>
      <c r="F112" s="6"/>
      <c r="G112" s="6"/>
      <c r="H112" s="17"/>
      <c r="I112" s="132"/>
      <c r="J112" s="73"/>
      <c r="O112" s="1241" t="s">
        <v>19</v>
      </c>
      <c r="P112" s="1242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1" t="s">
        <v>330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99" t="s">
        <v>52</v>
      </c>
      <c r="B5" s="1243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99"/>
      <c r="B6" s="1243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4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5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6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7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68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86">
        <v>243.18</v>
      </c>
      <c r="E21" s="905">
        <v>44865</v>
      </c>
      <c r="F21" s="887">
        <f t="shared" si="0"/>
        <v>243.18</v>
      </c>
      <c r="G21" s="889" t="s">
        <v>503</v>
      </c>
      <c r="H21" s="890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86"/>
      <c r="E22" s="905"/>
      <c r="F22" s="1091">
        <f t="shared" si="0"/>
        <v>0</v>
      </c>
      <c r="G22" s="1092"/>
      <c r="H22" s="1093"/>
      <c r="I22" s="1094">
        <f t="shared" si="2"/>
        <v>7.3896444519050419E-13</v>
      </c>
    </row>
    <row r="23" spans="2:9" x14ac:dyDescent="0.25">
      <c r="B23" s="568">
        <f t="shared" si="1"/>
        <v>0</v>
      </c>
      <c r="C23" s="15"/>
      <c r="D23" s="1086"/>
      <c r="E23" s="905"/>
      <c r="F23" s="1091">
        <f t="shared" si="0"/>
        <v>0</v>
      </c>
      <c r="G23" s="1092"/>
      <c r="H23" s="1093"/>
      <c r="I23" s="1094">
        <f t="shared" si="2"/>
        <v>7.3896444519050419E-13</v>
      </c>
    </row>
    <row r="24" spans="2:9" x14ac:dyDescent="0.25">
      <c r="B24" s="568">
        <f t="shared" si="1"/>
        <v>0</v>
      </c>
      <c r="C24" s="15"/>
      <c r="D24" s="1086"/>
      <c r="E24" s="905"/>
      <c r="F24" s="1091">
        <f t="shared" si="0"/>
        <v>0</v>
      </c>
      <c r="G24" s="1092"/>
      <c r="H24" s="1093"/>
      <c r="I24" s="1094">
        <f t="shared" si="2"/>
        <v>7.3896444519050419E-13</v>
      </c>
    </row>
    <row r="25" spans="2:9" x14ac:dyDescent="0.25">
      <c r="B25" s="568">
        <f t="shared" si="1"/>
        <v>0</v>
      </c>
      <c r="C25" s="15"/>
      <c r="D25" s="1086"/>
      <c r="E25" s="905"/>
      <c r="F25" s="1091">
        <f t="shared" si="0"/>
        <v>0</v>
      </c>
      <c r="G25" s="1092"/>
      <c r="H25" s="1093"/>
      <c r="I25" s="1094">
        <f t="shared" si="2"/>
        <v>7.3896444519050419E-13</v>
      </c>
    </row>
    <row r="26" spans="2:9" x14ac:dyDescent="0.25">
      <c r="B26" s="568">
        <f t="shared" si="1"/>
        <v>0</v>
      </c>
      <c r="C26" s="15"/>
      <c r="D26" s="1086"/>
      <c r="E26" s="905"/>
      <c r="F26" s="887">
        <f t="shared" si="0"/>
        <v>0</v>
      </c>
      <c r="G26" s="889"/>
      <c r="H26" s="890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86"/>
      <c r="E27" s="905"/>
      <c r="F27" s="887">
        <f t="shared" si="0"/>
        <v>0</v>
      </c>
      <c r="G27" s="889"/>
      <c r="H27" s="890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7"/>
      <c r="E28" s="905"/>
      <c r="F28" s="887">
        <f t="shared" si="0"/>
        <v>0</v>
      </c>
      <c r="G28" s="889"/>
      <c r="H28" s="890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7"/>
      <c r="E29" s="905"/>
      <c r="F29" s="887">
        <f t="shared" si="0"/>
        <v>0</v>
      </c>
      <c r="G29" s="889"/>
      <c r="H29" s="890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1" t="s">
        <v>19</v>
      </c>
      <c r="D34" s="124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1" t="s">
        <v>327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DEL MES DE   OCTUBRE    2022</v>
      </c>
      <c r="L1" s="1191"/>
      <c r="M1" s="1191"/>
      <c r="N1" s="1191"/>
      <c r="O1" s="1191"/>
      <c r="P1" s="1191"/>
      <c r="Q1" s="1191"/>
      <c r="R1" s="11">
        <v>2</v>
      </c>
      <c r="U1" s="1191" t="str">
        <f>A1</f>
        <v>INVENTARIO    DEL MES DE   OCTUBRE    2022</v>
      </c>
      <c r="V1" s="1191"/>
      <c r="W1" s="1191"/>
      <c r="X1" s="1191"/>
      <c r="Y1" s="1191"/>
      <c r="Z1" s="1191"/>
      <c r="AA1" s="119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204" t="s">
        <v>64</v>
      </c>
      <c r="B5" s="1248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204" t="s">
        <v>64</v>
      </c>
      <c r="L5" s="1248" t="s">
        <v>69</v>
      </c>
      <c r="M5" s="392">
        <v>85</v>
      </c>
      <c r="N5" s="134">
        <v>44862</v>
      </c>
      <c r="O5" s="885">
        <v>150</v>
      </c>
      <c r="P5" s="908">
        <v>15</v>
      </c>
      <c r="Q5" s="5"/>
      <c r="U5" s="1231" t="s">
        <v>210</v>
      </c>
      <c r="V5" s="1246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204"/>
      <c r="B6" s="1248"/>
      <c r="C6" s="12"/>
      <c r="D6" s="12"/>
      <c r="E6" s="564">
        <v>90</v>
      </c>
      <c r="F6" s="144">
        <v>9</v>
      </c>
      <c r="G6" s="1105">
        <f>F78</f>
        <v>340</v>
      </c>
      <c r="H6" s="7">
        <f>E6-G6+E7+E5-G5+E4</f>
        <v>0</v>
      </c>
      <c r="K6" s="1204"/>
      <c r="L6" s="1248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31"/>
      <c r="V6" s="1247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69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68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7">
        <v>10</v>
      </c>
      <c r="Y12" s="888">
        <v>44866</v>
      </c>
      <c r="Z12" s="887">
        <f>X12</f>
        <v>10</v>
      </c>
      <c r="AA12" s="889" t="s">
        <v>505</v>
      </c>
      <c r="AB12" s="890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7">
        <v>10</v>
      </c>
      <c r="Y13" s="888">
        <v>44867</v>
      </c>
      <c r="Z13" s="887">
        <f>X13</f>
        <v>10</v>
      </c>
      <c r="AA13" s="889" t="s">
        <v>518</v>
      </c>
      <c r="AB13" s="890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7">
        <v>10</v>
      </c>
      <c r="Y14" s="888">
        <v>44868</v>
      </c>
      <c r="Z14" s="887">
        <f t="shared" ref="Z14:Z76" si="8">X14</f>
        <v>10</v>
      </c>
      <c r="AA14" s="889" t="s">
        <v>524</v>
      </c>
      <c r="AB14" s="890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7">
        <v>10</v>
      </c>
      <c r="Y15" s="888">
        <v>44869</v>
      </c>
      <c r="Z15" s="887">
        <f t="shared" si="8"/>
        <v>10</v>
      </c>
      <c r="AA15" s="889" t="s">
        <v>529</v>
      </c>
      <c r="AB15" s="890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7">
        <v>10</v>
      </c>
      <c r="Y16" s="888">
        <v>44872</v>
      </c>
      <c r="Z16" s="887">
        <f t="shared" si="8"/>
        <v>10</v>
      </c>
      <c r="AA16" s="889" t="s">
        <v>548</v>
      </c>
      <c r="AB16" s="890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7">
        <v>10</v>
      </c>
      <c r="Y17" s="888">
        <v>44873</v>
      </c>
      <c r="Z17" s="887">
        <f t="shared" si="8"/>
        <v>10</v>
      </c>
      <c r="AA17" s="889" t="s">
        <v>554</v>
      </c>
      <c r="AB17" s="890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7">
        <v>10</v>
      </c>
      <c r="Y18" s="888">
        <v>44875</v>
      </c>
      <c r="Z18" s="887">
        <f t="shared" si="8"/>
        <v>10</v>
      </c>
      <c r="AA18" s="889" t="s">
        <v>571</v>
      </c>
      <c r="AB18" s="890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7">
        <v>10</v>
      </c>
      <c r="Y19" s="888">
        <v>44877</v>
      </c>
      <c r="Z19" s="887">
        <f t="shared" si="8"/>
        <v>10</v>
      </c>
      <c r="AA19" s="889" t="s">
        <v>582</v>
      </c>
      <c r="AB19" s="890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7">
        <v>10</v>
      </c>
      <c r="Y20" s="888">
        <v>44879</v>
      </c>
      <c r="Z20" s="887">
        <f t="shared" si="8"/>
        <v>10</v>
      </c>
      <c r="AA20" s="889" t="s">
        <v>593</v>
      </c>
      <c r="AB20" s="890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7">
        <v>10</v>
      </c>
      <c r="Y21" s="888">
        <v>44880</v>
      </c>
      <c r="Z21" s="887">
        <f t="shared" si="8"/>
        <v>10</v>
      </c>
      <c r="AA21" s="889" t="s">
        <v>600</v>
      </c>
      <c r="AB21" s="890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7">
        <v>10</v>
      </c>
      <c r="Y22" s="888">
        <v>44881</v>
      </c>
      <c r="Z22" s="887">
        <f t="shared" si="8"/>
        <v>10</v>
      </c>
      <c r="AA22" s="889" t="s">
        <v>609</v>
      </c>
      <c r="AB22" s="890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7">
        <v>10</v>
      </c>
      <c r="Y23" s="888">
        <v>44884</v>
      </c>
      <c r="Z23" s="887">
        <f t="shared" si="8"/>
        <v>10</v>
      </c>
      <c r="AA23" s="889" t="s">
        <v>634</v>
      </c>
      <c r="AB23" s="890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7">
        <v>10</v>
      </c>
      <c r="Y24" s="888">
        <v>44888</v>
      </c>
      <c r="Z24" s="887">
        <f t="shared" si="8"/>
        <v>10</v>
      </c>
      <c r="AA24" s="889" t="s">
        <v>654</v>
      </c>
      <c r="AB24" s="890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7">
        <v>10</v>
      </c>
      <c r="Y25" s="888">
        <v>44889</v>
      </c>
      <c r="Z25" s="887">
        <f t="shared" si="8"/>
        <v>10</v>
      </c>
      <c r="AA25" s="889" t="s">
        <v>663</v>
      </c>
      <c r="AB25" s="890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7"/>
      <c r="Y26" s="888"/>
      <c r="Z26" s="887">
        <f t="shared" si="8"/>
        <v>0</v>
      </c>
      <c r="AA26" s="889"/>
      <c r="AB26" s="890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7"/>
      <c r="Y27" s="888"/>
      <c r="Z27" s="887">
        <f t="shared" si="8"/>
        <v>0</v>
      </c>
      <c r="AA27" s="889"/>
      <c r="AB27" s="890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7"/>
      <c r="Y28" s="888"/>
      <c r="Z28" s="887">
        <f t="shared" si="8"/>
        <v>0</v>
      </c>
      <c r="AA28" s="889"/>
      <c r="AB28" s="890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7"/>
      <c r="Y29" s="888"/>
      <c r="Z29" s="887">
        <f t="shared" si="8"/>
        <v>0</v>
      </c>
      <c r="AA29" s="889"/>
      <c r="AB29" s="890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7"/>
      <c r="Y30" s="888"/>
      <c r="Z30" s="887">
        <f t="shared" si="8"/>
        <v>0</v>
      </c>
      <c r="AA30" s="889"/>
      <c r="AB30" s="890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7"/>
      <c r="Y31" s="888"/>
      <c r="Z31" s="887">
        <f t="shared" si="8"/>
        <v>0</v>
      </c>
      <c r="AA31" s="889"/>
      <c r="AB31" s="890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7"/>
      <c r="Y32" s="888"/>
      <c r="Z32" s="887">
        <f t="shared" si="8"/>
        <v>0</v>
      </c>
      <c r="AA32" s="889"/>
      <c r="AB32" s="890"/>
      <c r="AC32" s="105">
        <f t="shared" si="7"/>
        <v>80</v>
      </c>
    </row>
    <row r="33" spans="1:29" x14ac:dyDescent="0.25">
      <c r="A33" s="122"/>
      <c r="B33" s="907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68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7">
        <v>10</v>
      </c>
      <c r="E34" s="888">
        <v>44866</v>
      </c>
      <c r="F34" s="887">
        <f t="shared" si="1"/>
        <v>10</v>
      </c>
      <c r="G34" s="889" t="s">
        <v>505</v>
      </c>
      <c r="H34" s="890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7">
        <v>10</v>
      </c>
      <c r="E35" s="888">
        <v>44869</v>
      </c>
      <c r="F35" s="887">
        <f t="shared" si="1"/>
        <v>10</v>
      </c>
      <c r="G35" s="889" t="s">
        <v>529</v>
      </c>
      <c r="H35" s="890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7"/>
      <c r="E36" s="1100"/>
      <c r="F36" s="1095">
        <f t="shared" si="1"/>
        <v>0</v>
      </c>
      <c r="G36" s="1096"/>
      <c r="H36" s="1097"/>
      <c r="I36" s="1101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7"/>
      <c r="E37" s="1100"/>
      <c r="F37" s="1095">
        <f t="shared" si="1"/>
        <v>0</v>
      </c>
      <c r="G37" s="1096"/>
      <c r="H37" s="1097"/>
      <c r="I37" s="1101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7"/>
      <c r="E38" s="1100"/>
      <c r="F38" s="1095">
        <f t="shared" si="1"/>
        <v>0</v>
      </c>
      <c r="G38" s="1096"/>
      <c r="H38" s="1097"/>
      <c r="I38" s="1101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2"/>
      <c r="F39" s="1095">
        <f t="shared" si="1"/>
        <v>0</v>
      </c>
      <c r="G39" s="1103"/>
      <c r="H39" s="1104"/>
      <c r="I39" s="1101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93" t="s">
        <v>11</v>
      </c>
      <c r="D83" s="1194"/>
      <c r="E83" s="57">
        <f>E5+E6-F78+E7</f>
        <v>0</v>
      </c>
      <c r="F83" s="73"/>
      <c r="M83" s="1193" t="s">
        <v>11</v>
      </c>
      <c r="N83" s="1194"/>
      <c r="O83" s="57">
        <f>O5+O6-P78+O7</f>
        <v>50</v>
      </c>
      <c r="P83" s="73"/>
      <c r="W83" s="1193" t="s">
        <v>11</v>
      </c>
      <c r="X83" s="1194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91" t="s">
        <v>208</v>
      </c>
      <c r="B1" s="1191"/>
      <c r="C1" s="1191"/>
      <c r="D1" s="1191"/>
      <c r="E1" s="1191"/>
      <c r="F1" s="1191"/>
      <c r="G1" s="1191"/>
      <c r="H1" s="11">
        <v>1</v>
      </c>
      <c r="L1" s="1195" t="s">
        <v>344</v>
      </c>
      <c r="M1" s="1195"/>
      <c r="N1" s="1195"/>
      <c r="O1" s="1195"/>
      <c r="P1" s="1195"/>
      <c r="Q1" s="1195"/>
      <c r="R1" s="1195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99" t="s">
        <v>151</v>
      </c>
      <c r="B5" s="1205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99" t="s">
        <v>340</v>
      </c>
      <c r="M5" s="1205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199"/>
      <c r="B6" s="1205"/>
      <c r="C6" s="199"/>
      <c r="D6" s="149"/>
      <c r="E6" s="105"/>
      <c r="F6" s="73"/>
      <c r="L6" s="1199"/>
      <c r="M6" s="1205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4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4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0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1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0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2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6">
        <v>327</v>
      </c>
      <c r="D11" s="857">
        <v>9207.75</v>
      </c>
      <c r="E11" s="858">
        <v>44823</v>
      </c>
      <c r="F11" s="859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0">
        <f t="shared" ref="M11:M30" si="6">M10-N11</f>
        <v>596</v>
      </c>
      <c r="N11" s="864">
        <v>24</v>
      </c>
      <c r="O11" s="727">
        <v>666.4</v>
      </c>
      <c r="P11" s="911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2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0">
        <f t="shared" si="6"/>
        <v>572</v>
      </c>
      <c r="N12" s="864">
        <v>24</v>
      </c>
      <c r="O12" s="727">
        <v>601</v>
      </c>
      <c r="P12" s="911">
        <v>44875</v>
      </c>
      <c r="Q12" s="730">
        <f t="shared" si="7"/>
        <v>601</v>
      </c>
      <c r="R12" s="728" t="s">
        <v>571</v>
      </c>
      <c r="S12" s="729">
        <v>50</v>
      </c>
      <c r="T12" s="922">
        <f t="shared" si="3"/>
        <v>30050</v>
      </c>
      <c r="U12" s="766">
        <f t="shared" si="8"/>
        <v>16418.499999999996</v>
      </c>
    </row>
    <row r="13" spans="1:21" x14ac:dyDescent="0.25">
      <c r="B13" s="867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68">
        <f>J12-F13-2</f>
        <v>6948.3</v>
      </c>
      <c r="M13" s="920">
        <f t="shared" si="6"/>
        <v>548</v>
      </c>
      <c r="N13" s="864">
        <v>24</v>
      </c>
      <c r="O13" s="727">
        <v>685.1</v>
      </c>
      <c r="P13" s="911">
        <v>44877</v>
      </c>
      <c r="Q13" s="730">
        <f t="shared" si="7"/>
        <v>685.1</v>
      </c>
      <c r="R13" s="728" t="s">
        <v>589</v>
      </c>
      <c r="S13" s="729">
        <v>50</v>
      </c>
      <c r="T13" s="922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0">
        <f t="shared" si="6"/>
        <v>524</v>
      </c>
      <c r="N14" s="864">
        <v>24</v>
      </c>
      <c r="O14" s="727">
        <v>701.7</v>
      </c>
      <c r="P14" s="911">
        <v>44879</v>
      </c>
      <c r="Q14" s="730">
        <f t="shared" si="7"/>
        <v>701.7</v>
      </c>
      <c r="R14" s="728" t="s">
        <v>591</v>
      </c>
      <c r="S14" s="729">
        <v>50</v>
      </c>
      <c r="T14" s="922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0">
        <f t="shared" si="6"/>
        <v>500</v>
      </c>
      <c r="N15" s="864">
        <v>24</v>
      </c>
      <c r="O15" s="727">
        <v>739.6</v>
      </c>
      <c r="P15" s="911">
        <v>44881</v>
      </c>
      <c r="Q15" s="730">
        <f t="shared" si="7"/>
        <v>739.6</v>
      </c>
      <c r="R15" s="728" t="s">
        <v>609</v>
      </c>
      <c r="S15" s="729">
        <v>50</v>
      </c>
      <c r="T15" s="922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19"/>
      <c r="M16" s="920">
        <f t="shared" si="6"/>
        <v>476</v>
      </c>
      <c r="N16" s="864">
        <v>24</v>
      </c>
      <c r="O16" s="727">
        <v>688.6</v>
      </c>
      <c r="P16" s="911">
        <v>44883</v>
      </c>
      <c r="Q16" s="730">
        <f t="shared" si="7"/>
        <v>688.6</v>
      </c>
      <c r="R16" s="728" t="s">
        <v>625</v>
      </c>
      <c r="S16" s="729">
        <v>50</v>
      </c>
      <c r="T16" s="922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19"/>
      <c r="M17" s="920">
        <f t="shared" si="6"/>
        <v>452</v>
      </c>
      <c r="N17" s="864">
        <v>24</v>
      </c>
      <c r="O17" s="727">
        <v>712.8</v>
      </c>
      <c r="P17" s="911">
        <v>44884</v>
      </c>
      <c r="Q17" s="730">
        <f t="shared" si="7"/>
        <v>712.8</v>
      </c>
      <c r="R17" s="728" t="s">
        <v>634</v>
      </c>
      <c r="S17" s="729">
        <v>50</v>
      </c>
      <c r="T17" s="922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19"/>
      <c r="M18" s="920">
        <f t="shared" si="6"/>
        <v>428</v>
      </c>
      <c r="N18" s="864">
        <v>24</v>
      </c>
      <c r="O18" s="727">
        <v>714.4</v>
      </c>
      <c r="P18" s="911">
        <v>44888</v>
      </c>
      <c r="Q18" s="730">
        <f t="shared" si="7"/>
        <v>714.4</v>
      </c>
      <c r="R18" s="728" t="s">
        <v>649</v>
      </c>
      <c r="S18" s="729">
        <v>50</v>
      </c>
      <c r="T18" s="922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0">
        <f t="shared" si="6"/>
        <v>404</v>
      </c>
      <c r="N19" s="864">
        <v>24</v>
      </c>
      <c r="O19" s="727">
        <v>691.4</v>
      </c>
      <c r="P19" s="911">
        <v>44891</v>
      </c>
      <c r="Q19" s="730">
        <f t="shared" si="7"/>
        <v>691.4</v>
      </c>
      <c r="R19" s="728" t="s">
        <v>679</v>
      </c>
      <c r="S19" s="729">
        <v>50</v>
      </c>
      <c r="T19" s="922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0">
        <f t="shared" si="6"/>
        <v>404</v>
      </c>
      <c r="N20" s="864"/>
      <c r="O20" s="727"/>
      <c r="P20" s="911"/>
      <c r="Q20" s="730">
        <f t="shared" si="7"/>
        <v>0</v>
      </c>
      <c r="R20" s="728"/>
      <c r="S20" s="729"/>
      <c r="T20" s="922">
        <f t="shared" si="3"/>
        <v>0</v>
      </c>
      <c r="U20" s="766">
        <f t="shared" si="9"/>
        <v>11484.899999999996</v>
      </c>
    </row>
    <row r="21" spans="1:21" x14ac:dyDescent="0.25">
      <c r="B21" s="867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68">
        <f t="shared" si="5"/>
        <v>2050.0000000000009</v>
      </c>
      <c r="M21" s="920">
        <f t="shared" si="6"/>
        <v>404</v>
      </c>
      <c r="N21" s="864"/>
      <c r="O21" s="727"/>
      <c r="P21" s="911"/>
      <c r="Q21" s="730">
        <f t="shared" si="7"/>
        <v>0</v>
      </c>
      <c r="R21" s="728"/>
      <c r="S21" s="729"/>
      <c r="T21" s="922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86">
        <v>731.4</v>
      </c>
      <c r="E22" s="905">
        <v>44865</v>
      </c>
      <c r="F22" s="887">
        <f t="shared" si="1"/>
        <v>731.4</v>
      </c>
      <c r="G22" s="889" t="s">
        <v>503</v>
      </c>
      <c r="H22" s="890">
        <v>50</v>
      </c>
      <c r="I22" s="589">
        <f t="shared" si="2"/>
        <v>36570</v>
      </c>
      <c r="J22" s="105">
        <f t="shared" si="5"/>
        <v>1318.6000000000008</v>
      </c>
      <c r="M22" s="920">
        <f t="shared" si="6"/>
        <v>404</v>
      </c>
      <c r="N22" s="864"/>
      <c r="O22" s="727"/>
      <c r="P22" s="911"/>
      <c r="Q22" s="730">
        <f t="shared" si="7"/>
        <v>0</v>
      </c>
      <c r="R22" s="728"/>
      <c r="S22" s="729"/>
      <c r="T22" s="922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86">
        <v>858.1</v>
      </c>
      <c r="E23" s="905">
        <v>44866</v>
      </c>
      <c r="F23" s="887">
        <f t="shared" si="1"/>
        <v>858.1</v>
      </c>
      <c r="G23" s="889" t="s">
        <v>512</v>
      </c>
      <c r="H23" s="890">
        <v>50</v>
      </c>
      <c r="I23" s="589">
        <f t="shared" si="2"/>
        <v>42905</v>
      </c>
      <c r="J23" s="105">
        <f t="shared" si="5"/>
        <v>460.5000000000008</v>
      </c>
      <c r="M23" s="920">
        <f t="shared" si="6"/>
        <v>404</v>
      </c>
      <c r="N23" s="864"/>
      <c r="O23" s="727"/>
      <c r="P23" s="911"/>
      <c r="Q23" s="730">
        <f t="shared" si="7"/>
        <v>0</v>
      </c>
      <c r="R23" s="728"/>
      <c r="S23" s="729"/>
      <c r="T23" s="922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86"/>
      <c r="E24" s="905"/>
      <c r="F24" s="887">
        <f t="shared" si="1"/>
        <v>0</v>
      </c>
      <c r="G24" s="889"/>
      <c r="H24" s="890"/>
      <c r="I24" s="589">
        <f t="shared" si="2"/>
        <v>0</v>
      </c>
      <c r="J24" s="105">
        <f t="shared" si="5"/>
        <v>460.5000000000008</v>
      </c>
      <c r="M24" s="920">
        <f t="shared" si="6"/>
        <v>404</v>
      </c>
      <c r="N24" s="864"/>
      <c r="O24" s="727"/>
      <c r="P24" s="911"/>
      <c r="Q24" s="730">
        <f t="shared" si="7"/>
        <v>0</v>
      </c>
      <c r="R24" s="728"/>
      <c r="S24" s="729"/>
      <c r="T24" s="922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86"/>
      <c r="E25" s="905"/>
      <c r="F25" s="1095">
        <v>460.5</v>
      </c>
      <c r="G25" s="1096"/>
      <c r="H25" s="1097"/>
      <c r="I25" s="1106">
        <f t="shared" si="2"/>
        <v>0</v>
      </c>
      <c r="J25" s="1101">
        <f t="shared" si="5"/>
        <v>7.9580786405131221E-13</v>
      </c>
      <c r="M25" s="920">
        <f t="shared" si="6"/>
        <v>404</v>
      </c>
      <c r="N25" s="864"/>
      <c r="O25" s="727"/>
      <c r="P25" s="911"/>
      <c r="Q25" s="730">
        <f t="shared" si="7"/>
        <v>0</v>
      </c>
      <c r="R25" s="728"/>
      <c r="S25" s="729"/>
      <c r="T25" s="922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86"/>
      <c r="E26" s="905"/>
      <c r="F26" s="1095">
        <f t="shared" si="1"/>
        <v>0</v>
      </c>
      <c r="G26" s="1096"/>
      <c r="H26" s="1097"/>
      <c r="I26" s="1106">
        <f t="shared" si="2"/>
        <v>0</v>
      </c>
      <c r="J26" s="1101">
        <f t="shared" si="5"/>
        <v>7.9580786405131221E-13</v>
      </c>
      <c r="M26" s="920">
        <f t="shared" si="6"/>
        <v>404</v>
      </c>
      <c r="N26" s="864"/>
      <c r="O26" s="727"/>
      <c r="P26" s="911"/>
      <c r="Q26" s="730">
        <f t="shared" si="7"/>
        <v>0</v>
      </c>
      <c r="R26" s="728"/>
      <c r="S26" s="729"/>
      <c r="T26" s="922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86"/>
      <c r="E27" s="905"/>
      <c r="F27" s="1095">
        <f t="shared" si="1"/>
        <v>0</v>
      </c>
      <c r="G27" s="1096"/>
      <c r="H27" s="1097"/>
      <c r="I27" s="1106">
        <f t="shared" si="2"/>
        <v>0</v>
      </c>
      <c r="J27" s="1101">
        <f t="shared" si="5"/>
        <v>7.9580786405131221E-13</v>
      </c>
      <c r="M27" s="920">
        <f t="shared" si="6"/>
        <v>404</v>
      </c>
      <c r="N27" s="864"/>
      <c r="O27" s="727"/>
      <c r="P27" s="911"/>
      <c r="Q27" s="730">
        <f t="shared" si="7"/>
        <v>0</v>
      </c>
      <c r="R27" s="728"/>
      <c r="S27" s="729"/>
      <c r="T27" s="922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7"/>
      <c r="E28" s="905"/>
      <c r="F28" s="887">
        <f t="shared" si="1"/>
        <v>0</v>
      </c>
      <c r="G28" s="889"/>
      <c r="H28" s="890"/>
      <c r="I28" s="589">
        <f t="shared" si="2"/>
        <v>0</v>
      </c>
      <c r="J28" s="105">
        <f t="shared" si="5"/>
        <v>7.9580786405131221E-13</v>
      </c>
      <c r="M28" s="920">
        <f t="shared" si="6"/>
        <v>404</v>
      </c>
      <c r="N28" s="864"/>
      <c r="O28" s="730"/>
      <c r="P28" s="911"/>
      <c r="Q28" s="730">
        <f t="shared" si="7"/>
        <v>0</v>
      </c>
      <c r="R28" s="728"/>
      <c r="S28" s="729"/>
      <c r="T28" s="922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7"/>
      <c r="E29" s="905"/>
      <c r="F29" s="887">
        <f t="shared" si="1"/>
        <v>0</v>
      </c>
      <c r="G29" s="889"/>
      <c r="H29" s="890"/>
      <c r="I29" s="590">
        <f t="shared" si="2"/>
        <v>0</v>
      </c>
      <c r="J29" s="105">
        <f t="shared" si="5"/>
        <v>7.9580786405131221E-13</v>
      </c>
      <c r="M29" s="920">
        <f t="shared" si="6"/>
        <v>404</v>
      </c>
      <c r="N29" s="864"/>
      <c r="O29" s="730"/>
      <c r="P29" s="911"/>
      <c r="Q29" s="730">
        <f t="shared" si="7"/>
        <v>0</v>
      </c>
      <c r="R29" s="728"/>
      <c r="S29" s="729"/>
      <c r="T29" s="923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87">
        <f t="shared" ref="D30" si="10">C30*B30</f>
        <v>0</v>
      </c>
      <c r="E30" s="1088"/>
      <c r="F30" s="1087">
        <f t="shared" si="1"/>
        <v>0</v>
      </c>
      <c r="G30" s="1089"/>
      <c r="H30" s="1090"/>
      <c r="I30" s="17">
        <f t="shared" si="2"/>
        <v>0</v>
      </c>
      <c r="J30" s="105">
        <f t="shared" si="5"/>
        <v>7.9580786405131221E-13</v>
      </c>
      <c r="M30" s="920">
        <f t="shared" si="6"/>
        <v>404</v>
      </c>
      <c r="N30" s="924"/>
      <c r="O30" s="925">
        <f t="shared" ref="O30" si="11">N30*M30</f>
        <v>0</v>
      </c>
      <c r="P30" s="926"/>
      <c r="Q30" s="925">
        <f t="shared" si="7"/>
        <v>0</v>
      </c>
      <c r="R30" s="927"/>
      <c r="S30" s="928"/>
      <c r="T30" s="929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4">
        <f>SUM(N9:N30)</f>
        <v>264</v>
      </c>
      <c r="O31" s="930">
        <f>SUM(O9:O30)</f>
        <v>7519.6</v>
      </c>
      <c r="P31" s="931"/>
      <c r="Q31" s="730">
        <f>SUM(Q9:Q30)</f>
        <v>7519.6</v>
      </c>
      <c r="R31" s="932"/>
      <c r="S31" s="929"/>
      <c r="T31" s="933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4"/>
      <c r="O32" s="934"/>
      <c r="P32" s="931"/>
      <c r="Q32" s="934"/>
      <c r="R32" s="932"/>
      <c r="S32" s="929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5" t="s">
        <v>4</v>
      </c>
      <c r="O33" s="936">
        <f>Q4+Q5+Q6+Q7-N31</f>
        <v>404</v>
      </c>
      <c r="P33" s="937"/>
      <c r="Q33" s="934"/>
      <c r="R33" s="932"/>
      <c r="S33" s="929"/>
      <c r="T33" s="764"/>
      <c r="U33" s="764"/>
    </row>
    <row r="34" spans="3:21" x14ac:dyDescent="0.25">
      <c r="C34" s="1241" t="s">
        <v>19</v>
      </c>
      <c r="D34" s="1242"/>
      <c r="E34" s="39">
        <f>E4+E5+E6+E7-F31</f>
        <v>2</v>
      </c>
      <c r="F34" s="6"/>
      <c r="G34" s="6"/>
      <c r="H34" s="17"/>
      <c r="M34" s="764"/>
      <c r="N34" s="1249" t="s">
        <v>19</v>
      </c>
      <c r="O34" s="1250"/>
      <c r="P34" s="938">
        <f>P4+P5+P6+P7-Q31</f>
        <v>11484.9</v>
      </c>
      <c r="Q34" s="934"/>
      <c r="R34" s="934"/>
      <c r="S34" s="929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3" t="s">
        <v>331</v>
      </c>
      <c r="B1" s="1253"/>
      <c r="C1" s="1253"/>
      <c r="D1" s="1253"/>
      <c r="E1" s="1253"/>
      <c r="F1" s="1253"/>
      <c r="G1" s="1253"/>
      <c r="H1" s="1253"/>
      <c r="I1" s="1253"/>
      <c r="J1" s="99">
        <v>1</v>
      </c>
      <c r="L1" s="1253" t="str">
        <f>A1</f>
        <v>INVENTARIO      DEL MES DE   OCTUBRE       2022</v>
      </c>
      <c r="M1" s="1253"/>
      <c r="N1" s="1253"/>
      <c r="O1" s="1253"/>
      <c r="P1" s="1253"/>
      <c r="Q1" s="1253"/>
      <c r="R1" s="1253"/>
      <c r="S1" s="1253"/>
      <c r="T1" s="1253"/>
      <c r="U1" s="99">
        <v>2</v>
      </c>
      <c r="W1" s="1254" t="s">
        <v>346</v>
      </c>
      <c r="X1" s="1254"/>
      <c r="Y1" s="1254"/>
      <c r="Z1" s="1254"/>
      <c r="AA1" s="1254"/>
      <c r="AB1" s="1254"/>
      <c r="AC1" s="1254"/>
      <c r="AD1" s="1254"/>
      <c r="AE1" s="125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09">
        <v>1299.74</v>
      </c>
      <c r="Q4" s="910">
        <v>48</v>
      </c>
      <c r="R4" s="73"/>
      <c r="W4" s="946"/>
      <c r="X4" s="764"/>
      <c r="Y4" s="942"/>
      <c r="Z4" s="943"/>
      <c r="AA4" s="944"/>
      <c r="AB4" s="945"/>
      <c r="AC4" s="73"/>
    </row>
    <row r="5" spans="1:32" ht="15" customHeight="1" x14ac:dyDescent="0.25">
      <c r="A5" s="1256" t="s">
        <v>52</v>
      </c>
      <c r="B5" s="1257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6" t="s">
        <v>52</v>
      </c>
      <c r="M5" s="1257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5" t="s">
        <v>52</v>
      </c>
      <c r="X5" s="1258" t="s">
        <v>88</v>
      </c>
      <c r="Y5" s="942"/>
      <c r="Z5" s="943">
        <v>44867</v>
      </c>
      <c r="AA5" s="944">
        <v>18564</v>
      </c>
      <c r="AB5" s="945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6"/>
      <c r="B6" s="1205"/>
      <c r="C6" s="236">
        <v>85</v>
      </c>
      <c r="D6" s="336">
        <v>44764</v>
      </c>
      <c r="E6" s="255">
        <v>4005.63</v>
      </c>
      <c r="F6" s="241">
        <v>160</v>
      </c>
      <c r="G6" s="73"/>
      <c r="L6" s="1256"/>
      <c r="M6" s="1205"/>
      <c r="N6" s="236"/>
      <c r="O6" s="336"/>
      <c r="P6" s="255"/>
      <c r="Q6" s="241"/>
      <c r="R6" s="73"/>
      <c r="W6" s="1255"/>
      <c r="X6" s="1259"/>
      <c r="Y6" s="942"/>
      <c r="Z6" s="943"/>
      <c r="AA6" s="944"/>
      <c r="AB6" s="945"/>
      <c r="AC6" s="73"/>
    </row>
    <row r="7" spans="1:32" ht="15.75" customHeight="1" thickBot="1" x14ac:dyDescent="0.35">
      <c r="A7" s="1256"/>
      <c r="B7" s="1205"/>
      <c r="C7" s="236"/>
      <c r="D7" s="336"/>
      <c r="E7" s="255">
        <v>1.05</v>
      </c>
      <c r="F7" s="241"/>
      <c r="G7" s="73"/>
      <c r="I7" s="372"/>
      <c r="J7" s="372"/>
      <c r="L7" s="1256"/>
      <c r="M7" s="1205"/>
      <c r="N7" s="236"/>
      <c r="O7" s="336"/>
      <c r="P7" s="255"/>
      <c r="Q7" s="241"/>
      <c r="R7" s="73"/>
      <c r="T7" s="372"/>
      <c r="U7" s="372"/>
      <c r="W7" s="1255"/>
      <c r="X7" s="1260"/>
      <c r="Y7" s="942"/>
      <c r="Z7" s="943"/>
      <c r="AA7" s="944"/>
      <c r="AB7" s="945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4" t="s">
        <v>47</v>
      </c>
      <c r="J8" s="1251" t="s">
        <v>4</v>
      </c>
      <c r="M8" s="413"/>
      <c r="N8" s="236"/>
      <c r="O8" s="336"/>
      <c r="P8" s="239"/>
      <c r="Q8" s="240"/>
      <c r="R8" s="73"/>
      <c r="T8" s="1244" t="s">
        <v>47</v>
      </c>
      <c r="U8" s="1251" t="s">
        <v>4</v>
      </c>
      <c r="W8" s="3"/>
      <c r="X8" s="413"/>
      <c r="Y8" s="236"/>
      <c r="Z8" s="336"/>
      <c r="AA8" s="239"/>
      <c r="AB8" s="240"/>
      <c r="AC8" s="73"/>
      <c r="AE8" s="1244" t="s">
        <v>47</v>
      </c>
      <c r="AF8" s="125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5"/>
      <c r="J9" s="12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5"/>
      <c r="U9" s="125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5"/>
      <c r="AF9" s="1252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5">
        <f t="shared" si="11"/>
        <v>1819.0800000000013</v>
      </c>
      <c r="J75" s="886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80">
        <v>160.03</v>
      </c>
      <c r="E76" s="902">
        <v>44866</v>
      </c>
      <c r="F76" s="887">
        <f t="shared" si="6"/>
        <v>160.03</v>
      </c>
      <c r="G76" s="889" t="s">
        <v>506</v>
      </c>
      <c r="H76" s="890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80">
        <v>106.31</v>
      </c>
      <c r="E77" s="902">
        <v>44867</v>
      </c>
      <c r="F77" s="887">
        <f t="shared" si="6"/>
        <v>106.31</v>
      </c>
      <c r="G77" s="889" t="s">
        <v>515</v>
      </c>
      <c r="H77" s="890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80">
        <v>204.06</v>
      </c>
      <c r="E78" s="902">
        <v>44869</v>
      </c>
      <c r="F78" s="887">
        <f t="shared" si="6"/>
        <v>204.06</v>
      </c>
      <c r="G78" s="889" t="s">
        <v>529</v>
      </c>
      <c r="H78" s="890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80">
        <v>127.98</v>
      </c>
      <c r="E79" s="902">
        <v>44874</v>
      </c>
      <c r="F79" s="887">
        <f t="shared" si="6"/>
        <v>127.98</v>
      </c>
      <c r="G79" s="889" t="s">
        <v>561</v>
      </c>
      <c r="H79" s="890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80">
        <v>26.52</v>
      </c>
      <c r="E80" s="902">
        <v>44875</v>
      </c>
      <c r="F80" s="887">
        <f t="shared" si="6"/>
        <v>26.52</v>
      </c>
      <c r="G80" s="889" t="s">
        <v>567</v>
      </c>
      <c r="H80" s="890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80">
        <v>19.899999999999999</v>
      </c>
      <c r="E81" s="902">
        <v>44875</v>
      </c>
      <c r="F81" s="887">
        <f t="shared" si="6"/>
        <v>19.899999999999999</v>
      </c>
      <c r="G81" s="889" t="s">
        <v>568</v>
      </c>
      <c r="H81" s="890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80">
        <v>50.72</v>
      </c>
      <c r="E82" s="902">
        <v>44877</v>
      </c>
      <c r="F82" s="887">
        <f t="shared" si="6"/>
        <v>50.72</v>
      </c>
      <c r="G82" s="889" t="s">
        <v>583</v>
      </c>
      <c r="H82" s="890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80">
        <v>108.24</v>
      </c>
      <c r="E83" s="902">
        <v>44877</v>
      </c>
      <c r="F83" s="887">
        <f t="shared" si="6"/>
        <v>108.24</v>
      </c>
      <c r="G83" s="889" t="s">
        <v>587</v>
      </c>
      <c r="H83" s="890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80">
        <v>105.45</v>
      </c>
      <c r="E84" s="902">
        <v>44880</v>
      </c>
      <c r="F84" s="887">
        <f t="shared" si="6"/>
        <v>105.45</v>
      </c>
      <c r="G84" s="889" t="s">
        <v>607</v>
      </c>
      <c r="H84" s="890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80">
        <v>79.87</v>
      </c>
      <c r="E85" s="902">
        <v>44881</v>
      </c>
      <c r="F85" s="887">
        <f t="shared" si="6"/>
        <v>79.87</v>
      </c>
      <c r="G85" s="889" t="s">
        <v>610</v>
      </c>
      <c r="H85" s="890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80">
        <v>54.7</v>
      </c>
      <c r="E86" s="902">
        <v>44883</v>
      </c>
      <c r="F86" s="887">
        <f t="shared" si="6"/>
        <v>54.7</v>
      </c>
      <c r="G86" s="889" t="s">
        <v>623</v>
      </c>
      <c r="H86" s="890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80">
        <v>213.28</v>
      </c>
      <c r="E87" s="902">
        <v>44883</v>
      </c>
      <c r="F87" s="887">
        <f t="shared" si="6"/>
        <v>213.28</v>
      </c>
      <c r="G87" s="889" t="s">
        <v>625</v>
      </c>
      <c r="H87" s="890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80">
        <v>26.14</v>
      </c>
      <c r="E88" s="902">
        <v>44883</v>
      </c>
      <c r="F88" s="887">
        <f t="shared" si="6"/>
        <v>26.14</v>
      </c>
      <c r="G88" s="889" t="s">
        <v>628</v>
      </c>
      <c r="H88" s="890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80">
        <v>137.38999999999999</v>
      </c>
      <c r="E89" s="902">
        <v>44889</v>
      </c>
      <c r="F89" s="887">
        <f t="shared" si="6"/>
        <v>137.38999999999999</v>
      </c>
      <c r="G89" s="889" t="s">
        <v>663</v>
      </c>
      <c r="H89" s="890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80">
        <v>72.59</v>
      </c>
      <c r="E90" s="902">
        <v>44890</v>
      </c>
      <c r="F90" s="887">
        <f t="shared" si="6"/>
        <v>72.59</v>
      </c>
      <c r="G90" s="889" t="s">
        <v>670</v>
      </c>
      <c r="H90" s="890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80">
        <v>55.23</v>
      </c>
      <c r="E91" s="902">
        <v>44890</v>
      </c>
      <c r="F91" s="887">
        <f t="shared" si="6"/>
        <v>55.23</v>
      </c>
      <c r="G91" s="889" t="s">
        <v>672</v>
      </c>
      <c r="H91" s="890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80">
        <v>154</v>
      </c>
      <c r="E92" s="902">
        <v>44891</v>
      </c>
      <c r="F92" s="887">
        <f t="shared" si="6"/>
        <v>154</v>
      </c>
      <c r="G92" s="889" t="s">
        <v>683</v>
      </c>
      <c r="H92" s="890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80"/>
      <c r="E93" s="902"/>
      <c r="F93" s="887">
        <f t="shared" si="6"/>
        <v>0</v>
      </c>
      <c r="G93" s="889"/>
      <c r="H93" s="890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80"/>
      <c r="E94" s="902"/>
      <c r="F94" s="887">
        <f t="shared" si="6"/>
        <v>0</v>
      </c>
      <c r="G94" s="889"/>
      <c r="H94" s="890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80"/>
      <c r="E95" s="902"/>
      <c r="F95" s="887">
        <f t="shared" si="6"/>
        <v>0</v>
      </c>
      <c r="G95" s="889"/>
      <c r="H95" s="890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80"/>
      <c r="E96" s="902"/>
      <c r="F96" s="887">
        <f t="shared" si="6"/>
        <v>0</v>
      </c>
      <c r="G96" s="889"/>
      <c r="H96" s="890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80"/>
      <c r="E97" s="902"/>
      <c r="F97" s="887">
        <f t="shared" si="6"/>
        <v>0</v>
      </c>
      <c r="G97" s="889"/>
      <c r="H97" s="890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80"/>
      <c r="E98" s="902"/>
      <c r="F98" s="887">
        <f t="shared" si="6"/>
        <v>0</v>
      </c>
      <c r="G98" s="889"/>
      <c r="H98" s="890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80"/>
      <c r="E99" s="902"/>
      <c r="F99" s="887">
        <f t="shared" si="6"/>
        <v>0</v>
      </c>
      <c r="G99" s="889"/>
      <c r="H99" s="890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80"/>
      <c r="E100" s="902"/>
      <c r="F100" s="887">
        <f t="shared" si="6"/>
        <v>0</v>
      </c>
      <c r="G100" s="889"/>
      <c r="H100" s="890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26">
        <v>0</v>
      </c>
      <c r="E101" s="1127"/>
      <c r="F101" s="1087">
        <f t="shared" si="6"/>
        <v>0</v>
      </c>
      <c r="G101" s="1089"/>
      <c r="H101" s="1128"/>
      <c r="I101" s="1129">
        <f t="shared" si="16"/>
        <v>116.67000000000121</v>
      </c>
      <c r="J101" s="1130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5" t="s">
        <v>11</v>
      </c>
      <c r="D105" s="1236"/>
      <c r="E105" s="145">
        <f>E5+E4+E6+-F102+E7</f>
        <v>116.6700000000008</v>
      </c>
      <c r="F105" s="5"/>
      <c r="L105" s="47"/>
      <c r="N105" s="1235" t="s">
        <v>11</v>
      </c>
      <c r="O105" s="1236"/>
      <c r="P105" s="145">
        <f>P5+P4+P6+-Q102+P7</f>
        <v>1299.74</v>
      </c>
      <c r="Q105" s="5"/>
      <c r="W105" s="47"/>
      <c r="Y105" s="1235" t="s">
        <v>11</v>
      </c>
      <c r="Z105" s="1236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/>
      <c r="B1" s="1195"/>
      <c r="C1" s="1195"/>
      <c r="D1" s="1195"/>
      <c r="E1" s="1195"/>
      <c r="F1" s="1195"/>
      <c r="G1" s="119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63"/>
      <c r="B5" s="1265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4"/>
      <c r="B6" s="1266"/>
      <c r="C6" s="225"/>
      <c r="D6" s="118"/>
      <c r="E6" s="495"/>
      <c r="F6" s="240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5" t="s">
        <v>11</v>
      </c>
      <c r="D100" s="123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/>
      <c r="B1" s="1195"/>
      <c r="C1" s="1195"/>
      <c r="D1" s="1195"/>
      <c r="E1" s="1195"/>
      <c r="F1" s="1195"/>
      <c r="G1" s="119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1"/>
      <c r="B5" s="126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2"/>
      <c r="B6" s="1270"/>
      <c r="C6" s="225"/>
      <c r="D6" s="118"/>
      <c r="E6" s="144"/>
      <c r="F6" s="241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5" t="s">
        <v>11</v>
      </c>
      <c r="D33" s="123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53" t="s">
        <v>332</v>
      </c>
      <c r="B1" s="1253"/>
      <c r="C1" s="1253"/>
      <c r="D1" s="1253"/>
      <c r="E1" s="1253"/>
      <c r="F1" s="1253"/>
      <c r="G1" s="1253"/>
      <c r="H1" s="1253"/>
      <c r="I1" s="1253"/>
      <c r="J1" s="99">
        <v>1</v>
      </c>
      <c r="L1" s="1253" t="s">
        <v>684</v>
      </c>
      <c r="M1" s="1253"/>
      <c r="N1" s="1253"/>
      <c r="O1" s="1253"/>
      <c r="P1" s="1253"/>
      <c r="Q1" s="1253"/>
      <c r="R1" s="1253"/>
      <c r="S1" s="1253"/>
      <c r="T1" s="125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71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71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72"/>
      <c r="C6" s="236"/>
      <c r="D6" s="336"/>
      <c r="E6" s="255"/>
      <c r="F6" s="241"/>
      <c r="G6" s="73"/>
      <c r="L6" s="587" t="s">
        <v>211</v>
      </c>
      <c r="M6" s="1272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72"/>
      <c r="C7" s="236"/>
      <c r="D7" s="336"/>
      <c r="E7" s="255"/>
      <c r="F7" s="241"/>
      <c r="G7" s="73"/>
      <c r="I7" s="372"/>
      <c r="J7" s="372"/>
      <c r="L7" s="587"/>
      <c r="M7" s="1272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44" t="s">
        <v>47</v>
      </c>
      <c r="J8" s="1251" t="s">
        <v>4</v>
      </c>
      <c r="M8" s="413"/>
      <c r="N8" s="236"/>
      <c r="O8" s="118"/>
      <c r="P8" s="334"/>
      <c r="Q8" s="335"/>
      <c r="R8" s="73"/>
      <c r="T8" s="1244" t="s">
        <v>47</v>
      </c>
      <c r="U8" s="125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5"/>
      <c r="J9" s="12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5"/>
      <c r="U9" s="1252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5">
        <f>P4+P5+P6-Q10+P7+P8</f>
        <v>1950</v>
      </c>
      <c r="U10" s="886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5">
        <f t="shared" ref="I12:I37" si="3">I11-F12</f>
        <v>825</v>
      </c>
      <c r="J12" s="886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5">
        <f t="shared" si="3"/>
        <v>135</v>
      </c>
      <c r="J27" s="886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80">
        <f t="shared" si="2"/>
        <v>45</v>
      </c>
      <c r="E28" s="902">
        <v>44865</v>
      </c>
      <c r="F28" s="887">
        <f t="shared" si="0"/>
        <v>45</v>
      </c>
      <c r="G28" s="889" t="s">
        <v>502</v>
      </c>
      <c r="H28" s="890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80">
        <f t="shared" si="2"/>
        <v>30</v>
      </c>
      <c r="E29" s="902">
        <v>44866</v>
      </c>
      <c r="F29" s="887">
        <f t="shared" si="0"/>
        <v>30</v>
      </c>
      <c r="G29" s="889" t="s">
        <v>505</v>
      </c>
      <c r="H29" s="890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80">
        <f t="shared" si="2"/>
        <v>15</v>
      </c>
      <c r="E30" s="902">
        <v>44866</v>
      </c>
      <c r="F30" s="887">
        <f t="shared" si="0"/>
        <v>15</v>
      </c>
      <c r="G30" s="889" t="s">
        <v>513</v>
      </c>
      <c r="H30" s="890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80">
        <f t="shared" si="2"/>
        <v>45</v>
      </c>
      <c r="E31" s="902">
        <v>44868</v>
      </c>
      <c r="F31" s="887">
        <f t="shared" si="0"/>
        <v>45</v>
      </c>
      <c r="G31" s="889" t="s">
        <v>522</v>
      </c>
      <c r="H31" s="890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80">
        <f t="shared" si="2"/>
        <v>0</v>
      </c>
      <c r="E32" s="902"/>
      <c r="F32" s="1095">
        <f t="shared" si="0"/>
        <v>0</v>
      </c>
      <c r="G32" s="1096"/>
      <c r="H32" s="1097"/>
      <c r="I32" s="689">
        <f t="shared" si="3"/>
        <v>0</v>
      </c>
      <c r="J32" s="1099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80">
        <f t="shared" si="2"/>
        <v>0</v>
      </c>
      <c r="E33" s="902"/>
      <c r="F33" s="1095">
        <f t="shared" si="0"/>
        <v>0</v>
      </c>
      <c r="G33" s="1096"/>
      <c r="H33" s="1097"/>
      <c r="I33" s="689">
        <f t="shared" si="3"/>
        <v>0</v>
      </c>
      <c r="J33" s="1099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80">
        <f t="shared" si="2"/>
        <v>0</v>
      </c>
      <c r="E34" s="902"/>
      <c r="F34" s="1095">
        <f t="shared" si="0"/>
        <v>0</v>
      </c>
      <c r="G34" s="1096"/>
      <c r="H34" s="1097"/>
      <c r="I34" s="689">
        <f t="shared" si="3"/>
        <v>0</v>
      </c>
      <c r="J34" s="1099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80">
        <f t="shared" si="2"/>
        <v>0</v>
      </c>
      <c r="E35" s="902"/>
      <c r="F35" s="1095">
        <f t="shared" si="0"/>
        <v>0</v>
      </c>
      <c r="G35" s="1096"/>
      <c r="H35" s="1097"/>
      <c r="I35" s="689">
        <f t="shared" si="3"/>
        <v>0</v>
      </c>
      <c r="J35" s="1099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5" t="s">
        <v>11</v>
      </c>
      <c r="D42" s="1236"/>
      <c r="E42" s="145">
        <f>E5+E4+E6+-F39</f>
        <v>1005</v>
      </c>
      <c r="F42" s="5"/>
      <c r="L42" s="47"/>
      <c r="N42" s="1235" t="s">
        <v>11</v>
      </c>
      <c r="O42" s="1236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4" t="s">
        <v>343</v>
      </c>
      <c r="B1" s="1184"/>
      <c r="C1" s="1184"/>
      <c r="D1" s="1184"/>
      <c r="E1" s="1184"/>
      <c r="F1" s="1184"/>
      <c r="G1" s="118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04" t="s">
        <v>458</v>
      </c>
      <c r="B5" s="1208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204"/>
      <c r="B6" s="1273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1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2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2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2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2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7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80" t="s">
        <v>21</v>
      </c>
      <c r="E75" s="1181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2" t="s">
        <v>95</v>
      </c>
      <c r="C5" s="392"/>
      <c r="D5" s="134"/>
      <c r="E5" s="208"/>
      <c r="F5" s="62"/>
      <c r="G5" s="5"/>
    </row>
    <row r="6" spans="1:9" x14ac:dyDescent="0.25">
      <c r="A6" s="405"/>
      <c r="B6" s="1192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99"/>
      <c r="B5" s="127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99"/>
      <c r="B6" s="1274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3" t="s">
        <v>11</v>
      </c>
      <c r="D60" s="119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4"/>
      <c r="B1" s="1184"/>
      <c r="C1" s="1184"/>
      <c r="D1" s="1184"/>
      <c r="E1" s="1184"/>
      <c r="F1" s="1184"/>
      <c r="G1" s="118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08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08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08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80" t="s">
        <v>21</v>
      </c>
      <c r="E41" s="1181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1" t="s">
        <v>333</v>
      </c>
      <c r="B1" s="1191"/>
      <c r="C1" s="1191"/>
      <c r="D1" s="1191"/>
      <c r="E1" s="1191"/>
      <c r="F1" s="1191"/>
      <c r="G1" s="1191"/>
      <c r="H1" s="11">
        <v>1</v>
      </c>
      <c r="K1" s="1195" t="s">
        <v>343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5" t="s">
        <v>52</v>
      </c>
      <c r="B4" s="487"/>
      <c r="C4" s="128"/>
      <c r="D4" s="135"/>
      <c r="E4" s="86">
        <v>142.04</v>
      </c>
      <c r="F4" s="73">
        <v>4</v>
      </c>
      <c r="G4" s="847"/>
      <c r="K4" s="1275" t="s">
        <v>52</v>
      </c>
      <c r="L4" s="487"/>
      <c r="M4" s="128"/>
      <c r="N4" s="135"/>
      <c r="O4" s="86"/>
      <c r="P4" s="73"/>
      <c r="Q4" s="1061"/>
    </row>
    <row r="5" spans="1:19" ht="15" customHeight="1" x14ac:dyDescent="0.25">
      <c r="A5" s="1276"/>
      <c r="B5" s="1278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6"/>
      <c r="L5" s="1278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7"/>
      <c r="B6" s="1279"/>
      <c r="C6" s="555"/>
      <c r="D6" s="135"/>
      <c r="E6" s="86"/>
      <c r="F6" s="73"/>
      <c r="G6" s="73"/>
      <c r="K6" s="1277"/>
      <c r="L6" s="1279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2" t="s">
        <v>258</v>
      </c>
      <c r="B10" s="235">
        <f>F4+F5+F6+F7+F8-C10</f>
        <v>99</v>
      </c>
      <c r="C10" s="863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2" t="s">
        <v>258</v>
      </c>
      <c r="L10" s="1064">
        <f>P4+P5+P6+P7+P8-M10</f>
        <v>94</v>
      </c>
      <c r="M10" s="1065"/>
      <c r="N10" s="769"/>
      <c r="O10" s="1066"/>
      <c r="P10" s="769">
        <f t="shared" ref="P10:P57" si="1">N10</f>
        <v>0</v>
      </c>
      <c r="Q10" s="1067"/>
      <c r="R10" s="1068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69">
        <f>L10-M11</f>
        <v>94</v>
      </c>
      <c r="M11" s="1065"/>
      <c r="N11" s="769"/>
      <c r="O11" s="1066"/>
      <c r="P11" s="769">
        <f t="shared" si="1"/>
        <v>0</v>
      </c>
      <c r="Q11" s="1067"/>
      <c r="R11" s="1068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69">
        <f t="shared" ref="L12:L58" si="4">L11-M12</f>
        <v>94</v>
      </c>
      <c r="M12" s="1065"/>
      <c r="N12" s="769"/>
      <c r="O12" s="1066"/>
      <c r="P12" s="769">
        <f t="shared" si="1"/>
        <v>0</v>
      </c>
      <c r="Q12" s="1067"/>
      <c r="R12" s="1068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69">
        <f t="shared" si="4"/>
        <v>94</v>
      </c>
      <c r="M13" s="1065"/>
      <c r="N13" s="769"/>
      <c r="O13" s="1066"/>
      <c r="P13" s="769">
        <f t="shared" si="1"/>
        <v>0</v>
      </c>
      <c r="Q13" s="1067"/>
      <c r="R13" s="1068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69">
        <f t="shared" si="4"/>
        <v>94</v>
      </c>
      <c r="M14" s="1065"/>
      <c r="N14" s="769"/>
      <c r="O14" s="1066"/>
      <c r="P14" s="769">
        <f t="shared" si="1"/>
        <v>0</v>
      </c>
      <c r="Q14" s="1067"/>
      <c r="R14" s="1068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69">
        <f t="shared" si="4"/>
        <v>94</v>
      </c>
      <c r="M15" s="1065"/>
      <c r="N15" s="769"/>
      <c r="O15" s="1066"/>
      <c r="P15" s="769">
        <f t="shared" si="1"/>
        <v>0</v>
      </c>
      <c r="Q15" s="1067"/>
      <c r="R15" s="1068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69">
        <f t="shared" si="4"/>
        <v>94</v>
      </c>
      <c r="M16" s="1065"/>
      <c r="N16" s="769"/>
      <c r="O16" s="1066"/>
      <c r="P16" s="769">
        <f t="shared" si="1"/>
        <v>0</v>
      </c>
      <c r="Q16" s="1067"/>
      <c r="R16" s="1068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69">
        <f t="shared" si="4"/>
        <v>94</v>
      </c>
      <c r="M17" s="1065"/>
      <c r="N17" s="769"/>
      <c r="O17" s="1066"/>
      <c r="P17" s="769">
        <f t="shared" si="1"/>
        <v>0</v>
      </c>
      <c r="Q17" s="1067"/>
      <c r="R17" s="1068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69">
        <f t="shared" si="4"/>
        <v>94</v>
      </c>
      <c r="M18" s="1065"/>
      <c r="N18" s="769"/>
      <c r="O18" s="1066"/>
      <c r="P18" s="769">
        <f t="shared" si="1"/>
        <v>0</v>
      </c>
      <c r="Q18" s="1067"/>
      <c r="R18" s="1068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69">
        <f t="shared" si="4"/>
        <v>94</v>
      </c>
      <c r="M19" s="1065"/>
      <c r="N19" s="769"/>
      <c r="O19" s="1066"/>
      <c r="P19" s="769">
        <f t="shared" si="1"/>
        <v>0</v>
      </c>
      <c r="Q19" s="1067"/>
      <c r="R19" s="1068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69">
        <f t="shared" si="4"/>
        <v>94</v>
      </c>
      <c r="M20" s="1065"/>
      <c r="N20" s="769"/>
      <c r="O20" s="1066"/>
      <c r="P20" s="769">
        <f t="shared" si="1"/>
        <v>0</v>
      </c>
      <c r="Q20" s="1067"/>
      <c r="R20" s="1068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69">
        <f t="shared" si="4"/>
        <v>94</v>
      </c>
      <c r="M21" s="1065"/>
      <c r="N21" s="769"/>
      <c r="O21" s="1070"/>
      <c r="P21" s="769">
        <f t="shared" si="1"/>
        <v>0</v>
      </c>
      <c r="Q21" s="1067"/>
      <c r="R21" s="1068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69">
        <f t="shared" si="4"/>
        <v>94</v>
      </c>
      <c r="M22" s="1065"/>
      <c r="N22" s="769"/>
      <c r="O22" s="1070"/>
      <c r="P22" s="769">
        <f t="shared" si="1"/>
        <v>0</v>
      </c>
      <c r="Q22" s="1067"/>
      <c r="R22" s="1068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69">
        <f t="shared" si="4"/>
        <v>94</v>
      </c>
      <c r="M23" s="1065"/>
      <c r="N23" s="769"/>
      <c r="O23" s="1070"/>
      <c r="P23" s="769">
        <f t="shared" si="1"/>
        <v>0</v>
      </c>
      <c r="Q23" s="1067"/>
      <c r="R23" s="1068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69">
        <f t="shared" si="4"/>
        <v>94</v>
      </c>
      <c r="M24" s="1065"/>
      <c r="N24" s="769"/>
      <c r="O24" s="1070"/>
      <c r="P24" s="769">
        <f t="shared" si="1"/>
        <v>0</v>
      </c>
      <c r="Q24" s="1067"/>
      <c r="R24" s="1068"/>
      <c r="S24" s="721">
        <f t="shared" si="7"/>
        <v>2810.63</v>
      </c>
    </row>
    <row r="25" spans="1:19" ht="15.75" x14ac:dyDescent="0.25">
      <c r="A25" s="1139" t="s">
        <v>686</v>
      </c>
      <c r="B25" s="881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3">
        <f t="shared" si="6"/>
        <v>1426</v>
      </c>
      <c r="L25" s="1069">
        <f t="shared" si="4"/>
        <v>94</v>
      </c>
      <c r="M25" s="1065"/>
      <c r="N25" s="769"/>
      <c r="O25" s="1070"/>
      <c r="P25" s="769">
        <f t="shared" si="1"/>
        <v>0</v>
      </c>
      <c r="Q25" s="1067"/>
      <c r="R25" s="1068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1">
        <v>210.23</v>
      </c>
      <c r="E26" s="1082">
        <v>44865</v>
      </c>
      <c r="F26" s="1081">
        <f t="shared" si="0"/>
        <v>210.23</v>
      </c>
      <c r="G26" s="1083" t="s">
        <v>503</v>
      </c>
      <c r="H26" s="1084">
        <v>30</v>
      </c>
      <c r="I26" s="132">
        <f t="shared" si="6"/>
        <v>1215.77</v>
      </c>
      <c r="L26" s="1069">
        <f t="shared" si="4"/>
        <v>94</v>
      </c>
      <c r="M26" s="1065"/>
      <c r="N26" s="769"/>
      <c r="O26" s="1070"/>
      <c r="P26" s="769">
        <f t="shared" si="1"/>
        <v>0</v>
      </c>
      <c r="Q26" s="1067"/>
      <c r="R26" s="1068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1"/>
      <c r="E27" s="1082"/>
      <c r="F27" s="1081">
        <f t="shared" si="0"/>
        <v>0</v>
      </c>
      <c r="G27" s="1083"/>
      <c r="H27" s="1084"/>
      <c r="I27" s="132">
        <f t="shared" si="6"/>
        <v>1215.77</v>
      </c>
      <c r="L27" s="1069">
        <f t="shared" si="4"/>
        <v>94</v>
      </c>
      <c r="M27" s="1065"/>
      <c r="N27" s="769"/>
      <c r="O27" s="1070"/>
      <c r="P27" s="769">
        <f t="shared" si="1"/>
        <v>0</v>
      </c>
      <c r="Q27" s="1067"/>
      <c r="R27" s="1068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1"/>
      <c r="E28" s="1082"/>
      <c r="F28" s="1081">
        <f t="shared" si="0"/>
        <v>0</v>
      </c>
      <c r="G28" s="1083"/>
      <c r="H28" s="1084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1"/>
      <c r="E29" s="1082"/>
      <c r="F29" s="1081">
        <f t="shared" si="0"/>
        <v>0</v>
      </c>
      <c r="G29" s="1083"/>
      <c r="H29" s="1084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1"/>
      <c r="E30" s="1082"/>
      <c r="F30" s="1081">
        <f t="shared" si="0"/>
        <v>0</v>
      </c>
      <c r="G30" s="1083"/>
      <c r="H30" s="1084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1"/>
      <c r="E31" s="1085"/>
      <c r="F31" s="1081">
        <f t="shared" si="0"/>
        <v>0</v>
      </c>
      <c r="G31" s="1083"/>
      <c r="H31" s="1084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1"/>
      <c r="E32" s="1085"/>
      <c r="F32" s="1081">
        <f t="shared" si="0"/>
        <v>0</v>
      </c>
      <c r="G32" s="1083"/>
      <c r="H32" s="1084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1"/>
      <c r="E33" s="1085"/>
      <c r="F33" s="1081">
        <f t="shared" si="0"/>
        <v>0</v>
      </c>
      <c r="G33" s="1083"/>
      <c r="H33" s="1084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1"/>
      <c r="E34" s="1085"/>
      <c r="F34" s="1081">
        <f t="shared" si="0"/>
        <v>0</v>
      </c>
      <c r="G34" s="1083"/>
      <c r="H34" s="1084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1"/>
      <c r="E35" s="1085"/>
      <c r="F35" s="1081">
        <f t="shared" si="0"/>
        <v>0</v>
      </c>
      <c r="G35" s="1083"/>
      <c r="H35" s="1084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1"/>
      <c r="E36" s="1085"/>
      <c r="F36" s="1081">
        <f t="shared" si="0"/>
        <v>0</v>
      </c>
      <c r="G36" s="1083"/>
      <c r="H36" s="1084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1"/>
      <c r="E37" s="1085"/>
      <c r="F37" s="1081">
        <f t="shared" si="0"/>
        <v>0</v>
      </c>
      <c r="G37" s="1083"/>
      <c r="H37" s="1084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1"/>
      <c r="E38" s="1085"/>
      <c r="F38" s="1081">
        <f t="shared" si="0"/>
        <v>0</v>
      </c>
      <c r="G38" s="1083"/>
      <c r="H38" s="1084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1"/>
      <c r="E39" s="1085"/>
      <c r="F39" s="1081">
        <f t="shared" si="0"/>
        <v>0</v>
      </c>
      <c r="G39" s="1083"/>
      <c r="H39" s="1084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1"/>
      <c r="E40" s="1085"/>
      <c r="F40" s="1081">
        <f t="shared" si="0"/>
        <v>0</v>
      </c>
      <c r="G40" s="1083"/>
      <c r="H40" s="1084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1"/>
      <c r="E41" s="1085"/>
      <c r="F41" s="1081">
        <f t="shared" si="0"/>
        <v>0</v>
      </c>
      <c r="G41" s="1083"/>
      <c r="H41" s="1084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1"/>
      <c r="E42" s="1085"/>
      <c r="F42" s="1081">
        <f t="shared" si="0"/>
        <v>0</v>
      </c>
      <c r="G42" s="1083"/>
      <c r="H42" s="1084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1"/>
      <c r="E43" s="1085"/>
      <c r="F43" s="1081">
        <f t="shared" si="0"/>
        <v>0</v>
      </c>
      <c r="G43" s="1083"/>
      <c r="H43" s="1084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1"/>
      <c r="E44" s="1085"/>
      <c r="F44" s="1081">
        <f t="shared" si="0"/>
        <v>0</v>
      </c>
      <c r="G44" s="1083"/>
      <c r="H44" s="1084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1"/>
      <c r="E45" s="1085"/>
      <c r="F45" s="1081">
        <f t="shared" si="0"/>
        <v>0</v>
      </c>
      <c r="G45" s="1083"/>
      <c r="H45" s="1084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1"/>
      <c r="E46" s="1085"/>
      <c r="F46" s="1081">
        <f t="shared" si="0"/>
        <v>0</v>
      </c>
      <c r="G46" s="1083"/>
      <c r="H46" s="1084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1"/>
      <c r="E47" s="1085"/>
      <c r="F47" s="1081">
        <f t="shared" si="0"/>
        <v>0</v>
      </c>
      <c r="G47" s="1083"/>
      <c r="H47" s="1084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1"/>
      <c r="E48" s="1085"/>
      <c r="F48" s="1081">
        <f t="shared" si="0"/>
        <v>0</v>
      </c>
      <c r="G48" s="1083"/>
      <c r="H48" s="1084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1"/>
      <c r="E49" s="1085"/>
      <c r="F49" s="1081">
        <f t="shared" si="0"/>
        <v>0</v>
      </c>
      <c r="G49" s="1083"/>
      <c r="H49" s="1084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1"/>
      <c r="E50" s="1085"/>
      <c r="F50" s="1081">
        <f t="shared" si="0"/>
        <v>0</v>
      </c>
      <c r="G50" s="1083"/>
      <c r="H50" s="1084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1"/>
      <c r="E51" s="1085"/>
      <c r="F51" s="1081">
        <f t="shared" si="0"/>
        <v>0</v>
      </c>
      <c r="G51" s="1083"/>
      <c r="H51" s="1084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1"/>
      <c r="E52" s="1085"/>
      <c r="F52" s="1081">
        <f t="shared" si="0"/>
        <v>0</v>
      </c>
      <c r="G52" s="1083"/>
      <c r="H52" s="1084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1"/>
      <c r="E53" s="1085"/>
      <c r="F53" s="1081">
        <f t="shared" si="0"/>
        <v>0</v>
      </c>
      <c r="G53" s="1083"/>
      <c r="H53" s="1084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1" t="s">
        <v>334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 DEL MES DE     OCTUBRE     2022</v>
      </c>
      <c r="L1" s="1191"/>
      <c r="M1" s="1191"/>
      <c r="N1" s="1191"/>
      <c r="O1" s="1191"/>
      <c r="P1" s="1191"/>
      <c r="Q1" s="1191"/>
      <c r="R1" s="11">
        <v>2</v>
      </c>
      <c r="U1" s="1195" t="s">
        <v>343</v>
      </c>
      <c r="V1" s="1195"/>
      <c r="W1" s="1195"/>
      <c r="X1" s="1195"/>
      <c r="Y1" s="1195"/>
      <c r="Z1" s="1195"/>
      <c r="AA1" s="119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80" t="s">
        <v>124</v>
      </c>
      <c r="C4" s="102"/>
      <c r="D4" s="135"/>
      <c r="E4" s="86"/>
      <c r="F4" s="73"/>
      <c r="G4" s="238"/>
      <c r="L4" s="1280" t="s">
        <v>124</v>
      </c>
      <c r="M4" s="102"/>
      <c r="N4" s="135"/>
      <c r="O4" s="1118">
        <v>811.01</v>
      </c>
      <c r="P4" s="62">
        <v>28</v>
      </c>
      <c r="Q4" s="847"/>
      <c r="V4" s="1280" t="s">
        <v>124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281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81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81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1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3">
        <f>O4+O5+O6-P8</f>
        <v>1847.7999999999997</v>
      </c>
      <c r="U8" s="55"/>
      <c r="V8" s="901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3">
        <f>Y4+Y5+Y6-Z8</f>
        <v>2081.2600000000002</v>
      </c>
    </row>
    <row r="9" spans="1:29" x14ac:dyDescent="0.25">
      <c r="A9" s="75"/>
      <c r="B9" s="901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3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4">
        <f t="shared" ref="F10:F28" si="1">D10</f>
        <v>0</v>
      </c>
      <c r="G10" s="1115"/>
      <c r="H10" s="1116"/>
      <c r="I10" s="1117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4">
        <f t="shared" si="1"/>
        <v>0</v>
      </c>
      <c r="G11" s="1115"/>
      <c r="H11" s="1116"/>
      <c r="I11" s="1117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4">
        <v>811.01</v>
      </c>
      <c r="G12" s="1115"/>
      <c r="H12" s="1116"/>
      <c r="I12" s="1117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4">
        <f t="shared" si="1"/>
        <v>0</v>
      </c>
      <c r="G13" s="1115"/>
      <c r="H13" s="1116"/>
      <c r="I13" s="1117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3" t="s">
        <v>21</v>
      </c>
      <c r="O33" s="844"/>
      <c r="P33" s="141">
        <f>O5-N32</f>
        <v>1981.36</v>
      </c>
      <c r="Q33" s="75"/>
      <c r="R33" s="75"/>
      <c r="U33" s="75"/>
      <c r="V33" s="75"/>
      <c r="W33" s="75"/>
      <c r="X33" s="1043" t="s">
        <v>21</v>
      </c>
      <c r="Y33" s="104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5" t="s">
        <v>4</v>
      </c>
      <c r="O34" s="846"/>
      <c r="P34" s="49" t="e">
        <f>P4+P5-M32</f>
        <v>#REF!</v>
      </c>
      <c r="Q34" s="75"/>
      <c r="R34" s="75"/>
      <c r="U34" s="75"/>
      <c r="V34" s="75"/>
      <c r="W34" s="75"/>
      <c r="X34" s="1045" t="s">
        <v>4</v>
      </c>
      <c r="Y34" s="104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1" t="s">
        <v>335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155</v>
      </c>
      <c r="C4" s="102"/>
      <c r="D4" s="135"/>
      <c r="E4" s="86"/>
      <c r="F4" s="73"/>
      <c r="G4" s="238"/>
    </row>
    <row r="5" spans="1:9" x14ac:dyDescent="0.25">
      <c r="A5" s="1204" t="s">
        <v>98</v>
      </c>
      <c r="B5" s="128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0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3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3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0"/>
      <c r="F30" s="6"/>
    </row>
    <row r="31" spans="1:9" ht="15.75" thickBot="1" x14ac:dyDescent="0.3">
      <c r="B31" s="74"/>
      <c r="C31" s="87"/>
      <c r="D31" s="76"/>
      <c r="E31" s="86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84</v>
      </c>
      <c r="C4" s="102"/>
      <c r="D4" s="135"/>
      <c r="E4" s="86"/>
      <c r="F4" s="73"/>
      <c r="G4" s="238"/>
    </row>
    <row r="5" spans="1:9" x14ac:dyDescent="0.25">
      <c r="A5" s="75"/>
      <c r="B5" s="1283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102</v>
      </c>
      <c r="C4" s="102"/>
      <c r="D4" s="135"/>
      <c r="E4" s="86"/>
      <c r="F4" s="73"/>
      <c r="G4" s="238"/>
    </row>
    <row r="5" spans="1:9" x14ac:dyDescent="0.25">
      <c r="A5" s="1199"/>
      <c r="B5" s="128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9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103</v>
      </c>
      <c r="C4" s="102"/>
      <c r="D4" s="135"/>
      <c r="E4" s="86"/>
      <c r="F4" s="73"/>
      <c r="G4" s="238"/>
    </row>
    <row r="5" spans="1:9" x14ac:dyDescent="0.25">
      <c r="A5" s="1199"/>
      <c r="B5" s="128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9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6"/>
      <c r="C5" s="392"/>
      <c r="D5" s="134"/>
      <c r="E5" s="208"/>
      <c r="F5" s="62"/>
      <c r="G5" s="5"/>
    </row>
    <row r="6" spans="1:9" ht="20.25" x14ac:dyDescent="0.3">
      <c r="A6" s="592"/>
      <c r="B6" s="1196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3" t="s">
        <v>11</v>
      </c>
      <c r="D83" s="11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1" t="s">
        <v>324</v>
      </c>
      <c r="B1" s="1191"/>
      <c r="C1" s="1191"/>
      <c r="D1" s="1191"/>
      <c r="E1" s="1191"/>
      <c r="F1" s="1191"/>
      <c r="G1" s="1191"/>
      <c r="H1" s="11">
        <v>1</v>
      </c>
      <c r="K1" s="1195" t="s">
        <v>346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97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97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97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97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6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68">
        <f>E6-F9+E5+E7+E4</f>
        <v>511.01000000000005</v>
      </c>
      <c r="K9" s="80" t="s">
        <v>32</v>
      </c>
      <c r="L9" s="869">
        <f>P6-M9+P5+P7+P4</f>
        <v>43</v>
      </c>
      <c r="M9" s="15"/>
      <c r="N9" s="69"/>
      <c r="O9" s="202"/>
      <c r="P9" s="69">
        <f>N9</f>
        <v>0</v>
      </c>
      <c r="Q9" s="70"/>
      <c r="R9" s="71"/>
      <c r="S9" s="868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7">
        <v>12.2</v>
      </c>
      <c r="E10" s="888">
        <v>44872</v>
      </c>
      <c r="F10" s="887">
        <f>D10</f>
        <v>12.2</v>
      </c>
      <c r="G10" s="889" t="s">
        <v>543</v>
      </c>
      <c r="H10" s="890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7">
        <v>118.47</v>
      </c>
      <c r="E11" s="888">
        <v>44872</v>
      </c>
      <c r="F11" s="887">
        <f>D11</f>
        <v>118.47</v>
      </c>
      <c r="G11" s="889" t="s">
        <v>548</v>
      </c>
      <c r="H11" s="890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7">
        <v>59.94</v>
      </c>
      <c r="E12" s="888">
        <v>44876</v>
      </c>
      <c r="F12" s="887">
        <f>D12</f>
        <v>59.94</v>
      </c>
      <c r="G12" s="889" t="s">
        <v>573</v>
      </c>
      <c r="H12" s="890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7">
        <v>119.76</v>
      </c>
      <c r="E13" s="888">
        <v>44882</v>
      </c>
      <c r="F13" s="887">
        <f t="shared" ref="F13:F45" si="4">D13</f>
        <v>119.76</v>
      </c>
      <c r="G13" s="889" t="s">
        <v>614</v>
      </c>
      <c r="H13" s="890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7">
        <v>94.28</v>
      </c>
      <c r="E14" s="888">
        <v>44887</v>
      </c>
      <c r="F14" s="887">
        <f t="shared" si="4"/>
        <v>94.28</v>
      </c>
      <c r="G14" s="889" t="s">
        <v>646</v>
      </c>
      <c r="H14" s="890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7"/>
      <c r="E15" s="888"/>
      <c r="F15" s="887">
        <f t="shared" si="4"/>
        <v>0</v>
      </c>
      <c r="G15" s="889"/>
      <c r="H15" s="890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7"/>
      <c r="E16" s="888"/>
      <c r="F16" s="887">
        <f t="shared" si="4"/>
        <v>0</v>
      </c>
      <c r="G16" s="889"/>
      <c r="H16" s="890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7"/>
      <c r="E17" s="888"/>
      <c r="F17" s="887">
        <f t="shared" si="4"/>
        <v>0</v>
      </c>
      <c r="G17" s="889"/>
      <c r="H17" s="890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7"/>
      <c r="E18" s="888"/>
      <c r="F18" s="887">
        <f t="shared" si="4"/>
        <v>0</v>
      </c>
      <c r="G18" s="889"/>
      <c r="H18" s="890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7"/>
      <c r="E19" s="888"/>
      <c r="F19" s="887">
        <f t="shared" si="4"/>
        <v>0</v>
      </c>
      <c r="G19" s="889"/>
      <c r="H19" s="890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7"/>
      <c r="E20" s="888"/>
      <c r="F20" s="887">
        <f t="shared" si="4"/>
        <v>0</v>
      </c>
      <c r="G20" s="889"/>
      <c r="H20" s="890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7"/>
      <c r="E21" s="888"/>
      <c r="F21" s="887">
        <f t="shared" si="4"/>
        <v>0</v>
      </c>
      <c r="G21" s="889"/>
      <c r="H21" s="890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7"/>
      <c r="E22" s="888"/>
      <c r="F22" s="887">
        <f t="shared" si="4"/>
        <v>0</v>
      </c>
      <c r="G22" s="889"/>
      <c r="H22" s="890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7"/>
      <c r="E23" s="888"/>
      <c r="F23" s="887">
        <f t="shared" si="4"/>
        <v>0</v>
      </c>
      <c r="G23" s="889"/>
      <c r="H23" s="890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7"/>
      <c r="E24" s="888"/>
      <c r="F24" s="887">
        <f t="shared" si="4"/>
        <v>0</v>
      </c>
      <c r="G24" s="889"/>
      <c r="H24" s="890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7"/>
      <c r="E25" s="888"/>
      <c r="F25" s="887">
        <f t="shared" si="4"/>
        <v>0</v>
      </c>
      <c r="G25" s="889"/>
      <c r="H25" s="890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7"/>
      <c r="E26" s="888"/>
      <c r="F26" s="887">
        <f t="shared" si="4"/>
        <v>0</v>
      </c>
      <c r="G26" s="889"/>
      <c r="H26" s="890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7"/>
      <c r="E27" s="888"/>
      <c r="F27" s="887">
        <f t="shared" si="4"/>
        <v>0</v>
      </c>
      <c r="G27" s="889"/>
      <c r="H27" s="890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93" t="s">
        <v>11</v>
      </c>
      <c r="D53" s="1194"/>
      <c r="E53" s="57">
        <f>E5+E6-F48+E7</f>
        <v>94.550000000000068</v>
      </c>
      <c r="F53" s="73"/>
      <c r="M53" s="1193" t="s">
        <v>11</v>
      </c>
      <c r="N53" s="1194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1" t="s">
        <v>325</v>
      </c>
      <c r="B1" s="1191"/>
      <c r="C1" s="1191"/>
      <c r="D1" s="1191"/>
      <c r="E1" s="1191"/>
      <c r="F1" s="1191"/>
      <c r="G1" s="1191"/>
      <c r="H1" s="11">
        <v>1</v>
      </c>
      <c r="K1" s="1195" t="s">
        <v>343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98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98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98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98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2">
        <v>85</v>
      </c>
      <c r="N7" s="1133">
        <v>44894</v>
      </c>
      <c r="O7" s="1134">
        <v>248.57</v>
      </c>
      <c r="P7" s="1135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7">
        <f>P6-M9+P5+P7+P4</f>
        <v>52</v>
      </c>
      <c r="M9" s="864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69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68">
        <f>I9-F10</f>
        <v>338.7</v>
      </c>
      <c r="K10" s="194"/>
      <c r="L10" s="957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7">
        <v>116.5</v>
      </c>
      <c r="E11" s="888">
        <v>44867</v>
      </c>
      <c r="F11" s="887">
        <f t="shared" si="0"/>
        <v>116.5</v>
      </c>
      <c r="G11" s="889" t="s">
        <v>517</v>
      </c>
      <c r="H11" s="890">
        <v>90</v>
      </c>
      <c r="I11" s="105">
        <f t="shared" ref="I11:I40" si="3">I10-F11</f>
        <v>222.2</v>
      </c>
      <c r="K11" s="182"/>
      <c r="L11" s="957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7">
        <v>11.86</v>
      </c>
      <c r="E12" s="888">
        <v>44867</v>
      </c>
      <c r="F12" s="887">
        <f t="shared" si="0"/>
        <v>11.86</v>
      </c>
      <c r="G12" s="889" t="s">
        <v>518</v>
      </c>
      <c r="H12" s="890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7">
        <v>116.87</v>
      </c>
      <c r="E13" s="888">
        <v>44868</v>
      </c>
      <c r="F13" s="887">
        <f t="shared" si="0"/>
        <v>116.87</v>
      </c>
      <c r="G13" s="889" t="s">
        <v>522</v>
      </c>
      <c r="H13" s="890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7"/>
      <c r="E14" s="888"/>
      <c r="F14" s="1095">
        <f t="shared" si="0"/>
        <v>0</v>
      </c>
      <c r="G14" s="1096"/>
      <c r="H14" s="1097"/>
      <c r="I14" s="1101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7"/>
      <c r="E15" s="888"/>
      <c r="F15" s="1095">
        <f t="shared" si="0"/>
        <v>0</v>
      </c>
      <c r="G15" s="1096"/>
      <c r="H15" s="1097"/>
      <c r="I15" s="1101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7"/>
      <c r="E16" s="888"/>
      <c r="F16" s="1095">
        <v>93.47</v>
      </c>
      <c r="G16" s="1096"/>
      <c r="H16" s="1097"/>
      <c r="I16" s="1101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7"/>
      <c r="E17" s="888"/>
      <c r="F17" s="1095">
        <f t="shared" si="0"/>
        <v>0</v>
      </c>
      <c r="G17" s="1096"/>
      <c r="H17" s="1097"/>
      <c r="I17" s="1101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7"/>
      <c r="E18" s="888"/>
      <c r="F18" s="887">
        <f t="shared" si="0"/>
        <v>0</v>
      </c>
      <c r="G18" s="889"/>
      <c r="H18" s="890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7"/>
      <c r="E19" s="888"/>
      <c r="F19" s="887">
        <f t="shared" si="0"/>
        <v>0</v>
      </c>
      <c r="G19" s="889"/>
      <c r="H19" s="890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7"/>
      <c r="E20" s="888"/>
      <c r="F20" s="887">
        <f t="shared" si="0"/>
        <v>0</v>
      </c>
      <c r="G20" s="889"/>
      <c r="H20" s="890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7"/>
      <c r="E21" s="888"/>
      <c r="F21" s="887">
        <f t="shared" si="0"/>
        <v>0</v>
      </c>
      <c r="G21" s="889"/>
      <c r="H21" s="890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7"/>
      <c r="E22" s="888"/>
      <c r="F22" s="887">
        <f t="shared" si="0"/>
        <v>0</v>
      </c>
      <c r="G22" s="889"/>
      <c r="H22" s="890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7"/>
      <c r="E23" s="888"/>
      <c r="F23" s="887">
        <f t="shared" si="0"/>
        <v>0</v>
      </c>
      <c r="G23" s="889"/>
      <c r="H23" s="890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7"/>
      <c r="E24" s="888"/>
      <c r="F24" s="887">
        <f t="shared" si="0"/>
        <v>0</v>
      </c>
      <c r="G24" s="889"/>
      <c r="H24" s="890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7"/>
      <c r="E25" s="888"/>
      <c r="F25" s="887">
        <f t="shared" si="0"/>
        <v>0</v>
      </c>
      <c r="G25" s="889"/>
      <c r="H25" s="890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7"/>
      <c r="E26" s="888"/>
      <c r="F26" s="887">
        <f t="shared" si="0"/>
        <v>0</v>
      </c>
      <c r="G26" s="889"/>
      <c r="H26" s="890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7"/>
      <c r="E28" s="888"/>
      <c r="F28" s="887">
        <f t="shared" si="0"/>
        <v>0</v>
      </c>
      <c r="G28" s="889"/>
      <c r="H28" s="890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7"/>
      <c r="E29" s="888"/>
      <c r="F29" s="887">
        <f t="shared" si="0"/>
        <v>0</v>
      </c>
      <c r="G29" s="889"/>
      <c r="H29" s="890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93" t="s">
        <v>11</v>
      </c>
      <c r="D47" s="1194"/>
      <c r="E47" s="57">
        <f>E5+E6-F42+E7</f>
        <v>0</v>
      </c>
      <c r="F47" s="73"/>
      <c r="M47" s="1193" t="s">
        <v>11</v>
      </c>
      <c r="N47" s="1194"/>
      <c r="O47" s="57">
        <f>O5+O6-P42+O7</f>
        <v>155.10000000000002</v>
      </c>
      <c r="P47" s="73"/>
    </row>
    <row r="50" spans="1:17" x14ac:dyDescent="0.25">
      <c r="A50" s="226"/>
      <c r="B50" s="1199"/>
      <c r="C50" s="485"/>
      <c r="D50" s="232"/>
      <c r="E50" s="78"/>
      <c r="F50" s="62"/>
      <c r="G50" s="5"/>
      <c r="K50" s="226"/>
      <c r="L50" s="1199"/>
      <c r="M50" s="485"/>
      <c r="N50" s="232"/>
      <c r="O50" s="78"/>
      <c r="P50" s="62"/>
      <c r="Q50" s="5"/>
    </row>
    <row r="51" spans="1:17" x14ac:dyDescent="0.25">
      <c r="A51" s="226"/>
      <c r="B51" s="1199"/>
      <c r="C51" s="392"/>
      <c r="D51" s="134"/>
      <c r="E51" s="208"/>
      <c r="F51" s="62"/>
      <c r="G51" s="47"/>
      <c r="K51" s="226"/>
      <c r="L51" s="1199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1" t="s">
        <v>326</v>
      </c>
      <c r="B1" s="1191"/>
      <c r="C1" s="1191"/>
      <c r="D1" s="1191"/>
      <c r="E1" s="1191"/>
      <c r="F1" s="1191"/>
      <c r="G1" s="1191"/>
      <c r="H1" s="11">
        <v>1</v>
      </c>
      <c r="K1" s="1195" t="s">
        <v>461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96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96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96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96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48">
        <f>L9-M10</f>
        <v>114</v>
      </c>
      <c r="M10" s="864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48">
        <f t="shared" ref="L11:L74" si="6">L10-M11</f>
        <v>104</v>
      </c>
      <c r="M11" s="864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48">
        <f t="shared" si="6"/>
        <v>94</v>
      </c>
      <c r="M12" s="864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48">
        <f t="shared" si="6"/>
        <v>84</v>
      </c>
      <c r="M13" s="864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1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68">
        <f t="shared" si="5"/>
        <v>665.04</v>
      </c>
      <c r="K14" s="73"/>
      <c r="L14" s="948">
        <f t="shared" si="6"/>
        <v>82</v>
      </c>
      <c r="M14" s="864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4">
        <v>15</v>
      </c>
      <c r="D15" s="891">
        <v>183.93</v>
      </c>
      <c r="E15" s="892">
        <v>44866</v>
      </c>
      <c r="F15" s="891">
        <f t="shared" si="2"/>
        <v>183.93</v>
      </c>
      <c r="G15" s="893" t="s">
        <v>505</v>
      </c>
      <c r="H15" s="890">
        <v>101</v>
      </c>
      <c r="I15" s="105">
        <f t="shared" si="5"/>
        <v>481.10999999999996</v>
      </c>
      <c r="K15" s="73"/>
      <c r="L15" s="948">
        <f t="shared" si="6"/>
        <v>81</v>
      </c>
      <c r="M15" s="864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7">
        <v>121.15</v>
      </c>
      <c r="E16" s="888">
        <v>44867</v>
      </c>
      <c r="F16" s="887">
        <f t="shared" si="2"/>
        <v>121.15</v>
      </c>
      <c r="G16" s="889" t="s">
        <v>515</v>
      </c>
      <c r="H16" s="890">
        <v>101</v>
      </c>
      <c r="I16" s="105">
        <f t="shared" si="5"/>
        <v>359.95999999999992</v>
      </c>
      <c r="L16" s="948">
        <f t="shared" si="6"/>
        <v>76</v>
      </c>
      <c r="M16" s="864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7">
        <v>120.98</v>
      </c>
      <c r="E17" s="888">
        <v>44870</v>
      </c>
      <c r="F17" s="887">
        <f t="shared" si="2"/>
        <v>120.98</v>
      </c>
      <c r="G17" s="889" t="s">
        <v>536</v>
      </c>
      <c r="H17" s="890">
        <v>101</v>
      </c>
      <c r="I17" s="105">
        <f t="shared" si="5"/>
        <v>238.9799999999999</v>
      </c>
      <c r="L17" s="948">
        <f t="shared" si="6"/>
        <v>75</v>
      </c>
      <c r="M17" s="864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7">
        <v>12.32</v>
      </c>
      <c r="E18" s="888">
        <v>44872</v>
      </c>
      <c r="F18" s="887">
        <f t="shared" si="2"/>
        <v>12.32</v>
      </c>
      <c r="G18" s="889" t="s">
        <v>543</v>
      </c>
      <c r="H18" s="890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7">
        <v>121.67</v>
      </c>
      <c r="E19" s="888">
        <v>44872</v>
      </c>
      <c r="F19" s="887">
        <f t="shared" si="2"/>
        <v>121.67</v>
      </c>
      <c r="G19" s="889" t="s">
        <v>547</v>
      </c>
      <c r="H19" s="890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7">
        <v>12.41</v>
      </c>
      <c r="E20" s="888">
        <v>44873</v>
      </c>
      <c r="F20" s="887">
        <f t="shared" si="2"/>
        <v>12.41</v>
      </c>
      <c r="G20" s="889" t="s">
        <v>554</v>
      </c>
      <c r="H20" s="890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7"/>
      <c r="E21" s="888"/>
      <c r="F21" s="887">
        <f t="shared" si="2"/>
        <v>0</v>
      </c>
      <c r="G21" s="889"/>
      <c r="H21" s="890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7"/>
      <c r="E22" s="888"/>
      <c r="F22" s="887">
        <f t="shared" si="2"/>
        <v>0</v>
      </c>
      <c r="G22" s="889"/>
      <c r="H22" s="890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7"/>
      <c r="E23" s="888"/>
      <c r="F23" s="1095">
        <f t="shared" si="2"/>
        <v>0</v>
      </c>
      <c r="G23" s="1096"/>
      <c r="H23" s="1097"/>
      <c r="I23" s="1101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7"/>
      <c r="E24" s="888"/>
      <c r="F24" s="1095">
        <v>92.58</v>
      </c>
      <c r="G24" s="1096"/>
      <c r="H24" s="1097"/>
      <c r="I24" s="1101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7"/>
      <c r="E25" s="888"/>
      <c r="F25" s="1095">
        <f t="shared" si="2"/>
        <v>0</v>
      </c>
      <c r="G25" s="1096"/>
      <c r="H25" s="1097"/>
      <c r="I25" s="1101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7"/>
      <c r="E26" s="888"/>
      <c r="F26" s="887">
        <f t="shared" si="2"/>
        <v>0</v>
      </c>
      <c r="G26" s="889"/>
      <c r="H26" s="890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7"/>
      <c r="E27" s="888"/>
      <c r="F27" s="887">
        <f t="shared" si="2"/>
        <v>0</v>
      </c>
      <c r="G27" s="889"/>
      <c r="H27" s="890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7"/>
      <c r="E28" s="888"/>
      <c r="F28" s="887">
        <f t="shared" si="2"/>
        <v>0</v>
      </c>
      <c r="G28" s="889"/>
      <c r="H28" s="890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7"/>
      <c r="E29" s="888"/>
      <c r="F29" s="887">
        <f t="shared" si="2"/>
        <v>0</v>
      </c>
      <c r="G29" s="889"/>
      <c r="H29" s="890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7"/>
      <c r="E30" s="888"/>
      <c r="F30" s="887">
        <f t="shared" si="2"/>
        <v>0</v>
      </c>
      <c r="G30" s="889"/>
      <c r="H30" s="890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7"/>
      <c r="E31" s="888"/>
      <c r="F31" s="887">
        <f t="shared" si="2"/>
        <v>0</v>
      </c>
      <c r="G31" s="889"/>
      <c r="H31" s="890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7"/>
      <c r="E32" s="888"/>
      <c r="F32" s="887">
        <f t="shared" si="2"/>
        <v>0</v>
      </c>
      <c r="G32" s="889"/>
      <c r="H32" s="890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7"/>
      <c r="E33" s="888"/>
      <c r="F33" s="887">
        <f t="shared" si="2"/>
        <v>0</v>
      </c>
      <c r="G33" s="889"/>
      <c r="H33" s="890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7"/>
      <c r="E34" s="888"/>
      <c r="F34" s="887">
        <f t="shared" si="2"/>
        <v>0</v>
      </c>
      <c r="G34" s="889"/>
      <c r="H34" s="890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7"/>
      <c r="E35" s="888"/>
      <c r="F35" s="887">
        <f t="shared" si="2"/>
        <v>0</v>
      </c>
      <c r="G35" s="889"/>
      <c r="H35" s="890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7"/>
      <c r="E36" s="888"/>
      <c r="F36" s="887">
        <f t="shared" si="2"/>
        <v>0</v>
      </c>
      <c r="G36" s="889"/>
      <c r="H36" s="890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7"/>
      <c r="E37" s="888"/>
      <c r="F37" s="887">
        <f t="shared" si="2"/>
        <v>0</v>
      </c>
      <c r="G37" s="889"/>
      <c r="H37" s="890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7"/>
      <c r="E38" s="888"/>
      <c r="F38" s="887">
        <f t="shared" si="2"/>
        <v>0</v>
      </c>
      <c r="G38" s="889"/>
      <c r="H38" s="890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93" t="s">
        <v>11</v>
      </c>
      <c r="D83" s="1194"/>
      <c r="E83" s="57">
        <f>E5+E6-F78+E7</f>
        <v>-24.350000000000023</v>
      </c>
      <c r="F83" s="73"/>
      <c r="M83" s="1193" t="s">
        <v>11</v>
      </c>
      <c r="N83" s="1194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91" t="s">
        <v>326</v>
      </c>
      <c r="B1" s="1191"/>
      <c r="C1" s="1191"/>
      <c r="D1" s="1191"/>
      <c r="E1" s="1191"/>
      <c r="F1" s="1191"/>
      <c r="G1" s="1191"/>
      <c r="H1" s="11">
        <v>1</v>
      </c>
      <c r="L1" s="1195" t="s">
        <v>452</v>
      </c>
      <c r="M1" s="1195"/>
      <c r="N1" s="1195"/>
      <c r="O1" s="1195"/>
      <c r="P1" s="1195"/>
      <c r="Q1" s="1195"/>
      <c r="R1" s="1195"/>
      <c r="S1" s="11">
        <v>2</v>
      </c>
      <c r="W1" s="1195" t="str">
        <f>L1</f>
        <v>INVENTARIO    DEL MES DE  NOVIEMBRE 2022</v>
      </c>
      <c r="X1" s="1195"/>
      <c r="Y1" s="1195"/>
      <c r="Z1" s="1195"/>
      <c r="AA1" s="1195"/>
      <c r="AB1" s="1195"/>
      <c r="AC1" s="119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200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200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200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203" t="s">
        <v>98</v>
      </c>
      <c r="B5" s="1201"/>
      <c r="C5" s="244">
        <v>127</v>
      </c>
      <c r="D5" s="134">
        <v>44849</v>
      </c>
      <c r="E5" s="479">
        <v>5195.42</v>
      </c>
      <c r="F5" s="73">
        <v>169</v>
      </c>
      <c r="G5" s="5"/>
      <c r="L5" s="1203" t="s">
        <v>98</v>
      </c>
      <c r="M5" s="1201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202" t="s">
        <v>453</v>
      </c>
      <c r="X5" s="1201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203"/>
      <c r="B6" s="1201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203"/>
      <c r="M6" s="1201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202"/>
      <c r="X6" s="1201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2"/>
      <c r="B7" s="1201"/>
      <c r="C7" s="234"/>
      <c r="D7" s="232"/>
      <c r="E7" s="479"/>
      <c r="F7" s="73"/>
      <c r="L7" s="915"/>
      <c r="M7" s="1201"/>
      <c r="N7" s="234"/>
      <c r="O7" s="232"/>
      <c r="P7" s="479"/>
      <c r="Q7" s="73"/>
      <c r="W7" s="1048"/>
      <c r="X7" s="1201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2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2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2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48">
        <f>Q6-N10+Q5+Q4+Q7+Q8</f>
        <v>179</v>
      </c>
      <c r="N10" s="864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29">
        <f>Q10*S10</f>
        <v>108990.34999999999</v>
      </c>
      <c r="V10" s="764"/>
      <c r="W10" s="80" t="s">
        <v>32</v>
      </c>
      <c r="X10" s="948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29">
        <f>AB10*AD10</f>
        <v>21210.34</v>
      </c>
    </row>
    <row r="11" spans="1:32" x14ac:dyDescent="0.25">
      <c r="A11" s="194"/>
      <c r="B11" s="871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68">
        <f>I10-F11</f>
        <v>4552.2100000000009</v>
      </c>
      <c r="J11" s="17">
        <f t="shared" ref="J11:J74" si="3">F11*H11</f>
        <v>3498.98</v>
      </c>
      <c r="L11" s="194"/>
      <c r="M11" s="948">
        <f>M10-N11</f>
        <v>178</v>
      </c>
      <c r="N11" s="864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29">
        <f t="shared" ref="U11:U74" si="4">Q11*S11</f>
        <v>4430.5800000000008</v>
      </c>
      <c r="V11" s="764"/>
      <c r="W11" s="194"/>
      <c r="X11" s="948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29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7">
        <v>303.23</v>
      </c>
      <c r="E12" s="888">
        <v>44865</v>
      </c>
      <c r="F12" s="887">
        <f t="shared" si="0"/>
        <v>303.23</v>
      </c>
      <c r="G12" s="889" t="s">
        <v>501</v>
      </c>
      <c r="H12" s="890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48">
        <f t="shared" ref="M12:M75" si="8">M11-N12</f>
        <v>173</v>
      </c>
      <c r="N12" s="864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29">
        <f t="shared" si="4"/>
        <v>20517.12</v>
      </c>
      <c r="V12" s="764"/>
      <c r="W12" s="182"/>
      <c r="X12" s="948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29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7">
        <v>146.69</v>
      </c>
      <c r="E13" s="888">
        <v>44866</v>
      </c>
      <c r="F13" s="887">
        <f t="shared" si="0"/>
        <v>146.69</v>
      </c>
      <c r="G13" s="889" t="s">
        <v>504</v>
      </c>
      <c r="H13" s="890">
        <v>137</v>
      </c>
      <c r="I13" s="105">
        <f t="shared" si="7"/>
        <v>4102.2900000000018</v>
      </c>
      <c r="J13" s="17">
        <f t="shared" si="3"/>
        <v>20096.53</v>
      </c>
      <c r="L13" s="182"/>
      <c r="M13" s="948">
        <f t="shared" si="8"/>
        <v>143</v>
      </c>
      <c r="N13" s="864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29">
        <f t="shared" si="4"/>
        <v>131883.04999999999</v>
      </c>
      <c r="V13" s="764"/>
      <c r="W13" s="182"/>
      <c r="X13" s="948">
        <f t="shared" si="10"/>
        <v>536</v>
      </c>
      <c r="Y13" s="864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29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7">
        <v>1080.1300000000001</v>
      </c>
      <c r="E14" s="888">
        <v>44868</v>
      </c>
      <c r="F14" s="887">
        <f t="shared" si="0"/>
        <v>1080.1300000000001</v>
      </c>
      <c r="G14" s="889" t="s">
        <v>522</v>
      </c>
      <c r="H14" s="890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48">
        <f t="shared" si="8"/>
        <v>133</v>
      </c>
      <c r="N14" s="864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29">
        <f t="shared" si="4"/>
        <v>45990.9</v>
      </c>
      <c r="V14" s="764"/>
      <c r="W14" s="82" t="s">
        <v>33</v>
      </c>
      <c r="X14" s="948">
        <f t="shared" si="10"/>
        <v>529</v>
      </c>
      <c r="Y14" s="864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29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7">
        <v>165.48</v>
      </c>
      <c r="E15" s="888">
        <v>44868</v>
      </c>
      <c r="F15" s="887">
        <f t="shared" si="0"/>
        <v>165.48</v>
      </c>
      <c r="G15" s="889" t="s">
        <v>523</v>
      </c>
      <c r="H15" s="890">
        <v>137</v>
      </c>
      <c r="I15" s="105">
        <f t="shared" si="7"/>
        <v>2856.6800000000017</v>
      </c>
      <c r="J15" s="17">
        <f t="shared" si="3"/>
        <v>22670.76</v>
      </c>
      <c r="L15" s="73"/>
      <c r="M15" s="948">
        <f t="shared" si="8"/>
        <v>132</v>
      </c>
      <c r="N15" s="864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29">
        <f t="shared" si="4"/>
        <v>4442.91</v>
      </c>
      <c r="V15" s="764"/>
      <c r="W15" s="73"/>
      <c r="X15" s="948">
        <f t="shared" si="10"/>
        <v>510</v>
      </c>
      <c r="Y15" s="864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29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7">
        <v>161.61000000000001</v>
      </c>
      <c r="E16" s="888">
        <v>44869</v>
      </c>
      <c r="F16" s="887">
        <f t="shared" si="0"/>
        <v>161.61000000000001</v>
      </c>
      <c r="G16" s="889" t="s">
        <v>528</v>
      </c>
      <c r="H16" s="890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1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7">
        <v>28.7</v>
      </c>
      <c r="E17" s="888">
        <v>44869</v>
      </c>
      <c r="F17" s="887">
        <f t="shared" si="0"/>
        <v>28.7</v>
      </c>
      <c r="G17" s="889" t="s">
        <v>530</v>
      </c>
      <c r="H17" s="890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7">
        <v>154.09</v>
      </c>
      <c r="E18" s="888">
        <v>44870</v>
      </c>
      <c r="F18" s="887">
        <f t="shared" si="0"/>
        <v>154.09</v>
      </c>
      <c r="G18" s="889" t="s">
        <v>534</v>
      </c>
      <c r="H18" s="890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7">
        <v>33.11</v>
      </c>
      <c r="E19" s="888">
        <v>44870</v>
      </c>
      <c r="F19" s="887">
        <f t="shared" si="0"/>
        <v>33.11</v>
      </c>
      <c r="G19" s="889" t="s">
        <v>535</v>
      </c>
      <c r="H19" s="890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7">
        <v>1069.8499999999999</v>
      </c>
      <c r="E20" s="888">
        <v>44870</v>
      </c>
      <c r="F20" s="887">
        <f t="shared" si="0"/>
        <v>1069.8499999999999</v>
      </c>
      <c r="G20" s="889" t="s">
        <v>536</v>
      </c>
      <c r="H20" s="890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7">
        <v>26.26</v>
      </c>
      <c r="E21" s="888">
        <v>44873</v>
      </c>
      <c r="F21" s="887">
        <f t="shared" si="0"/>
        <v>26.26</v>
      </c>
      <c r="G21" s="889" t="s">
        <v>553</v>
      </c>
      <c r="H21" s="890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7">
        <v>872.81</v>
      </c>
      <c r="E22" s="888">
        <v>44874</v>
      </c>
      <c r="F22" s="887">
        <f t="shared" si="0"/>
        <v>872.81</v>
      </c>
      <c r="G22" s="889" t="s">
        <v>561</v>
      </c>
      <c r="H22" s="890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7">
        <v>172.09</v>
      </c>
      <c r="E23" s="888">
        <v>44875</v>
      </c>
      <c r="F23" s="887">
        <f t="shared" si="0"/>
        <v>172.09</v>
      </c>
      <c r="G23" s="889" t="s">
        <v>564</v>
      </c>
      <c r="H23" s="890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7">
        <v>29.71</v>
      </c>
      <c r="E24" s="888">
        <v>44875</v>
      </c>
      <c r="F24" s="887">
        <f t="shared" si="0"/>
        <v>29.71</v>
      </c>
      <c r="G24" s="889" t="s">
        <v>565</v>
      </c>
      <c r="H24" s="890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7">
        <v>37.78</v>
      </c>
      <c r="E25" s="888">
        <v>44876</v>
      </c>
      <c r="F25" s="887">
        <f t="shared" si="0"/>
        <v>37.78</v>
      </c>
      <c r="G25" s="889" t="s">
        <v>572</v>
      </c>
      <c r="H25" s="890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7">
        <v>178.89</v>
      </c>
      <c r="E26" s="888">
        <v>44876</v>
      </c>
      <c r="F26" s="887">
        <f t="shared" si="0"/>
        <v>178.89</v>
      </c>
      <c r="G26" s="889" t="s">
        <v>574</v>
      </c>
      <c r="H26" s="890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7"/>
      <c r="E28" s="888"/>
      <c r="F28" s="1095">
        <f t="shared" si="0"/>
        <v>0</v>
      </c>
      <c r="G28" s="1096"/>
      <c r="H28" s="1097"/>
      <c r="I28" s="1101">
        <f t="shared" si="7"/>
        <v>91.780000000001564</v>
      </c>
      <c r="J28" s="1122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7"/>
      <c r="E29" s="888"/>
      <c r="F29" s="1095">
        <v>91.78</v>
      </c>
      <c r="G29" s="1096"/>
      <c r="H29" s="1097"/>
      <c r="I29" s="1101">
        <f t="shared" si="7"/>
        <v>1.5631940186722204E-12</v>
      </c>
      <c r="J29" s="1122">
        <f t="shared" si="3"/>
        <v>0</v>
      </c>
      <c r="L29" s="122"/>
      <c r="M29" s="182">
        <f t="shared" si="8"/>
        <v>0</v>
      </c>
      <c r="N29" s="15"/>
      <c r="O29" s="69"/>
      <c r="P29" s="202"/>
      <c r="Q29" s="1110">
        <v>6.93</v>
      </c>
      <c r="R29" s="1111"/>
      <c r="S29" s="1112"/>
      <c r="T29" s="1101">
        <f t="shared" si="9"/>
        <v>8.5975671026972122E-13</v>
      </c>
      <c r="U29" s="1122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7"/>
      <c r="E30" s="888"/>
      <c r="F30" s="1095">
        <f t="shared" si="0"/>
        <v>0</v>
      </c>
      <c r="G30" s="1096"/>
      <c r="H30" s="1097"/>
      <c r="I30" s="1101">
        <f t="shared" si="7"/>
        <v>1.5631940186722204E-12</v>
      </c>
      <c r="J30" s="1122">
        <f t="shared" si="3"/>
        <v>0</v>
      </c>
      <c r="L30" s="122"/>
      <c r="M30" s="182">
        <f t="shared" si="8"/>
        <v>0</v>
      </c>
      <c r="N30" s="15"/>
      <c r="O30" s="69"/>
      <c r="P30" s="202"/>
      <c r="Q30" s="1110">
        <f t="shared" si="1"/>
        <v>0</v>
      </c>
      <c r="R30" s="1111"/>
      <c r="S30" s="1112"/>
      <c r="T30" s="1101">
        <f t="shared" si="9"/>
        <v>8.5975671026972122E-13</v>
      </c>
      <c r="U30" s="1122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7"/>
      <c r="E31" s="888"/>
      <c r="F31" s="1095">
        <f t="shared" si="0"/>
        <v>0</v>
      </c>
      <c r="G31" s="1096"/>
      <c r="H31" s="1097"/>
      <c r="I31" s="1101">
        <f t="shared" si="7"/>
        <v>1.5631940186722204E-12</v>
      </c>
      <c r="J31" s="1122">
        <f t="shared" si="3"/>
        <v>0</v>
      </c>
      <c r="L31" s="122"/>
      <c r="M31" s="182">
        <f t="shared" si="8"/>
        <v>0</v>
      </c>
      <c r="N31" s="15"/>
      <c r="O31" s="69"/>
      <c r="P31" s="202"/>
      <c r="Q31" s="1110">
        <f t="shared" si="1"/>
        <v>0</v>
      </c>
      <c r="R31" s="1111"/>
      <c r="S31" s="1112"/>
      <c r="T31" s="1101">
        <f t="shared" si="9"/>
        <v>8.5975671026972122E-13</v>
      </c>
      <c r="U31" s="1122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7"/>
      <c r="E32" s="888"/>
      <c r="F32" s="887">
        <f t="shared" si="0"/>
        <v>0</v>
      </c>
      <c r="G32" s="889"/>
      <c r="H32" s="890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10">
        <f t="shared" si="1"/>
        <v>0</v>
      </c>
      <c r="R32" s="1111"/>
      <c r="S32" s="1112"/>
      <c r="T32" s="1101">
        <f t="shared" si="9"/>
        <v>8.5975671026972122E-13</v>
      </c>
      <c r="U32" s="1122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7"/>
      <c r="E33" s="888"/>
      <c r="F33" s="887">
        <f t="shared" si="0"/>
        <v>0</v>
      </c>
      <c r="G33" s="889"/>
      <c r="H33" s="890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7"/>
      <c r="E34" s="888"/>
      <c r="F34" s="887">
        <f t="shared" si="0"/>
        <v>0</v>
      </c>
      <c r="G34" s="889"/>
      <c r="H34" s="890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7"/>
      <c r="E35" s="888"/>
      <c r="F35" s="887">
        <f t="shared" si="0"/>
        <v>0</v>
      </c>
      <c r="G35" s="889"/>
      <c r="H35" s="890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7"/>
      <c r="E36" s="888"/>
      <c r="F36" s="887">
        <f t="shared" si="0"/>
        <v>0</v>
      </c>
      <c r="G36" s="889"/>
      <c r="H36" s="890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7"/>
      <c r="E37" s="888"/>
      <c r="F37" s="887">
        <f t="shared" si="0"/>
        <v>0</v>
      </c>
      <c r="G37" s="889"/>
      <c r="H37" s="890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7"/>
      <c r="E38" s="888"/>
      <c r="F38" s="887">
        <f t="shared" si="0"/>
        <v>0</v>
      </c>
      <c r="G38" s="889"/>
      <c r="H38" s="890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7"/>
      <c r="E39" s="888"/>
      <c r="F39" s="887">
        <f t="shared" si="0"/>
        <v>0</v>
      </c>
      <c r="G39" s="889"/>
      <c r="H39" s="890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93" t="s">
        <v>11</v>
      </c>
      <c r="D84" s="1194"/>
      <c r="E84" s="57">
        <f>E5+E6-F79+E7+E4</f>
        <v>5.1159076974727213E-13</v>
      </c>
      <c r="F84" s="73"/>
      <c r="N84" s="1193" t="s">
        <v>11</v>
      </c>
      <c r="O84" s="1194"/>
      <c r="P84" s="57">
        <f>P5+P6-Q79+P7+P4</f>
        <v>2.5579538487363607E-13</v>
      </c>
      <c r="Q84" s="73"/>
      <c r="Y84" s="1193" t="s">
        <v>11</v>
      </c>
      <c r="Z84" s="1194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2023-01-03T21:58:02Z</dcterms:modified>
</cp:coreProperties>
</file>