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9" i="38" l="1"/>
  <c r="Q46" i="38"/>
  <c r="C51" i="38" l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G5" i="192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71" i="54"/>
  <c r="N68" i="54"/>
  <c r="M68" i="54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48" i="57" s="1"/>
  <c r="Z10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O31" i="205" l="1"/>
  <c r="Q30" i="205"/>
  <c r="T30" i="205" s="1"/>
  <c r="T9" i="205"/>
  <c r="T31" i="205" s="1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Y53" i="57"/>
  <c r="AA6" i="57"/>
  <c r="AB6" i="57" s="1"/>
  <c r="Q18" i="38"/>
  <c r="Q19" i="38"/>
  <c r="U30" i="205" l="1"/>
  <c r="Q31" i="205"/>
  <c r="R5" i="205"/>
  <c r="S5" i="205" s="1"/>
  <c r="P34" i="205"/>
  <c r="Q6" i="203"/>
  <c r="R6" i="203" s="1"/>
  <c r="O73" i="54"/>
  <c r="Q5" i="54"/>
  <c r="R5" i="54" s="1"/>
  <c r="Q35" i="38"/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12" i="38"/>
  <c r="T112" i="38" s="1"/>
  <c r="I112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<sst xmlns="http://schemas.openxmlformats.org/spreadsheetml/2006/main" count="3507" uniqueCount="550">
  <si>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</si>
  <si>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</si>
  <si>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</si>
  <si>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</si>
  <si>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</si>
  <si>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</si>
  <si>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</si>
  <si>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</si>
  <si>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</si>
  <si>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</si>
  <si>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</si>
  <si>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</si>
  <si>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</si>
  <si>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</si>
  <si>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</si>
  <si>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</si>
  <si>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</si>
  <si>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</si>
  <si>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</si>
  <si>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</si>
  <si>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</si>
  <si>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</si>
  <si>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</si>
  <si>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</si>
  <si>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</si>
  <si>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</si>
  <si>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</si>
  <si>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</si>
  <si>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</si>
  <si>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</si>
  <si>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</si>
  <si>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</si>
  <si>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</si>
  <si>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</si>
  <si>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</si>
  <si>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</si>
  <si>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</si>
  <si>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</si>
  <si>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</si>
  <si>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</si>
  <si>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</si>
  <si>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</si>
  <si>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</si>
  <si>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</si>
  <si>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</si>
  <si>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</si>
  <si>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</si>
  <si>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</si>
  <si>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</si>
  <si>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</si>
  <si>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</si>
  <si>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</si>
  <si>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</si>
  <si>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</si>
  <si>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</si>
  <si>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</si>
  <si>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</si>
  <si>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</si>
  <si>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</si>
  <si>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</si>
  <si>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</si>
  <si>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</si>
  <si>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</si>
  <si>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</si>
  <si>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</si>
  <si>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</si>
  <si>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</si>
  <si>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</si>
  <si>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</si>
  <si>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</si>
  <si>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</si>
  <si>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</si>
  <si>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</si>
  <si>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</si>
  <si>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</si>
  <si>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</si>
  <si>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</si>
  <si>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</si>
  <si>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</si>
  <si>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</si>
  <si>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</si>
  <si>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</si>
  <si>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</si>
  <si>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</si>
  <si>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</si>
  <si>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</si>
  <si>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</si>
  <si>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</si>
  <si>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</si>
  <si>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</si>
  <si>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</si>
  <si>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</si>
  <si>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</si>
  <si>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</si>
  <si>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</si>
  <si>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</si>
  <si>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</si>
  <si>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</si>
  <si>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</si>
  <si>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</si>
  <si>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</si>
  <si>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</si>
  <si>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</si>
  <si>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</si>
  <si>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</si>
  <si>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</si>
  <si>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</si>
  <si>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</si>
  <si>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</si>
  <si>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</si>
  <si>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</si>
  <si>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</si>
  <si>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</si>
  <si>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</si>
  <si>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</si>
  <si>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</si>
  <si>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</si>
  <si>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</si>
  <si>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</si>
  <si>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</si>
  <si>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</si>
  <si>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</si>
  <si>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</si>
  <si>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</si>
  <si>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</si>
  <si>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</si>
  <si>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</si>
  <si>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</si>
  <si>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</si>
  <si>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</si>
  <si>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</si>
  <si>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</si>
  <si>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</si>
  <si>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</si>
  <si>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</si>
  <si>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</si>
  <si>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</si>
  <si>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</si>
  <si>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</si>
  <si>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</si>
  <si>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</si>
  <si>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</si>
  <si>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</si>
  <si>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</si>
  <si>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</si>
  <si>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</si>
  <si>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</si>
  <si>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</si>
  <si>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</si>
  <si>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</si>
  <si>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</si>
  <si>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</si>
  <si>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</si>
  <si>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</si>
  <si>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</si>
  <si>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</si>
  <si>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</si>
  <si>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</si>
  <si>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</si>
  <si>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</si>
  <si>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</si>
  <si>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</si>
  <si>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</si>
  <si>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</si>
  <si>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</si>
  <si>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</si>
  <si>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</si>
  <si>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</si>
  <si>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</si>
  <si>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</si>
  <si>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</si>
  <si>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</si>
  <si>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</si>
  <si>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</si>
  <si>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</si>
  <si>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</si>
  <si>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</si>
  <si>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</si>
  <si>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</si>
  <si>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</si>
  <si>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</si>
  <si>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</si>
  <si>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</si>
  <si>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</si>
  <si>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</si>
  <si>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</si>
  <si>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</si>
  <si>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</si>
  <si>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</si>
  <si>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</si>
  <si>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</si>
  <si>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</si>
  <si>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</si>
  <si>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</si>
  <si>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</si>
  <si>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</si>
  <si>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</si>
  <si>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</si>
  <si>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</si>
  <si>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</si>
  <si>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</si>
  <si>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</si>
  <si>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</si>
  <si>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</si>
  <si>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</si>
  <si>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</si>
  <si>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</si>
  <si>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</si>
  <si>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</si>
  <si>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</si>
  <si>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</si>
  <si>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</si>
  <si>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</si>
  <si>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</si>
  <si>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</si>
  <si>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</si>
  <si>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</si>
  <si>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</si>
  <si>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</si>
  <si>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</si>
  <si>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</si>
  <si>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</si>
  <si>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</si>
  <si>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</si>
  <si>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</si>
  <si>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</si>
  <si>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</si>
  <si>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</si>
  <si>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</si>
  <si>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</si>
  <si>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</si>
  <si>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</si>
  <si>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</si>
  <si>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</si>
  <si>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</si>
  <si>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</si>
  <si>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</si>
  <si>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</si>
  <si>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</si>
  <si>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</si>
  <si>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</si>
  <si>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</si>
  <si>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</si>
  <si>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</si>
  <si>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</si>
  <si>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</si>
  <si>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</si>
  <si>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</si>
  <si>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</si>
  <si>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</si>
  <si>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</si>
  <si>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</si>
  <si>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</si>
  <si>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</si>
  <si>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</si>
  <si>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</si>
  <si>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</si>
  <si>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</si>
  <si>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</si>
  <si>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</si>
  <si>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</si>
  <si>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</si>
  <si>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</si>
  <si>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</si>
  <si>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</si>
  <si>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</si>
  <si>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</si>
  <si>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</si>
  <si>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</si>
  <si>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</si>
  <si>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</si>
  <si>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</si>
  <si>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</si>
  <si>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</si>
  <si>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</si>
  <si>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</si>
  <si>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</si>
  <si>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</si>
  <si>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</si>
  <si>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</si>
  <si>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</si>
  <si>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</si>
  <si>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</si>
  <si>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</si>
  <si>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</si>
  <si>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</si>
  <si>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</si>
  <si>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</si>
  <si>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</si>
  <si>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</si>
  <si>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</si>
  <si>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</si>
  <si>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</si>
  <si>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</si>
  <si>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</si>
  <si>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</si>
  <si>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</si>
  <si>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</si>
  <si>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</si>
  <si>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</si>
  <si>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</si>
  <si>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</si>
  <si>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</si>
  <si>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</si>
  <si>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</si>
  <si>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</si>
  <si>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</si>
  <si>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</si>
  <si>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</si>
  <si>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</si>
  <si>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</si>
  <si>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</si>
  <si>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</si>
  <si>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</si>
  <si>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</si>
  <si>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</si>
  <si>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</si>
  <si>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</si>
  <si>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</si>
  <si>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</si>
  <si>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</si>
  <si>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</si>
  <si>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</si>
  <si>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</si>
  <si>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</si>
  <si>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</si>
  <si>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</si>
  <si>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</si>
  <si>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</si>
  <si>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</si>
  <si>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</si>
  <si>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</si>
  <si>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</si>
  <si>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</si>
  <si>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</si>
  <si>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</si>
  <si>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</si>
  <si>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</si>
  <si>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</si>
  <si>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</si>
  <si>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</si>
  <si>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</si>
  <si>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</si>
  <si>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</si>
  <si>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</si>
  <si>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</si>
  <si>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</si>
  <si>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</si>
  <si>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</si>
  <si>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</si>
  <si>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</si>
  <si>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</si>
  <si>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</si>
  <si>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</si>
  <si>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</si>
  <si>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</si>
  <si>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</si>
  <si>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</si>
  <si>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</si>
  <si>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</si>
  <si>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</si>
  <si>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</si>
  <si>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</si>
  <si>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</si>
  <si>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</si>
  <si>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</si>
  <si>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</si>
  <si>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</si>
  <si>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</si>
  <si>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</si>
  <si>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</si>
  <si>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</si>
  <si>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</si>
  <si>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</si>
  <si>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</si>
  <si>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</si>
  <si>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</si>
  <si>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</si>
  <si>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</si>
  <si>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</si>
  <si>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</si>
  <si>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</si>
  <si>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</si>
  <si>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</si>
  <si>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</si>
  <si>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</si>
  <si>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</si>
  <si>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</si>
  <si>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</si>
  <si>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</si>
  <si>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</si>
  <si>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</si>
  <si>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</si>
  <si>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</si>
  <si>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</si>
  <si>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</si>
  <si>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</si>
  <si>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</si>
  <si>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</si>
  <si>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</si>
  <si>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</si>
  <si>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</si>
  <si>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</si>
  <si>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</si>
  <si>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</si>
  <si>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</si>
  <si>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</si>
  <si>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</si>
  <si>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</si>
  <si>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</si>
  <si>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</si>
  <si>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</si>
  <si>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</si>
  <si>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</si>
  <si>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</si>
  <si>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</si>
  <si>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</si>
  <si>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</si>
  <si>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</si>
  <si>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</si>
  <si>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</si>
  <si>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</si>
  <si>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</si>
  <si>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</si>
  <si>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</si>
  <si>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</si>
  <si>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</si>
  <si>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</si>
  <si>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</si>
  <si>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</si>
  <si>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</si>
  <si>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</si>
  <si>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</si>
  <si>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</si>
  <si>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</si>
  <si>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</si>
  <si>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</si>
  <si>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</si>
  <si>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</si>
  <si>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</si>
  <si>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</si>
  <si>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</si>
  <si>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</si>
  <si>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</si>
  <si>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</si>
  <si>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</si>
  <si>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</si>
  <si>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</si>
  <si>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</si>
  <si>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</si>
  <si>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</si>
  <si>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</si>
  <si>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</si>
  <si>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</si>
  <si>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</si>
  <si>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</si>
  <si>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</si>
  <si>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</si>
  <si>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</si>
  <si>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</si>
  <si>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</si>
  <si>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</si>
  <si>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</si>
  <si>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</si>
  <si>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</si>
  <si>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</si>
  <si>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</si>
  <si>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</si>
  <si>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</si>
  <si>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</si>
  <si>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</si>
  <si>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</si>
  <si>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</si>
  <si>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</si>
  <si>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</si>
  <si>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</si>
  <si>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</si>
  <si>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</si>
  <si>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</si>
  <si>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</si>
  <si>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</si>
  <si>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</si>
  <si>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</si>
  <si>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</si>
  <si>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</si>
  <si>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</si>
  <si>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</si>
  <si>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</si>
  <si>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</si>
  <si>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</si>
  <si>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</si>
  <si>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</si>
  <si>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</si>
  <si>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</si>
  <si>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</si>
  <si>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</si>
  <si>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</si>
  <si>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</si>
  <si>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</si>
  <si>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</si>
  <si>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</si>
  <si>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</si>
  <si>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</si>
  <si>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</si>
  <si>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</si>
  <si>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</si>
  <si>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</si>
  <si>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</si>
  <si>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</si>
  <si>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</si>
  <si>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</si>
  <si>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</si>
  <si>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</si>
  <si>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</si>
  <si>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</si>
  <si>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</si>
  <si>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</si>
  <si>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</si>
  <si>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</si>
  <si>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</si>
  <si>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</si>
  <si>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</si>
  <si>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</si>
  <si>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</si>
  <si>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</si>
  <si>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</si>
  <si>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</si>
  <si>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</si>
  <si>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</si>
  <si>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NLSE22-257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</si>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</sst>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6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7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2" xfId="0" applyFont="1" applyFill="1" applyBorder="1" applyAlignment="1">
      <alignment vertical="center"/>
    </xf>
    <xf numFmtId="0" fontId="78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1" xfId="0" applyFont="1" applyBorder="1" applyAlignment="1">
      <alignment vertical="center"/>
    </xf>
    <xf numFmtId="0" fontId="78" fillId="0" borderId="91" xfId="0" applyFont="1" applyBorder="1" applyAlignment="1">
      <alignment horizontal="center" vertical="center" wrapText="1"/>
    </xf>
    <xf numFmtId="0" fontId="40" fillId="0" borderId="92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1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7" fillId="0" borderId="91" xfId="0" applyFont="1" applyBorder="1" applyAlignment="1">
      <alignment vertical="center"/>
    </xf>
    <xf numFmtId="0" fontId="55" fillId="0" borderId="91" xfId="0" applyFont="1" applyBorder="1" applyAlignment="1">
      <alignment vertical="center" wrapText="1"/>
    </xf>
    <xf numFmtId="4" fontId="7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1" xfId="0" applyNumberFormat="1" applyFont="1" applyBorder="1" applyAlignment="1">
      <alignment wrapText="1"/>
    </xf>
    <xf numFmtId="1" fontId="28" fillId="0" borderId="87" xfId="0" applyNumberFormat="1" applyFont="1" applyFill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15" fillId="0" borderId="105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168" fontId="40" fillId="0" borderId="105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6" xfId="0" applyNumberFormat="1" applyFont="1" applyFill="1" applyBorder="1" applyAlignment="1">
      <alignment horizontal="center" vertical="center" wrapText="1"/>
    </xf>
    <xf numFmtId="1" fontId="7" fillId="4" borderId="114" xfId="0" applyNumberFormat="1" applyFont="1" applyFill="1" applyBorder="1" applyAlignment="1">
      <alignment horizontal="center" vertical="center"/>
    </xf>
    <xf numFmtId="1" fontId="7" fillId="4" borderId="115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0" fontId="40" fillId="0" borderId="112" xfId="0" applyFont="1" applyFill="1" applyBorder="1" applyAlignment="1">
      <alignment horizontal="center" vertical="center" wrapText="1"/>
    </xf>
    <xf numFmtId="1" fontId="41" fillId="0" borderId="113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7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6" fontId="7" fillId="23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66FFFF"/>
      <color rgb="FF3399FF"/>
      <color rgb="FF0000FF"/>
      <color rgb="FFFF3399"/>
      <color rgb="FF00FF00"/>
      <color rgb="FF99FFCC"/>
      <color rgb="FF00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2111045</c:v>
                </c:pt>
                <c:pt idx="2" formatCode="0">
                  <c:v>1211480</c:v>
                </c:pt>
                <c:pt idx="3" formatCode="0">
                  <c:v>2111540</c:v>
                </c:pt>
                <c:pt idx="4">
                  <c:v>2111874</c:v>
                </c:pt>
                <c:pt idx="5" formatCode="0">
                  <c:v>1213583</c:v>
                </c:pt>
                <c:pt idx="6" formatCode="0">
                  <c:v>0</c:v>
                </c:pt>
                <c:pt idx="7" formatCode="0">
                  <c:v>2111873</c:v>
                </c:pt>
                <c:pt idx="8" formatCode="0">
                  <c:v>2113851</c:v>
                </c:pt>
                <c:pt idx="9" formatCode="0">
                  <c:v>1219005</c:v>
                </c:pt>
                <c:pt idx="10" formatCode="0">
                  <c:v>2113852</c:v>
                </c:pt>
                <c:pt idx="12" formatCode="0">
                  <c:v>2114514</c:v>
                </c:pt>
                <c:pt idx="13" formatCode="0">
                  <c:v>2114320</c:v>
                </c:pt>
                <c:pt idx="14" formatCode="0">
                  <c:v>2114513</c:v>
                </c:pt>
                <c:pt idx="15" formatCode="0">
                  <c:v>2114512</c:v>
                </c:pt>
                <c:pt idx="16" formatCode="0">
                  <c:v>1220782</c:v>
                </c:pt>
                <c:pt idx="17" formatCode="0">
                  <c:v>2116427</c:v>
                </c:pt>
                <c:pt idx="18" formatCode="0">
                  <c:v>2116428</c:v>
                </c:pt>
                <c:pt idx="19" formatCode="0">
                  <c:v>2116429</c:v>
                </c:pt>
                <c:pt idx="20" formatCode="0">
                  <c:v>1231770</c:v>
                </c:pt>
                <c:pt idx="21" formatCode="0">
                  <c:v>1231769</c:v>
                </c:pt>
                <c:pt idx="22" formatCode="0">
                  <c:v>1233100</c:v>
                </c:pt>
                <c:pt idx="23" formatCode="0">
                  <c:v>2116430</c:v>
                </c:pt>
                <c:pt idx="24" formatCode="0">
                  <c:v>2116432</c:v>
                </c:pt>
                <c:pt idx="25" formatCode="0">
                  <c:v>2117525</c:v>
                </c:pt>
                <c:pt idx="26" formatCode="0">
                  <c:v>2116431</c:v>
                </c:pt>
                <c:pt idx="27" formatCode="0">
                  <c:v>2117526</c:v>
                </c:pt>
                <c:pt idx="28" formatCode="0">
                  <c:v>2118200</c:v>
                </c:pt>
                <c:pt idx="29" formatCode="0">
                  <c:v>1238364</c:v>
                </c:pt>
                <c:pt idx="30" formatCode="0">
                  <c:v>2118754</c:v>
                </c:pt>
                <c:pt idx="31" formatCode="0">
                  <c:v>1239758</c:v>
                </c:pt>
                <c:pt idx="32" formatCode="0">
                  <c:v>2118201</c:v>
                </c:pt>
                <c:pt idx="33" formatCode="0">
                  <c:v>2118756</c:v>
                </c:pt>
                <c:pt idx="35" formatCode="0">
                  <c:v>2120376</c:v>
                </c:pt>
                <c:pt idx="36" formatCode="0">
                  <c:v>2120377</c:v>
                </c:pt>
                <c:pt idx="42" formatCode="0">
                  <c:v>2121710</c:v>
                </c:pt>
                <c:pt idx="45" formatCode="0">
                  <c:v>2122566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5336</c:v>
                </c:pt>
                <c:pt idx="3">
                  <c:v>5452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5">
                  <c:v>795183.43039999995</c:v>
                </c:pt>
                <c:pt idx="36">
                  <c:v>800140.25600000005</c:v>
                </c:pt>
                <c:pt idx="42">
                  <c:v>827677.80314999993</c:v>
                </c:pt>
                <c:pt idx="45">
                  <c:v>778548.10589999997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42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12151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49663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870557.3173</c:v>
                </c:pt>
                <c:pt idx="25">
                  <c:v>887588.46959999995</c:v>
                </c:pt>
                <c:pt idx="26">
                  <c:v>879419.92820000008</c:v>
                </c:pt>
                <c:pt idx="27">
                  <c:v>889552.73719999997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0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827677.80314999993</c:v>
                </c:pt>
                <c:pt idx="43">
                  <c:v>0</c:v>
                </c:pt>
                <c:pt idx="44">
                  <c:v>0</c:v>
                </c:pt>
                <c:pt idx="45">
                  <c:v>778548.10589999997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0.74487880991174116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2.8076389952790919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0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45.618860838056598</c:v>
                </c:pt>
                <c:pt idx="25">
                  <c:v>46.770477206044731</c:v>
                </c:pt>
                <c:pt idx="26">
                  <c:v>46.248998388967323</c:v>
                </c:pt>
                <c:pt idx="27">
                  <c:v>46.985438557099862</c:v>
                </c:pt>
                <c:pt idx="28">
                  <c:v>43.141535649109883</c:v>
                </c:pt>
                <c:pt idx="29">
                  <c:v>43.515315998310896</c:v>
                </c:pt>
                <c:pt idx="30">
                  <c:v>43.143453479367182</c:v>
                </c:pt>
                <c:pt idx="31">
                  <c:v>42.797302343139712</c:v>
                </c:pt>
                <c:pt idx="32">
                  <c:v>42.579960602363215</c:v>
                </c:pt>
                <c:pt idx="33">
                  <c:v>42.581087423675868</c:v>
                </c:pt>
                <c:pt idx="34">
                  <c:v>0.1</c:v>
                </c:pt>
                <c:pt idx="35">
                  <c:v>41.810383248358193</c:v>
                </c:pt>
                <c:pt idx="36">
                  <c:v>41.810250895309991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43.129555507899624</c:v>
                </c:pt>
                <c:pt idx="43">
                  <c:v>0</c:v>
                </c:pt>
                <c:pt idx="44">
                  <c:v>0</c:v>
                </c:pt>
                <c:pt idx="45">
                  <c:v>43.012756950122643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P10" sqref="P1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3" customWidth="1"/>
    <col min="13" max="13" width="14.140625" bestFit="1" customWidth="1"/>
    <col min="14" max="14" width="16" style="929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8" t="s">
        <v>320</v>
      </c>
      <c r="C1" s="509"/>
      <c r="D1" s="510"/>
      <c r="E1" s="511"/>
      <c r="F1" s="512"/>
      <c r="G1" s="513"/>
      <c r="H1" s="512"/>
      <c r="I1" s="514"/>
      <c r="J1" s="515"/>
      <c r="K1" s="1203" t="s">
        <v>26</v>
      </c>
      <c r="L1" s="646"/>
      <c r="M1" s="1205" t="s">
        <v>27</v>
      </c>
      <c r="N1" s="922"/>
      <c r="P1" s="97" t="s">
        <v>38</v>
      </c>
      <c r="Q1" s="1201" t="s">
        <v>28</v>
      </c>
      <c r="R1" s="65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204"/>
      <c r="L2" s="647" t="s">
        <v>29</v>
      </c>
      <c r="M2" s="1206"/>
      <c r="N2" s="923" t="s">
        <v>29</v>
      </c>
      <c r="O2" s="387" t="s">
        <v>30</v>
      </c>
      <c r="P2" s="98" t="s">
        <v>39</v>
      </c>
      <c r="Q2" s="1202"/>
      <c r="R2" s="66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48"/>
      <c r="M3" s="355"/>
      <c r="N3" s="922"/>
      <c r="O3" s="127"/>
      <c r="P3" s="116"/>
      <c r="Q3" s="244"/>
      <c r="R3" s="655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6" t="str">
        <f>PIERNA!B4</f>
        <v>SEABOARD FOODS</v>
      </c>
      <c r="C4" s="798" t="str">
        <f>PIERNA!C4</f>
        <v>Seaboard</v>
      </c>
      <c r="D4" s="799" t="str">
        <f>PIERNA!D4</f>
        <v>PED. 90393224</v>
      </c>
      <c r="E4" s="800">
        <f>PIERNA!E4</f>
        <v>44895</v>
      </c>
      <c r="F4" s="599">
        <f>PIERNA!F4</f>
        <v>18729.12</v>
      </c>
      <c r="G4" s="377">
        <f>PIERNA!G4</f>
        <v>21</v>
      </c>
      <c r="H4" s="410">
        <f>PIERNA!H4</f>
        <v>18759.599999999999</v>
      </c>
      <c r="I4" s="694">
        <f>PIERNA!I4</f>
        <v>-30.479999999999563</v>
      </c>
      <c r="J4" s="1038" t="s">
        <v>230</v>
      </c>
      <c r="K4" s="985">
        <v>11151</v>
      </c>
      <c r="L4" s="918" t="s">
        <v>233</v>
      </c>
      <c r="M4" s="759"/>
      <c r="N4" s="775"/>
      <c r="O4" s="776"/>
      <c r="P4" s="1359"/>
      <c r="Q4" s="524"/>
      <c r="R4" s="778"/>
      <c r="S4" s="65">
        <f>Q4</f>
        <v>0</v>
      </c>
      <c r="T4" s="65">
        <f>S4/H4</f>
        <v>0</v>
      </c>
      <c r="U4" s="211"/>
    </row>
    <row r="5" spans="1:29" s="152" customFormat="1" ht="30" customHeight="1" x14ac:dyDescent="0.25">
      <c r="A5" s="100">
        <v>2</v>
      </c>
      <c r="B5" s="600" t="str">
        <f>PIERNA!B5</f>
        <v>SEABOARD FOODS</v>
      </c>
      <c r="C5" s="271" t="str">
        <f>PIERNA!C5</f>
        <v>Seaboard</v>
      </c>
      <c r="D5" s="597" t="str">
        <f>PIERNA!D5</f>
        <v>PED. 90393221</v>
      </c>
      <c r="E5" s="598">
        <f>PIERNA!E5</f>
        <v>44895</v>
      </c>
      <c r="F5" s="599">
        <f>PIERNA!F5</f>
        <v>18857.04</v>
      </c>
      <c r="G5" s="377">
        <f>PIERNA!G5</f>
        <v>21</v>
      </c>
      <c r="H5" s="410">
        <f>PIERNA!H5</f>
        <v>18842.3</v>
      </c>
      <c r="I5" s="694">
        <f>PIERNA!I5</f>
        <v>14.740000000001601</v>
      </c>
      <c r="J5" s="773" t="s">
        <v>231</v>
      </c>
      <c r="K5" s="917">
        <v>12151</v>
      </c>
      <c r="L5" s="918" t="s">
        <v>233</v>
      </c>
      <c r="M5" s="759"/>
      <c r="N5" s="775"/>
      <c r="O5" s="1073">
        <v>2111045</v>
      </c>
      <c r="P5" s="1359"/>
      <c r="Q5" s="912"/>
      <c r="R5" s="913"/>
      <c r="S5" s="65">
        <f>Q5+M5+K5+P5</f>
        <v>12151</v>
      </c>
      <c r="T5" s="65">
        <f>S5/H5+0.1</f>
        <v>0.74487880991174116</v>
      </c>
      <c r="U5" s="187"/>
    </row>
    <row r="6" spans="1:29" s="152" customFormat="1" ht="30" customHeight="1" x14ac:dyDescent="0.3">
      <c r="A6" s="100">
        <v>3</v>
      </c>
      <c r="B6" s="601" t="str">
        <f>PIERNA!B6</f>
        <v>TYSON FRESH MEAT</v>
      </c>
      <c r="C6" s="271" t="str">
        <f>PIERNA!C6</f>
        <v xml:space="preserve">I B P </v>
      </c>
      <c r="D6" s="597" t="str">
        <f>PIERNA!D6</f>
        <v>PED. 90429145</v>
      </c>
      <c r="E6" s="598">
        <f>PIERNA!E6</f>
        <v>44896</v>
      </c>
      <c r="F6" s="599">
        <f>PIERNA!F6</f>
        <v>18857.04</v>
      </c>
      <c r="G6" s="377">
        <f>PIERNA!G6</f>
        <v>20</v>
      </c>
      <c r="H6" s="410">
        <f>PIERNA!H6</f>
        <v>18935.560000000001</v>
      </c>
      <c r="I6" s="694">
        <f>PIERNA!I6</f>
        <v>-78.520000000000437</v>
      </c>
      <c r="J6" s="806" t="s">
        <v>354</v>
      </c>
      <c r="K6" s="985">
        <v>12161</v>
      </c>
      <c r="L6" s="1054" t="s">
        <v>233</v>
      </c>
      <c r="M6" s="759">
        <v>37120</v>
      </c>
      <c r="N6" s="775" t="s">
        <v>389</v>
      </c>
      <c r="O6" s="779">
        <v>1211480</v>
      </c>
      <c r="P6" s="1358">
        <v>5336</v>
      </c>
      <c r="Q6" s="1052">
        <f>44062.9*19.3</f>
        <v>850413.97000000009</v>
      </c>
      <c r="R6" s="1053" t="s">
        <v>232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602" t="str">
        <f>PIERNA!B7</f>
        <v>SEABOARD FOODS</v>
      </c>
      <c r="C7" s="271" t="str">
        <f>PIERNA!C7</f>
        <v>Seaboard</v>
      </c>
      <c r="D7" s="597" t="str">
        <f>PIERNA!D7</f>
        <v>PED. 90446524</v>
      </c>
      <c r="E7" s="598">
        <f>PIERNA!E7</f>
        <v>44896</v>
      </c>
      <c r="F7" s="599">
        <f>PIERNA!F7</f>
        <v>19184.009999999998</v>
      </c>
      <c r="G7" s="377">
        <f>PIERNA!G7</f>
        <v>21</v>
      </c>
      <c r="H7" s="410">
        <f>PIERNA!H7</f>
        <v>19169.8</v>
      </c>
      <c r="I7" s="694">
        <f>PIERNA!I7</f>
        <v>14.209999999999127</v>
      </c>
      <c r="J7" s="785" t="s">
        <v>352</v>
      </c>
      <c r="K7" s="985">
        <v>9851</v>
      </c>
      <c r="L7" s="1054" t="s">
        <v>233</v>
      </c>
      <c r="M7" s="759">
        <v>37120</v>
      </c>
      <c r="N7" s="775" t="s">
        <v>389</v>
      </c>
      <c r="O7" s="779">
        <v>2111540</v>
      </c>
      <c r="P7" s="1358">
        <v>5452</v>
      </c>
      <c r="Q7" s="914">
        <f>45575.34*19.41</f>
        <v>884617.34939999995</v>
      </c>
      <c r="R7" s="913" t="s">
        <v>368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597" t="str">
        <f>PIERNA!D8</f>
        <v>PED. 90509378</v>
      </c>
      <c r="E8" s="598">
        <f>PIERNA!E8</f>
        <v>44897</v>
      </c>
      <c r="F8" s="599">
        <f>PIERNA!F8</f>
        <v>18054.09</v>
      </c>
      <c r="G8" s="377">
        <f>PIERNA!G8</f>
        <v>20</v>
      </c>
      <c r="H8" s="410">
        <f>PIERNA!H8</f>
        <v>18007.599999999999</v>
      </c>
      <c r="I8" s="694">
        <f>PIERNA!I8</f>
        <v>46.490000000001601</v>
      </c>
      <c r="J8" s="773" t="s">
        <v>355</v>
      </c>
      <c r="K8" s="758">
        <v>12151</v>
      </c>
      <c r="L8" s="788" t="s">
        <v>388</v>
      </c>
      <c r="M8" s="759">
        <v>37120</v>
      </c>
      <c r="N8" s="781" t="s">
        <v>390</v>
      </c>
      <c r="O8" s="1073">
        <v>2111874</v>
      </c>
      <c r="P8" s="777">
        <v>0</v>
      </c>
      <c r="Q8" s="914">
        <f>40887.03*19.405</f>
        <v>793412.81715000002</v>
      </c>
      <c r="R8" s="916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0" t="str">
        <f>PIERNA!B9</f>
        <v>TYSON FRESH MEAT</v>
      </c>
      <c r="C9" s="271" t="str">
        <f>PIERNA!C9</f>
        <v xml:space="preserve">I B P </v>
      </c>
      <c r="D9" s="597" t="str">
        <f>PIERNA!D9</f>
        <v>PED. 90509303</v>
      </c>
      <c r="E9" s="598">
        <f>PIERNA!E9</f>
        <v>44898</v>
      </c>
      <c r="F9" s="599">
        <f>PIERNA!F9</f>
        <v>18435.43</v>
      </c>
      <c r="G9" s="377">
        <f>PIERNA!G9</f>
        <v>20</v>
      </c>
      <c r="H9" s="410">
        <f>PIERNA!H9</f>
        <v>18351.310000000001</v>
      </c>
      <c r="I9" s="694">
        <f>PIERNA!I9</f>
        <v>84.119999999998981</v>
      </c>
      <c r="J9" s="773" t="s">
        <v>357</v>
      </c>
      <c r="K9" s="985">
        <v>12161</v>
      </c>
      <c r="L9" s="1054" t="s">
        <v>233</v>
      </c>
      <c r="M9" s="759">
        <v>37120</v>
      </c>
      <c r="N9" s="781" t="s">
        <v>390</v>
      </c>
      <c r="O9" s="783">
        <v>1213583</v>
      </c>
      <c r="P9" s="777"/>
      <c r="Q9" s="524">
        <f>43731.05*19.445</f>
        <v>850350.26725000003</v>
      </c>
      <c r="R9" s="784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597">
        <f>PIERNA!D10</f>
        <v>0</v>
      </c>
      <c r="E10" s="598">
        <f>PIERNA!E10</f>
        <v>44898</v>
      </c>
      <c r="F10" s="599">
        <f>PIERNA!F10</f>
        <v>1123</v>
      </c>
      <c r="G10" s="377">
        <f>PIERNA!G10</f>
        <v>2</v>
      </c>
      <c r="H10" s="410">
        <f>PIERNA!H10</f>
        <v>1123</v>
      </c>
      <c r="I10" s="694">
        <f>PIERNA!I10</f>
        <v>0</v>
      </c>
      <c r="J10" s="1061" t="s">
        <v>362</v>
      </c>
      <c r="K10" s="758"/>
      <c r="L10" s="788"/>
      <c r="M10" s="759"/>
      <c r="N10" s="781"/>
      <c r="O10" s="783" t="s">
        <v>358</v>
      </c>
      <c r="P10" s="777"/>
      <c r="Q10" s="524">
        <f>134+65000</f>
        <v>65134</v>
      </c>
      <c r="R10" s="784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597" t="str">
        <f>PIERNA!D11</f>
        <v>PED. 90587790</v>
      </c>
      <c r="E11" s="598">
        <f>PIERNA!E11</f>
        <v>44901</v>
      </c>
      <c r="F11" s="599">
        <f>PIERNA!F11</f>
        <v>18014.7</v>
      </c>
      <c r="G11" s="377">
        <f>PIERNA!G11</f>
        <v>20</v>
      </c>
      <c r="H11" s="410">
        <f>PIERNA!H11</f>
        <v>18032</v>
      </c>
      <c r="I11" s="694">
        <f>PIERNA!I11</f>
        <v>-17.299999999999272</v>
      </c>
      <c r="J11" s="785" t="s">
        <v>361</v>
      </c>
      <c r="K11" s="758">
        <v>11151</v>
      </c>
      <c r="L11" s="782" t="s">
        <v>390</v>
      </c>
      <c r="M11" s="759">
        <v>27840</v>
      </c>
      <c r="N11" s="781" t="s">
        <v>394</v>
      </c>
      <c r="O11" s="786">
        <v>2111873</v>
      </c>
      <c r="P11" s="777"/>
      <c r="Q11" s="912">
        <f>40942.64*19.405</f>
        <v>794491.92920000001</v>
      </c>
      <c r="R11" s="915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597" t="str">
        <f>PIERNA!D12</f>
        <v>PED. 90644060</v>
      </c>
      <c r="E12" s="598">
        <f>PIERNA!E12</f>
        <v>44901</v>
      </c>
      <c r="F12" s="599">
        <f>PIERNA!F12</f>
        <v>19221</v>
      </c>
      <c r="G12" s="377">
        <f>PIERNA!G12</f>
        <v>21</v>
      </c>
      <c r="H12" s="410">
        <f>PIERNA!H12</f>
        <v>19080.599999999999</v>
      </c>
      <c r="I12" s="694">
        <f>PIERNA!I12</f>
        <v>140.40000000000146</v>
      </c>
      <c r="J12" s="773" t="s">
        <v>351</v>
      </c>
      <c r="K12" s="758">
        <v>11151</v>
      </c>
      <c r="L12" s="782" t="s">
        <v>391</v>
      </c>
      <c r="M12" s="759">
        <v>37120</v>
      </c>
      <c r="N12" s="781" t="s">
        <v>392</v>
      </c>
      <c r="O12" s="786">
        <v>2113851</v>
      </c>
      <c r="P12" s="777"/>
      <c r="Q12" s="912">
        <f>43121.86*19.335</f>
        <v>833761.16310000001</v>
      </c>
      <c r="R12" s="915" t="s">
        <v>369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2" t="str">
        <f>PIERNA!B13</f>
        <v>TYSON FRESH MEAT</v>
      </c>
      <c r="C13" s="271" t="str">
        <f>PIERNA!C13</f>
        <v xml:space="preserve">I B P </v>
      </c>
      <c r="D13" s="597" t="str">
        <f>PIERNA!D13</f>
        <v>PED. 90707882</v>
      </c>
      <c r="E13" s="598">
        <f>PIERNA!E13</f>
        <v>44902</v>
      </c>
      <c r="F13" s="599">
        <f>PIERNA!F13</f>
        <v>18623.95</v>
      </c>
      <c r="G13" s="377">
        <f>PIERNA!G13</f>
        <v>20</v>
      </c>
      <c r="H13" s="410">
        <f>PIERNA!H13</f>
        <v>18651.62</v>
      </c>
      <c r="I13" s="694">
        <f>PIERNA!I13</f>
        <v>-27.669999999998254</v>
      </c>
      <c r="J13" s="909" t="s">
        <v>363</v>
      </c>
      <c r="K13" s="758">
        <v>11151</v>
      </c>
      <c r="L13" s="782" t="s">
        <v>392</v>
      </c>
      <c r="M13" s="759">
        <v>37120</v>
      </c>
      <c r="N13" s="781" t="s">
        <v>386</v>
      </c>
      <c r="O13" s="786">
        <v>1219005</v>
      </c>
      <c r="P13" s="777"/>
      <c r="Q13" s="386">
        <f>42254.91*19.79</f>
        <v>836224.66890000005</v>
      </c>
      <c r="R13" s="784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0" t="str">
        <f>PIERNA!B14</f>
        <v>SEABOARD FOODS</v>
      </c>
      <c r="C14" s="271" t="str">
        <f>PIERNA!C14</f>
        <v>Seaboard</v>
      </c>
      <c r="D14" s="597" t="str">
        <f>PIERNA!D14</f>
        <v>PED. 90757463</v>
      </c>
      <c r="E14" s="598">
        <f>PIERNA!E14</f>
        <v>44903</v>
      </c>
      <c r="F14" s="599">
        <f>PIERNA!F14</f>
        <v>18888.5</v>
      </c>
      <c r="G14" s="377">
        <f>PIERNA!G14</f>
        <v>21</v>
      </c>
      <c r="H14" s="410">
        <f>PIERNA!H14</f>
        <v>18798.7</v>
      </c>
      <c r="I14" s="694">
        <f>PIERNA!I14</f>
        <v>89.799999999999272</v>
      </c>
      <c r="J14" s="785" t="s">
        <v>364</v>
      </c>
      <c r="K14" s="758">
        <v>12001</v>
      </c>
      <c r="L14" s="782" t="s">
        <v>386</v>
      </c>
      <c r="M14" s="759">
        <v>37120</v>
      </c>
      <c r="N14" s="781" t="s">
        <v>393</v>
      </c>
      <c r="O14" s="783">
        <v>2113852</v>
      </c>
      <c r="P14" s="777"/>
      <c r="Q14" s="386">
        <f>41091.73*19.185</f>
        <v>788344.84005</v>
      </c>
      <c r="R14" s="787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6" t="str">
        <f>PIERNA!B15</f>
        <v>TYSON FRESH MEAT</v>
      </c>
      <c r="C15" s="271" t="str">
        <f>PIERNA!C15</f>
        <v xml:space="preserve">I B P </v>
      </c>
      <c r="D15" s="597" t="str">
        <f>PIERNA!D15</f>
        <v>PED. 90722929</v>
      </c>
      <c r="E15" s="598">
        <f>PIERNA!E15</f>
        <v>44903</v>
      </c>
      <c r="F15" s="599">
        <f>PIERNA!F15</f>
        <v>18366.080000000002</v>
      </c>
      <c r="G15" s="377">
        <f>PIERNA!G15</f>
        <v>20</v>
      </c>
      <c r="H15" s="410">
        <f>PIERNA!H15</f>
        <v>18341.810000000001</v>
      </c>
      <c r="I15" s="694">
        <f>PIERNA!I15</f>
        <v>24.270000000000437</v>
      </c>
      <c r="J15" s="1072" t="s">
        <v>365</v>
      </c>
      <c r="K15" s="758">
        <v>12543</v>
      </c>
      <c r="L15" s="782" t="s">
        <v>392</v>
      </c>
      <c r="M15" s="759">
        <v>37120</v>
      </c>
      <c r="N15" s="788" t="s">
        <v>386</v>
      </c>
      <c r="O15" s="789"/>
      <c r="P15" s="777"/>
      <c r="Q15" s="386"/>
      <c r="R15" s="790"/>
      <c r="S15" s="65">
        <f t="shared" si="0"/>
        <v>49663</v>
      </c>
      <c r="T15" s="65">
        <f t="shared" si="1"/>
        <v>2.8076389952790919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2" t="str">
        <f>PIERNA!B16</f>
        <v>SEABOARD FOODS</v>
      </c>
      <c r="C16" s="271" t="str">
        <f>PIERNA!C16</f>
        <v>Seaboard</v>
      </c>
      <c r="D16" s="597" t="str">
        <f>PIERNA!D16</f>
        <v>PED. 90825607</v>
      </c>
      <c r="E16" s="598">
        <f>PIERNA!E16</f>
        <v>44904</v>
      </c>
      <c r="F16" s="599">
        <f>PIERNA!F16</f>
        <v>18847.11</v>
      </c>
      <c r="G16" s="377">
        <f>PIERNA!G16</f>
        <v>21</v>
      </c>
      <c r="H16" s="410">
        <f>PIERNA!H16</f>
        <v>18871.3</v>
      </c>
      <c r="I16" s="694">
        <f>PIERNA!I16</f>
        <v>-24.18999999999869</v>
      </c>
      <c r="J16" s="791" t="s">
        <v>366</v>
      </c>
      <c r="K16" s="758">
        <v>11151</v>
      </c>
      <c r="L16" s="782" t="s">
        <v>393</v>
      </c>
      <c r="M16" s="759">
        <v>37120</v>
      </c>
      <c r="N16" s="788" t="s">
        <v>394</v>
      </c>
      <c r="O16" s="786">
        <v>2114514</v>
      </c>
      <c r="P16" s="777"/>
      <c r="Q16" s="524">
        <f>40672.07*19.8</f>
        <v>805306.98600000003</v>
      </c>
      <c r="R16" s="784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0" t="str">
        <f>PIERNA!B17</f>
        <v>SEABOARD FOODS</v>
      </c>
      <c r="C17" s="271" t="str">
        <f>PIERNA!C17</f>
        <v>Seaboard</v>
      </c>
      <c r="D17" s="597" t="str">
        <f>PIERNA!D17</f>
        <v>PED. 90825386</v>
      </c>
      <c r="E17" s="598">
        <f>PIERNA!E17</f>
        <v>44904</v>
      </c>
      <c r="F17" s="599">
        <f>PIERNA!F17</f>
        <v>19130.18</v>
      </c>
      <c r="G17" s="377">
        <f>PIERNA!G17</f>
        <v>21</v>
      </c>
      <c r="H17" s="410">
        <f>PIERNA!H17</f>
        <v>19185.5</v>
      </c>
      <c r="I17" s="694">
        <f>PIERNA!I17</f>
        <v>-55.319999999999709</v>
      </c>
      <c r="J17" s="920" t="s">
        <v>367</v>
      </c>
      <c r="K17" s="758">
        <v>9851</v>
      </c>
      <c r="L17" s="782" t="s">
        <v>393</v>
      </c>
      <c r="M17" s="759">
        <v>37120</v>
      </c>
      <c r="N17" s="788" t="s">
        <v>394</v>
      </c>
      <c r="O17" s="786">
        <v>2114320</v>
      </c>
      <c r="P17" s="777"/>
      <c r="Q17" s="912">
        <f>41349.55*19.335</f>
        <v>799493.54925000004</v>
      </c>
      <c r="R17" s="915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0" t="str">
        <f>PIERNA!B18</f>
        <v>SEABOARD FOODS</v>
      </c>
      <c r="C18" s="271" t="str">
        <f>PIERNA!C18</f>
        <v>Seaboard</v>
      </c>
      <c r="D18" s="597" t="str">
        <f>PIERNA!D18</f>
        <v>PED. 90825608</v>
      </c>
      <c r="E18" s="598">
        <f>PIERNA!E18</f>
        <v>44904</v>
      </c>
      <c r="F18" s="599">
        <f>PIERNA!F18</f>
        <v>18790.439999999999</v>
      </c>
      <c r="G18" s="377">
        <f>PIERNA!G18</f>
        <v>21</v>
      </c>
      <c r="H18" s="410">
        <f>PIERNA!H18</f>
        <v>18821</v>
      </c>
      <c r="I18" s="694">
        <f>PIERNA!I18</f>
        <v>-30.56000000000131</v>
      </c>
      <c r="J18" s="785" t="s">
        <v>424</v>
      </c>
      <c r="K18" s="758">
        <v>12001</v>
      </c>
      <c r="L18" s="782" t="s">
        <v>393</v>
      </c>
      <c r="M18" s="759">
        <v>37120</v>
      </c>
      <c r="N18" s="788" t="s">
        <v>488</v>
      </c>
      <c r="O18" s="776">
        <v>2114513</v>
      </c>
      <c r="P18" s="777"/>
      <c r="Q18" s="524">
        <f>40564.53*19.445</f>
        <v>788777.28584999999</v>
      </c>
      <c r="R18" s="787" t="s">
        <v>498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0" t="str">
        <f>PIERNA!B19</f>
        <v>SEABOARD FOODS</v>
      </c>
      <c r="C19" s="271" t="str">
        <f>PIERNA!C19</f>
        <v>Seaboard</v>
      </c>
      <c r="D19" s="597" t="str">
        <f>PIERNA!D19</f>
        <v>PED. 90826159</v>
      </c>
      <c r="E19" s="598">
        <f>PIERNA!E19</f>
        <v>44905</v>
      </c>
      <c r="F19" s="599">
        <f>PIERNA!F19</f>
        <v>18848.189999999999</v>
      </c>
      <c r="G19" s="377">
        <f>PIERNA!G19</f>
        <v>21</v>
      </c>
      <c r="H19" s="410">
        <f>PIERNA!H19</f>
        <v>18826.7</v>
      </c>
      <c r="I19" s="694">
        <f>PIERNA!I19</f>
        <v>21.489999999997963</v>
      </c>
      <c r="J19" s="785" t="s">
        <v>425</v>
      </c>
      <c r="K19" s="758">
        <v>12161</v>
      </c>
      <c r="L19" s="782" t="s">
        <v>393</v>
      </c>
      <c r="M19" s="759">
        <v>27840</v>
      </c>
      <c r="N19" s="781" t="s">
        <v>497</v>
      </c>
      <c r="O19" s="783">
        <v>2114512</v>
      </c>
      <c r="P19" s="731"/>
      <c r="Q19" s="524">
        <f>40576.27*19.445</f>
        <v>789005.57014999993</v>
      </c>
      <c r="R19" s="775" t="s">
        <v>498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2" t="str">
        <f>PIERNA!B20</f>
        <v>TYSON FRESH MEAT</v>
      </c>
      <c r="C20" s="271" t="str">
        <f>PIERNA!C20</f>
        <v xml:space="preserve">I B P </v>
      </c>
      <c r="D20" s="597" t="str">
        <f>PIERNA!D20</f>
        <v>PED. 90888795</v>
      </c>
      <c r="E20" s="598">
        <f>PIERNA!E20</f>
        <v>44905</v>
      </c>
      <c r="F20" s="599">
        <f>PIERNA!F20</f>
        <v>18920.68</v>
      </c>
      <c r="G20" s="377">
        <f>PIERNA!G20</f>
        <v>20</v>
      </c>
      <c r="H20" s="410">
        <f>PIERNA!H20</f>
        <v>18959.16</v>
      </c>
      <c r="I20" s="694">
        <f>PIERNA!I20</f>
        <v>-38.479999999999563</v>
      </c>
      <c r="J20" s="773" t="s">
        <v>426</v>
      </c>
      <c r="K20" s="758">
        <v>11151</v>
      </c>
      <c r="L20" s="782" t="s">
        <v>394</v>
      </c>
      <c r="M20" s="759">
        <v>37120</v>
      </c>
      <c r="N20" s="781" t="s">
        <v>394</v>
      </c>
      <c r="O20" s="783">
        <v>1220782</v>
      </c>
      <c r="P20" s="777"/>
      <c r="Q20" s="524">
        <f>41547.21*19.56</f>
        <v>812663.42759999994</v>
      </c>
      <c r="R20" s="775" t="s">
        <v>462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597" t="str">
        <f>PIERNA!D21</f>
        <v>PED. 90971391</v>
      </c>
      <c r="E21" s="598">
        <f>PIERNA!E21</f>
        <v>44908</v>
      </c>
      <c r="F21" s="599">
        <f>PIERNA!F21</f>
        <v>18992.169999999998</v>
      </c>
      <c r="G21" s="377">
        <f>PIERNA!G21</f>
        <v>21</v>
      </c>
      <c r="H21" s="410">
        <f>PIERNA!H21</f>
        <v>18917.400000000001</v>
      </c>
      <c r="I21" s="694">
        <f>PIERNA!I21</f>
        <v>74.769999999996799</v>
      </c>
      <c r="J21" s="773" t="s">
        <v>430</v>
      </c>
      <c r="K21" s="758">
        <v>12151</v>
      </c>
      <c r="L21" s="782" t="s">
        <v>493</v>
      </c>
      <c r="M21" s="759">
        <v>37120</v>
      </c>
      <c r="N21" s="781" t="s">
        <v>493</v>
      </c>
      <c r="O21" s="786">
        <v>2116427</v>
      </c>
      <c r="P21" s="777"/>
      <c r="Q21" s="524">
        <f>42604.72*19.74</f>
        <v>841017.17279999994</v>
      </c>
      <c r="R21" s="775" t="s">
        <v>487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597" t="str">
        <f>PIERNA!D22</f>
        <v>PED. 90970890</v>
      </c>
      <c r="E22" s="598">
        <f>PIERNA!E22</f>
        <v>44908</v>
      </c>
      <c r="F22" s="599">
        <f>PIERNA!F22</f>
        <v>18949.169999999998</v>
      </c>
      <c r="G22" s="377">
        <f>PIERNA!G22</f>
        <v>21</v>
      </c>
      <c r="H22" s="410">
        <f>PIERNA!H22</f>
        <v>0</v>
      </c>
      <c r="I22" s="694">
        <f>PIERNA!I22</f>
        <v>18949.169999999998</v>
      </c>
      <c r="J22" s="785" t="s">
        <v>431</v>
      </c>
      <c r="K22" s="758">
        <v>12151</v>
      </c>
      <c r="L22" s="782" t="s">
        <v>493</v>
      </c>
      <c r="M22" s="759">
        <v>37120</v>
      </c>
      <c r="N22" s="781" t="s">
        <v>493</v>
      </c>
      <c r="O22" s="786">
        <v>2116428</v>
      </c>
      <c r="P22" s="793"/>
      <c r="Q22" s="524">
        <f>42500.53*19.74</f>
        <v>838960.46219999995</v>
      </c>
      <c r="R22" s="775" t="s">
        <v>487</v>
      </c>
      <c r="S22" s="65">
        <f>Q22+M22+K22</f>
        <v>888231.46219999995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597" t="str">
        <f>PIERNA!D23</f>
        <v>PED. 90973441</v>
      </c>
      <c r="E23" s="598">
        <f>PIERNA!E23</f>
        <v>44908</v>
      </c>
      <c r="F23" s="599">
        <f>PIERNA!F23</f>
        <v>19166.849999999999</v>
      </c>
      <c r="G23" s="377">
        <f>PIERNA!G23</f>
        <v>21</v>
      </c>
      <c r="H23" s="410">
        <f>PIERNA!H23</f>
        <v>19058.7</v>
      </c>
      <c r="I23" s="694">
        <f>PIERNA!I23</f>
        <v>108.14999999999782</v>
      </c>
      <c r="J23" s="773" t="s">
        <v>432</v>
      </c>
      <c r="K23" s="758">
        <v>9851</v>
      </c>
      <c r="L23" s="782" t="s">
        <v>493</v>
      </c>
      <c r="M23" s="759">
        <v>37120</v>
      </c>
      <c r="N23" s="781" t="s">
        <v>493</v>
      </c>
      <c r="O23" s="776">
        <v>2116429</v>
      </c>
      <c r="P23" s="777"/>
      <c r="Q23" s="524">
        <f>42921.39*19.81</f>
        <v>850272.73589999997</v>
      </c>
      <c r="R23" s="775" t="s">
        <v>461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0" t="str">
        <f>PIERNA!B24</f>
        <v>TYSON FRESH MEAT</v>
      </c>
      <c r="C24" s="271" t="str">
        <f>PIERNA!C24</f>
        <v xml:space="preserve">I B P </v>
      </c>
      <c r="D24" s="603" t="str">
        <f>PIERNA!D24</f>
        <v>PED. 910285201</v>
      </c>
      <c r="E24" s="598">
        <f>PIERNA!E24</f>
        <v>44909</v>
      </c>
      <c r="F24" s="599">
        <f>PIERNA!F24</f>
        <v>18590.849999999999</v>
      </c>
      <c r="G24" s="377">
        <f>PIERNA!G24</f>
        <v>20</v>
      </c>
      <c r="H24" s="410">
        <f>PIERNA!H24</f>
        <v>18618.48</v>
      </c>
      <c r="I24" s="694">
        <f>PIERNA!I24</f>
        <v>-27.630000000001019</v>
      </c>
      <c r="J24" s="785" t="s">
        <v>433</v>
      </c>
      <c r="K24" s="758">
        <v>11001</v>
      </c>
      <c r="L24" s="782" t="s">
        <v>493</v>
      </c>
      <c r="M24" s="759">
        <v>37120</v>
      </c>
      <c r="N24" s="781" t="s">
        <v>494</v>
      </c>
      <c r="O24" s="783">
        <v>1231770</v>
      </c>
      <c r="P24" s="777"/>
      <c r="Q24" s="524">
        <f>42032.13*19.825</f>
        <v>833286.97724999988</v>
      </c>
      <c r="R24" s="775" t="s">
        <v>464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3" t="str">
        <f>PIERNA!HO5</f>
        <v>PED. 91026280</v>
      </c>
      <c r="E25" s="598">
        <f>PIERNA!E25</f>
        <v>44909</v>
      </c>
      <c r="F25" s="599">
        <f>PIERNA!HQ5</f>
        <v>18256.88</v>
      </c>
      <c r="G25" s="377">
        <f>PIERNA!HR5</f>
        <v>20</v>
      </c>
      <c r="H25" s="410">
        <f>PIERNA!HS5</f>
        <v>18237.5</v>
      </c>
      <c r="I25" s="694">
        <f>PIERNA!I25</f>
        <v>19.380000000001019</v>
      </c>
      <c r="J25" s="773" t="s">
        <v>434</v>
      </c>
      <c r="K25" s="758">
        <v>12151</v>
      </c>
      <c r="L25" s="782" t="s">
        <v>493</v>
      </c>
      <c r="M25" s="759">
        <v>37120</v>
      </c>
      <c r="N25" s="781" t="s">
        <v>494</v>
      </c>
      <c r="O25" s="783">
        <v>1231769</v>
      </c>
      <c r="P25" s="793"/>
      <c r="Q25" s="524">
        <f>41171.97*19.84</f>
        <v>816851.8848</v>
      </c>
      <c r="R25" s="778" t="s">
        <v>465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3" t="str">
        <f>PIERNA!HY5</f>
        <v>PED. 91075573</v>
      </c>
      <c r="E26" s="598">
        <f>PIERNA!HZ5</f>
        <v>44910</v>
      </c>
      <c r="F26" s="599">
        <f>PIERNA!IA5</f>
        <v>18753.78</v>
      </c>
      <c r="G26" s="604">
        <f>PIERNA!IB5</f>
        <v>20</v>
      </c>
      <c r="H26" s="410">
        <f>PIERNA!IC5</f>
        <v>18785</v>
      </c>
      <c r="I26" s="694">
        <f>PIERNA!I26</f>
        <v>-31.220000000001164</v>
      </c>
      <c r="J26" s="785" t="s">
        <v>436</v>
      </c>
      <c r="K26" s="758">
        <v>9851</v>
      </c>
      <c r="L26" s="774" t="s">
        <v>494</v>
      </c>
      <c r="M26" s="759">
        <v>37120</v>
      </c>
      <c r="N26" s="775" t="s">
        <v>496</v>
      </c>
      <c r="O26" s="783">
        <v>1233100</v>
      </c>
      <c r="P26" s="777"/>
      <c r="Q26" s="524">
        <f>43530.26*19.785</f>
        <v>861246.19410000008</v>
      </c>
      <c r="R26" s="775" t="s">
        <v>459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3" t="str">
        <f>PIERNA!II5</f>
        <v>PED. 91025870</v>
      </c>
      <c r="E27" s="598">
        <f>PIERNA!IJ5</f>
        <v>44910</v>
      </c>
      <c r="F27" s="599">
        <f>PIERNA!IK5</f>
        <v>19116.189999999999</v>
      </c>
      <c r="G27" s="604">
        <f>PIERNA!IL5</f>
        <v>21</v>
      </c>
      <c r="H27" s="410">
        <f>PIERNA!IM5</f>
        <v>19114.3</v>
      </c>
      <c r="I27" s="694">
        <f>PIERNA!I27</f>
        <v>1.8899999999994179</v>
      </c>
      <c r="J27" s="785" t="s">
        <v>437</v>
      </c>
      <c r="K27" s="758">
        <v>12001</v>
      </c>
      <c r="L27" s="774" t="s">
        <v>493</v>
      </c>
      <c r="M27" s="759">
        <v>37120</v>
      </c>
      <c r="N27" s="775" t="s">
        <v>494</v>
      </c>
      <c r="O27" s="783">
        <v>2116430</v>
      </c>
      <c r="P27" s="793"/>
      <c r="Q27" s="524">
        <f>43046.01*19.72</f>
        <v>848867.31720000005</v>
      </c>
      <c r="R27" s="775" t="s">
        <v>386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3" t="str">
        <f>PIERNA!IS5</f>
        <v>PED. 9102497</v>
      </c>
      <c r="E28" s="598">
        <f>PIERNA!IT5</f>
        <v>44911</v>
      </c>
      <c r="F28" s="599">
        <f>PIERNA!IU5</f>
        <v>19165.84</v>
      </c>
      <c r="G28" s="604">
        <f>PIERNA!IV5</f>
        <v>21</v>
      </c>
      <c r="H28" s="410">
        <f>PIERNA!IW5</f>
        <v>19125.2</v>
      </c>
      <c r="I28" s="694">
        <f>PIERNA!I28</f>
        <v>40.639999999999418</v>
      </c>
      <c r="J28" s="785" t="s">
        <v>438</v>
      </c>
      <c r="K28" s="758"/>
      <c r="L28" s="774"/>
      <c r="M28" s="759"/>
      <c r="N28" s="775"/>
      <c r="O28" s="783">
        <v>2116432</v>
      </c>
      <c r="P28" s="777"/>
      <c r="Q28" s="524">
        <f>44213.17*19.69</f>
        <v>870557.3173</v>
      </c>
      <c r="R28" s="778" t="s">
        <v>387</v>
      </c>
      <c r="S28" s="65">
        <f t="shared" si="0"/>
        <v>870557.3173</v>
      </c>
      <c r="T28" s="65">
        <f t="shared" si="1"/>
        <v>45.618860838056598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1" t="str">
        <f>PIERNA!JA5</f>
        <v>SEABOARD FOODS</v>
      </c>
      <c r="C29" s="271" t="str">
        <f>PIERNA!JB5</f>
        <v>Seaboard</v>
      </c>
      <c r="D29" s="603" t="str">
        <f>PIERNA!JC5</f>
        <v>PED. 91179969</v>
      </c>
      <c r="E29" s="598">
        <f>PIERNA!JD5</f>
        <v>44911</v>
      </c>
      <c r="F29" s="599">
        <f>PIERNA!JE5</f>
        <v>19052.3</v>
      </c>
      <c r="G29" s="604">
        <f>PIERNA!JF5</f>
        <v>21</v>
      </c>
      <c r="H29" s="410">
        <f>PIERNA!JG5</f>
        <v>19018.2</v>
      </c>
      <c r="I29" s="694">
        <f>PIERNA!I29</f>
        <v>34.099999999998545</v>
      </c>
      <c r="J29" s="792" t="s">
        <v>439</v>
      </c>
      <c r="K29" s="696">
        <v>12001</v>
      </c>
      <c r="L29" s="774" t="s">
        <v>496</v>
      </c>
      <c r="M29" s="759">
        <v>37120</v>
      </c>
      <c r="N29" s="775" t="s">
        <v>497</v>
      </c>
      <c r="O29" s="776">
        <v>2117525</v>
      </c>
      <c r="P29" s="777"/>
      <c r="Q29" s="524">
        <f>42368.24*19.79</f>
        <v>838467.46959999995</v>
      </c>
      <c r="R29" s="778" t="s">
        <v>488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3" t="str">
        <f>PIERNA!JM5</f>
        <v>PED. 91092545</v>
      </c>
      <c r="E30" s="605">
        <f>PIERNA!JN5</f>
        <v>44912</v>
      </c>
      <c r="F30" s="606">
        <f>PIERNA!JO5</f>
        <v>19132.05</v>
      </c>
      <c r="G30" s="389">
        <f>PIERNA!JP5</f>
        <v>21</v>
      </c>
      <c r="H30" s="607">
        <f>PIERNA!JQ5</f>
        <v>19056.099999999999</v>
      </c>
      <c r="I30" s="694">
        <f>PIERNA!I30</f>
        <v>75.950000000000728</v>
      </c>
      <c r="J30" s="773" t="s">
        <v>440</v>
      </c>
      <c r="K30" s="758">
        <v>12001</v>
      </c>
      <c r="L30" s="774" t="s">
        <v>495</v>
      </c>
      <c r="M30" s="759"/>
      <c r="N30" s="775"/>
      <c r="O30" s="776">
        <v>2116431</v>
      </c>
      <c r="P30" s="777"/>
      <c r="Q30" s="524">
        <f>44053.78*19.69</f>
        <v>867418.92820000008</v>
      </c>
      <c r="R30" s="778" t="s">
        <v>387</v>
      </c>
      <c r="S30" s="65">
        <f>Q30+M30+K30</f>
        <v>879419.92820000008</v>
      </c>
      <c r="T30" s="65">
        <f t="shared" si="1"/>
        <v>46.248998388967323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08" t="str">
        <f>PIERNA!JV5</f>
        <v>Seaboard</v>
      </c>
      <c r="D31" s="603" t="str">
        <f>PIERNA!JW5</f>
        <v>PED. 91143502</v>
      </c>
      <c r="E31" s="605">
        <f>PIERNA!JX5</f>
        <v>44912</v>
      </c>
      <c r="F31" s="606">
        <f>PIERNA!JY5</f>
        <v>19022.099999999999</v>
      </c>
      <c r="G31" s="389">
        <f>PIERNA!JZ5</f>
        <v>21</v>
      </c>
      <c r="H31" s="607">
        <f>PIERNA!KA5</f>
        <v>18972.900000000001</v>
      </c>
      <c r="I31" s="694">
        <f>PIERNA!I31</f>
        <v>49.19999999999709</v>
      </c>
      <c r="J31" s="773" t="s">
        <v>441</v>
      </c>
      <c r="K31" s="758">
        <v>12161</v>
      </c>
      <c r="L31" s="774" t="s">
        <v>496</v>
      </c>
      <c r="M31" s="759">
        <v>37120</v>
      </c>
      <c r="N31" s="775" t="s">
        <v>497</v>
      </c>
      <c r="O31" s="776">
        <v>2117526</v>
      </c>
      <c r="P31" s="777"/>
      <c r="Q31" s="524">
        <f>42267.19*19.88</f>
        <v>840271.73719999997</v>
      </c>
      <c r="R31" s="778" t="s">
        <v>489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43" t="str">
        <f>PIERNA!KG5</f>
        <v>PED. 91307670</v>
      </c>
      <c r="E32" s="944">
        <f>PIERNA!KH5</f>
        <v>44915</v>
      </c>
      <c r="F32" s="606">
        <f>PIERNA!KI5</f>
        <v>19011.71</v>
      </c>
      <c r="G32" s="389">
        <f>PIERNA!KJ5</f>
        <v>21</v>
      </c>
      <c r="H32" s="607">
        <f>PIERNA!H32</f>
        <v>19014.5</v>
      </c>
      <c r="I32" s="694">
        <f>PIERNA!I32</f>
        <v>-2.7900000000008731</v>
      </c>
      <c r="J32" s="773" t="s">
        <v>447</v>
      </c>
      <c r="K32" s="758"/>
      <c r="L32" s="774"/>
      <c r="M32" s="759"/>
      <c r="N32" s="775"/>
      <c r="O32" s="776">
        <v>2118200</v>
      </c>
      <c r="P32" s="777"/>
      <c r="Q32" s="524">
        <f>41167.67*19.88</f>
        <v>818413.27959999989</v>
      </c>
      <c r="R32" s="778" t="s">
        <v>489</v>
      </c>
      <c r="S32" s="65">
        <f>Q32+M32+K32+P32</f>
        <v>818413.27959999989</v>
      </c>
      <c r="T32" s="65">
        <f t="shared" ref="T32:T41" si="8">S32/H32+0.1</f>
        <v>43.141535649109883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43" t="str">
        <f>PIERNA!KQ5</f>
        <v>PED. 91354477</v>
      </c>
      <c r="E33" s="944">
        <f>PIERNA!KR5</f>
        <v>44915</v>
      </c>
      <c r="F33" s="609">
        <f>PIERNA!KS5</f>
        <v>18789.09</v>
      </c>
      <c r="G33" s="610">
        <f>PIERNA!KT5</f>
        <v>20</v>
      </c>
      <c r="H33" s="607">
        <f>PIERNA!KU5</f>
        <v>18755.48</v>
      </c>
      <c r="I33" s="695">
        <f>PIERNA!I33</f>
        <v>33.610000000000582</v>
      </c>
      <c r="J33" s="773" t="s">
        <v>448</v>
      </c>
      <c r="K33" s="696"/>
      <c r="L33" s="774"/>
      <c r="M33" s="759"/>
      <c r="N33" s="775"/>
      <c r="O33" s="776">
        <v>1238364</v>
      </c>
      <c r="P33" s="794"/>
      <c r="Q33" s="524">
        <f>41312.79*19.71</f>
        <v>814275.09090000007</v>
      </c>
      <c r="R33" s="778" t="s">
        <v>492</v>
      </c>
      <c r="S33" s="65">
        <f>Q33+M33+K33+P33</f>
        <v>814275.09090000007</v>
      </c>
      <c r="T33" s="65">
        <f t="shared" si="8"/>
        <v>43.515315998310896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3" t="str">
        <f>PIERNA!D34</f>
        <v>PED. 91409199</v>
      </c>
      <c r="E34" s="605">
        <f>PIERNA!E34</f>
        <v>44916</v>
      </c>
      <c r="F34" s="609">
        <f>PIERNA!F34</f>
        <v>19050.21</v>
      </c>
      <c r="G34" s="610">
        <f>PIERNA!G34</f>
        <v>21</v>
      </c>
      <c r="H34" s="607">
        <f>PIERNA!H34</f>
        <v>18981.900000000001</v>
      </c>
      <c r="I34" s="694">
        <f>PIERNA!I34</f>
        <v>68.309999999997672</v>
      </c>
      <c r="J34" s="773" t="s">
        <v>449</v>
      </c>
      <c r="K34" s="758"/>
      <c r="L34" s="774"/>
      <c r="M34" s="759"/>
      <c r="N34" s="775"/>
      <c r="O34" s="779">
        <v>2118754</v>
      </c>
      <c r="P34" s="777"/>
      <c r="Q34" s="525">
        <f>41098.92*19.88</f>
        <v>817046.52959999989</v>
      </c>
      <c r="R34" s="780" t="s">
        <v>489</v>
      </c>
      <c r="S34" s="65">
        <f>Q34+M34+K34+P34</f>
        <v>817046.52959999989</v>
      </c>
      <c r="T34" s="65">
        <f t="shared" si="8"/>
        <v>43.143453479367182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3" t="str">
        <f>PIERNA!D35</f>
        <v>PED. 91408419</v>
      </c>
      <c r="E35" s="605">
        <f>PIERNA!E35</f>
        <v>44916</v>
      </c>
      <c r="F35" s="609">
        <f>PIERNA!F35</f>
        <v>18670.64</v>
      </c>
      <c r="G35" s="611">
        <f>PIERNA!G35</f>
        <v>20</v>
      </c>
      <c r="H35" s="607">
        <f>PIERNA!H35</f>
        <v>18728.29</v>
      </c>
      <c r="I35" s="694">
        <f>PIERNA!I35</f>
        <v>-57.650000000001455</v>
      </c>
      <c r="J35" s="773" t="s">
        <v>450</v>
      </c>
      <c r="K35" s="758"/>
      <c r="L35" s="774"/>
      <c r="M35" s="759"/>
      <c r="N35" s="775"/>
      <c r="O35" s="779">
        <v>1239758</v>
      </c>
      <c r="P35" s="794"/>
      <c r="Q35" s="386">
        <f>40653.15*19.67</f>
        <v>799647.46050000004</v>
      </c>
      <c r="R35" s="778" t="s">
        <v>460</v>
      </c>
      <c r="S35" s="65">
        <f>Q35+M35+K35</f>
        <v>799647.46050000004</v>
      </c>
      <c r="T35" s="65">
        <f t="shared" si="8"/>
        <v>42.797302343139712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3" t="str">
        <f>PIERNA!D36</f>
        <v>PED. 91479897</v>
      </c>
      <c r="E36" s="605">
        <f>PIERNA!E36</f>
        <v>44917</v>
      </c>
      <c r="F36" s="609">
        <f>PIERNA!F36</f>
        <v>18579.03</v>
      </c>
      <c r="G36" s="611">
        <f>PIERNA!G36</f>
        <v>21</v>
      </c>
      <c r="H36" s="607">
        <f>PIERNA!H36</f>
        <v>18686.400000000001</v>
      </c>
      <c r="I36" s="694">
        <f>PIERNA!I36</f>
        <v>-107.37000000000262</v>
      </c>
      <c r="J36" s="773" t="s">
        <v>451</v>
      </c>
      <c r="K36" s="758"/>
      <c r="L36" s="774"/>
      <c r="M36" s="759"/>
      <c r="N36" s="781"/>
      <c r="O36" s="779">
        <v>2118201</v>
      </c>
      <c r="P36" s="794"/>
      <c r="Q36" s="386">
        <f>40458.59*19.62</f>
        <v>793797.53579999995</v>
      </c>
      <c r="R36" s="775" t="s">
        <v>490</v>
      </c>
      <c r="S36" s="65">
        <f t="shared" ref="S36:S39" si="9">Q36+M36+K36</f>
        <v>793797.53579999995</v>
      </c>
      <c r="T36" s="65">
        <f t="shared" si="8"/>
        <v>42.579960602363215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597" t="str">
        <f>PIERNA!D37</f>
        <v>PED. 91408800</v>
      </c>
      <c r="E37" s="598">
        <f>PIERNA!E37</f>
        <v>44917</v>
      </c>
      <c r="F37" s="599">
        <f>PIERNA!F37</f>
        <v>19089.29</v>
      </c>
      <c r="G37" s="377">
        <f>PIERNA!G37</f>
        <v>21</v>
      </c>
      <c r="H37" s="410">
        <f>PIERNA!H37</f>
        <v>19014.3</v>
      </c>
      <c r="I37" s="694">
        <f>PIERNA!I37</f>
        <v>74.990000000001601</v>
      </c>
      <c r="J37" s="773" t="s">
        <v>452</v>
      </c>
      <c r="K37" s="758"/>
      <c r="L37" s="774"/>
      <c r="M37" s="759"/>
      <c r="N37" s="775"/>
      <c r="O37" s="783">
        <v>2118756</v>
      </c>
      <c r="P37" s="777"/>
      <c r="Q37" s="524">
        <f>41169.63*19.62</f>
        <v>807748.14060000004</v>
      </c>
      <c r="R37" s="775" t="s">
        <v>462</v>
      </c>
      <c r="S37" s="65">
        <f>Q37+M37+K37</f>
        <v>807748.14060000004</v>
      </c>
      <c r="T37" s="65">
        <f t="shared" si="8"/>
        <v>42.581087423675868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598">
        <f>PIERNA!E38</f>
        <v>44917</v>
      </c>
      <c r="F38" s="612">
        <f>PIERNA!F38</f>
        <v>18357.23</v>
      </c>
      <c r="G38" s="377">
        <f>PIERNA!G38</f>
        <v>20</v>
      </c>
      <c r="H38" s="409">
        <f>PIERNA!H38</f>
        <v>18390.810000000001</v>
      </c>
      <c r="I38" s="694">
        <f>PIERNA!I38</f>
        <v>-33.580000000001746</v>
      </c>
      <c r="J38" s="795" t="s">
        <v>453</v>
      </c>
      <c r="K38" s="758"/>
      <c r="L38" s="796"/>
      <c r="M38" s="759"/>
      <c r="N38" s="775"/>
      <c r="O38" s="783"/>
      <c r="P38" s="777"/>
      <c r="Q38" s="524"/>
      <c r="R38" s="778"/>
      <c r="S38" s="65">
        <f t="shared" si="9"/>
        <v>0</v>
      </c>
      <c r="T38" s="65">
        <f t="shared" si="8"/>
        <v>0.1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7" t="s">
        <v>454</v>
      </c>
      <c r="K39" s="386"/>
      <c r="L39" s="796"/>
      <c r="M39" s="759"/>
      <c r="N39" s="775"/>
      <c r="O39" s="776">
        <v>2120376</v>
      </c>
      <c r="P39" s="777"/>
      <c r="Q39" s="524">
        <f>40079.81*19.84</f>
        <v>795183.43039999995</v>
      </c>
      <c r="R39" s="778" t="s">
        <v>491</v>
      </c>
      <c r="S39" s="65">
        <f t="shared" si="9"/>
        <v>795183.43039999995</v>
      </c>
      <c r="T39" s="65">
        <f t="shared" si="8"/>
        <v>41.810383248358193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1" t="s">
        <v>455</v>
      </c>
      <c r="K40" s="759"/>
      <c r="L40" s="774"/>
      <c r="M40" s="759"/>
      <c r="N40" s="775"/>
      <c r="O40" s="776">
        <v>2120377</v>
      </c>
      <c r="P40" s="777"/>
      <c r="Q40" s="524">
        <f>40329.65*19.84</f>
        <v>800140.25600000005</v>
      </c>
      <c r="R40" s="778" t="s">
        <v>491</v>
      </c>
      <c r="S40" s="65">
        <f>Q40+M40+K40+P40</f>
        <v>800140.25600000005</v>
      </c>
      <c r="T40" s="65">
        <f t="shared" si="8"/>
        <v>41.810250895309991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31" t="s">
        <v>523</v>
      </c>
      <c r="K41" s="386"/>
      <c r="L41" s="774"/>
      <c r="M41" s="759"/>
      <c r="N41" s="775"/>
      <c r="O41" s="776"/>
      <c r="P41" s="777"/>
      <c r="Q41" s="524"/>
      <c r="R41" s="778"/>
      <c r="S41" s="65">
        <f>Q41+M41+K41+P41</f>
        <v>0</v>
      </c>
      <c r="T41" s="65">
        <f t="shared" si="8"/>
        <v>0.1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80" t="str">
        <f>PIERNA!C42</f>
        <v>Seaboard</v>
      </c>
      <c r="D42" s="166" t="str">
        <f>PIERNA!D42</f>
        <v>PED. 91548649</v>
      </c>
      <c r="E42" s="134">
        <f>PIERNA!E42</f>
        <v>44919</v>
      </c>
      <c r="F42" s="446">
        <f>PIERNA!F42</f>
        <v>19113.990000000002</v>
      </c>
      <c r="G42" s="100">
        <f>PIERNA!G42</f>
        <v>21</v>
      </c>
      <c r="H42" s="369">
        <f>PIERNA!H42</f>
        <v>19033.599999999999</v>
      </c>
      <c r="I42" s="105">
        <f>PIERNA!I42</f>
        <v>80.390000000003056</v>
      </c>
      <c r="J42" s="731" t="s">
        <v>524</v>
      </c>
      <c r="K42" s="759"/>
      <c r="L42" s="774"/>
      <c r="M42" s="759"/>
      <c r="N42" s="775"/>
      <c r="O42" s="776"/>
      <c r="P42" s="777"/>
      <c r="Q42" s="524"/>
      <c r="R42" s="778"/>
      <c r="S42" s="65">
        <f t="shared" ref="S42:S59" si="10">Q42+M42+K42</f>
        <v>0</v>
      </c>
      <c r="T42" s="65">
        <f t="shared" ref="T42:T71" si="11">S42/H42+0.1</f>
        <v>0.1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5" t="str">
        <f>PIERNA!D43</f>
        <v>PED. 91534162</v>
      </c>
      <c r="E43" s="134">
        <f>PIERNA!E43</f>
        <v>44919</v>
      </c>
      <c r="F43" s="446">
        <f>PIERNA!F43</f>
        <v>19299.72</v>
      </c>
      <c r="G43" s="100">
        <f>PIERNA!G43</f>
        <v>21</v>
      </c>
      <c r="H43" s="369">
        <f>PIERNA!H43</f>
        <v>19242.3</v>
      </c>
      <c r="I43" s="105">
        <f>PIERNA!I43</f>
        <v>57.420000000001892</v>
      </c>
      <c r="J43" s="731" t="s">
        <v>525</v>
      </c>
      <c r="K43" s="759"/>
      <c r="L43" s="774"/>
      <c r="M43" s="759"/>
      <c r="N43" s="775"/>
      <c r="O43" s="776"/>
      <c r="P43" s="777"/>
      <c r="Q43" s="524"/>
      <c r="R43" s="778"/>
      <c r="S43" s="65">
        <f t="shared" si="10"/>
        <v>0</v>
      </c>
      <c r="T43" s="65">
        <f>S43/H43+0.1</f>
        <v>0.1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6">
        <f>PIERNA!F44</f>
        <v>19182.900000000001</v>
      </c>
      <c r="G44" s="100">
        <f>PIERNA!G44</f>
        <v>21</v>
      </c>
      <c r="H44" s="369">
        <f>PIERNA!H44</f>
        <v>19238</v>
      </c>
      <c r="I44" s="105">
        <f>PIERNA!I44</f>
        <v>-55.099999999998545</v>
      </c>
      <c r="J44" s="275" t="s">
        <v>529</v>
      </c>
      <c r="K44" s="382"/>
      <c r="L44" s="594"/>
      <c r="M44" s="382"/>
      <c r="N44" s="595"/>
      <c r="O44" s="385"/>
      <c r="P44" s="384"/>
      <c r="Q44" s="386"/>
      <c r="R44" s="1357"/>
      <c r="S44" s="65">
        <f>Q44+M44+K44</f>
        <v>0</v>
      </c>
      <c r="T44" s="65">
        <f t="shared" si="11"/>
        <v>0.1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6">
        <f>PIERNA!F45</f>
        <v>18823.7</v>
      </c>
      <c r="G45" s="100">
        <f>PIERNA!G45</f>
        <v>21</v>
      </c>
      <c r="H45" s="369">
        <f>PIERNA!H45</f>
        <v>18878.87</v>
      </c>
      <c r="I45" s="105">
        <f>PIERNA!I45</f>
        <v>-55.169999999998254</v>
      </c>
      <c r="J45" s="275" t="s">
        <v>534</v>
      </c>
      <c r="K45" s="382"/>
      <c r="L45" s="594"/>
      <c r="M45" s="382"/>
      <c r="N45" s="595"/>
      <c r="O45" s="385"/>
      <c r="P45" s="384"/>
      <c r="Q45" s="386"/>
      <c r="R45" s="1357"/>
      <c r="S45" s="65">
        <f>Q45+M45+K45</f>
        <v>0</v>
      </c>
      <c r="T45" s="65">
        <f t="shared" si="11"/>
        <v>0.1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6">
        <f>PIERNA!F46</f>
        <v>19110.349999999999</v>
      </c>
      <c r="G46" s="100">
        <f>PIERNA!G46</f>
        <v>21</v>
      </c>
      <c r="H46" s="369">
        <f>PIERNA!H46</f>
        <v>19235.099999999999</v>
      </c>
      <c r="I46" s="105">
        <f>PIERNA!I46</f>
        <v>-124.75</v>
      </c>
      <c r="J46" s="275" t="s">
        <v>535</v>
      </c>
      <c r="K46" s="382"/>
      <c r="L46" s="594"/>
      <c r="M46" s="382"/>
      <c r="N46" s="595"/>
      <c r="O46" s="385">
        <v>2121710</v>
      </c>
      <c r="P46" s="384"/>
      <c r="Q46" s="386">
        <f>41897.13*19.755</f>
        <v>827677.80314999993</v>
      </c>
      <c r="R46" s="1357" t="s">
        <v>549</v>
      </c>
      <c r="S46" s="65">
        <f>Q46+M46+K46</f>
        <v>827677.80314999993</v>
      </c>
      <c r="T46" s="65">
        <f t="shared" si="11"/>
        <v>43.129555507899624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6">
        <f>PIERNA!F47</f>
        <v>18781.439999999999</v>
      </c>
      <c r="G47" s="100">
        <f>PIERNA!G47</f>
        <v>20</v>
      </c>
      <c r="H47" s="369">
        <f>PIERNA!H47</f>
        <v>18793.14</v>
      </c>
      <c r="I47" s="105">
        <f>PIERNA!I47</f>
        <v>-11.700000000000728</v>
      </c>
      <c r="J47" s="275" t="s">
        <v>536</v>
      </c>
      <c r="K47" s="382"/>
      <c r="L47" s="594"/>
      <c r="M47" s="581"/>
      <c r="N47" s="595"/>
      <c r="O47" s="388"/>
      <c r="P47" s="384"/>
      <c r="Q47" s="386"/>
      <c r="R47" s="1357"/>
      <c r="S47" s="65">
        <f>Q47+M47+K47</f>
        <v>0</v>
      </c>
      <c r="T47" s="65">
        <f>S47/H47</f>
        <v>0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6">
        <f>PIERNA!F48</f>
        <v>17876.36</v>
      </c>
      <c r="G48" s="100">
        <f>PIERNA!G48</f>
        <v>20</v>
      </c>
      <c r="H48" s="369">
        <f>PIERNA!H48</f>
        <v>17920.8</v>
      </c>
      <c r="I48" s="105">
        <f>PIERNA!I48</f>
        <v>-44.43999999999869</v>
      </c>
      <c r="J48" s="275" t="s">
        <v>541</v>
      </c>
      <c r="K48" s="382"/>
      <c r="L48" s="594"/>
      <c r="M48" s="582"/>
      <c r="N48" s="595"/>
      <c r="O48" s="385"/>
      <c r="P48" s="384"/>
      <c r="Q48" s="386"/>
      <c r="R48" s="1357"/>
      <c r="S48" s="65">
        <f>Q48+M48+K48</f>
        <v>0</v>
      </c>
      <c r="T48" s="65">
        <f t="shared" ref="T48:T65" si="12">S48/H48</f>
        <v>0</v>
      </c>
    </row>
    <row r="49" spans="1:20" s="152" customFormat="1" ht="27" customHeight="1" x14ac:dyDescent="0.25">
      <c r="A49" s="100">
        <v>46</v>
      </c>
      <c r="B49" s="75" t="str">
        <f>PIERNA!QP5</f>
        <v>SEABOARD FOODS</v>
      </c>
      <c r="C49" s="148" t="str">
        <f>PIERNA!QQ5</f>
        <v>Seaboard</v>
      </c>
      <c r="D49" s="166" t="str">
        <f>PIERNA!D49</f>
        <v>PED. 91934532</v>
      </c>
      <c r="E49" s="134">
        <f>PIERNA!E49</f>
        <v>44926</v>
      </c>
      <c r="F49" s="446">
        <f>PIERNA!F49</f>
        <v>18047.189999999999</v>
      </c>
      <c r="G49" s="100">
        <f>PIERNA!G49</f>
        <v>20</v>
      </c>
      <c r="H49" s="369">
        <f>PIERNA!H49</f>
        <v>18100.400000000001</v>
      </c>
      <c r="I49" s="105">
        <f>PIERNA!I49</f>
        <v>-53.210000000002765</v>
      </c>
      <c r="J49" s="275" t="s">
        <v>542</v>
      </c>
      <c r="K49" s="382"/>
      <c r="L49" s="594"/>
      <c r="M49" s="582"/>
      <c r="N49" s="595"/>
      <c r="O49" s="385">
        <v>2122566</v>
      </c>
      <c r="P49" s="384"/>
      <c r="Q49" s="386">
        <f>39410.18*19.755</f>
        <v>778548.10589999997</v>
      </c>
      <c r="R49" s="1357" t="s">
        <v>549</v>
      </c>
      <c r="S49" s="65">
        <f t="shared" ref="S49:S53" si="13">Q49+M49+K49</f>
        <v>778548.10589999997</v>
      </c>
      <c r="T49" s="65">
        <f t="shared" si="12"/>
        <v>43.012756950122643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4"/>
      <c r="M50" s="582"/>
      <c r="N50" s="595"/>
      <c r="O50" s="385"/>
      <c r="P50" s="384"/>
      <c r="Q50" s="386"/>
      <c r="R50" s="135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4"/>
      <c r="M51" s="582"/>
      <c r="N51" s="595"/>
      <c r="O51" s="385"/>
      <c r="P51" s="583"/>
      <c r="Q51" s="386"/>
      <c r="R51" s="135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4"/>
      <c r="M52" s="582"/>
      <c r="N52" s="595"/>
      <c r="O52" s="385"/>
      <c r="P52" s="384"/>
      <c r="Q52" s="386"/>
      <c r="R52" s="6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4"/>
      <c r="M53" s="582"/>
      <c r="N53" s="595"/>
      <c r="O53" s="385"/>
      <c r="P53" s="384"/>
      <c r="Q53" s="386"/>
      <c r="R53" s="6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4"/>
      <c r="M54" s="582"/>
      <c r="N54" s="595"/>
      <c r="O54" s="385"/>
      <c r="P54" s="384"/>
      <c r="Q54" s="386"/>
      <c r="R54" s="6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4"/>
      <c r="M55" s="582"/>
      <c r="N55" s="595"/>
      <c r="O55" s="385"/>
      <c r="P55" s="384"/>
      <c r="Q55" s="386"/>
      <c r="R55" s="65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4"/>
      <c r="M56" s="582"/>
      <c r="N56" s="595"/>
      <c r="O56" s="385"/>
      <c r="P56" s="384"/>
      <c r="Q56" s="386"/>
      <c r="R56" s="65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4"/>
      <c r="M57" s="582"/>
      <c r="N57" s="595"/>
      <c r="O57" s="385"/>
      <c r="P57" s="384"/>
      <c r="Q57" s="386"/>
      <c r="R57" s="65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4"/>
      <c r="M58" s="582"/>
      <c r="N58" s="595"/>
      <c r="O58" s="385"/>
      <c r="P58" s="384"/>
      <c r="Q58" s="386"/>
      <c r="R58" s="65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4"/>
      <c r="M59" s="582"/>
      <c r="N59" s="595"/>
      <c r="O59" s="385"/>
      <c r="P59" s="384"/>
      <c r="Q59" s="386"/>
      <c r="R59" s="65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4"/>
      <c r="L60" s="649"/>
      <c r="M60" s="582"/>
      <c r="N60" s="595"/>
      <c r="O60" s="385"/>
      <c r="P60" s="384"/>
      <c r="Q60" s="386"/>
      <c r="R60" s="65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4"/>
      <c r="M61" s="582"/>
      <c r="N61" s="595"/>
      <c r="O61" s="385"/>
      <c r="P61" s="384"/>
      <c r="Q61" s="386"/>
      <c r="R61" s="65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4"/>
      <c r="M62" s="582"/>
      <c r="N62" s="595"/>
      <c r="O62" s="385"/>
      <c r="P62" s="384"/>
      <c r="Q62" s="386"/>
      <c r="R62" s="65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4"/>
      <c r="M63" s="582"/>
      <c r="N63" s="595"/>
      <c r="O63" s="385"/>
      <c r="P63" s="384"/>
      <c r="Q63" s="386"/>
      <c r="R63" s="65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4"/>
      <c r="M64" s="582"/>
      <c r="N64" s="595"/>
      <c r="O64" s="385"/>
      <c r="P64" s="384"/>
      <c r="Q64" s="386"/>
      <c r="R64" s="65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4"/>
      <c r="M65" s="582"/>
      <c r="N65" s="595"/>
      <c r="O65" s="385"/>
      <c r="P65" s="384"/>
      <c r="Q65" s="386"/>
      <c r="R65" s="65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4"/>
      <c r="M66" s="582"/>
      <c r="N66" s="595"/>
      <c r="O66" s="385"/>
      <c r="P66" s="384"/>
      <c r="Q66" s="386"/>
      <c r="R66" s="65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4"/>
      <c r="M67" s="582"/>
      <c r="N67" s="595"/>
      <c r="O67" s="385"/>
      <c r="P67" s="384"/>
      <c r="Q67" s="386"/>
      <c r="R67" s="65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4"/>
      <c r="M68" s="582"/>
      <c r="N68" s="595"/>
      <c r="O68" s="385"/>
      <c r="P68" s="384"/>
      <c r="Q68" s="386"/>
      <c r="R68" s="65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4"/>
      <c r="M69" s="582"/>
      <c r="N69" s="595"/>
      <c r="O69" s="385"/>
      <c r="P69" s="384"/>
      <c r="Q69" s="386"/>
      <c r="R69" s="65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4"/>
      <c r="M70" s="582"/>
      <c r="N70" s="595"/>
      <c r="O70" s="385"/>
      <c r="P70" s="384"/>
      <c r="Q70" s="386"/>
      <c r="R70" s="65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4"/>
      <c r="M71" s="582"/>
      <c r="N71" s="595"/>
      <c r="O71" s="385"/>
      <c r="P71" s="384"/>
      <c r="Q71" s="386"/>
      <c r="R71" s="65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4"/>
      <c r="M72" s="582"/>
      <c r="N72" s="595"/>
      <c r="O72" s="385"/>
      <c r="P72" s="384"/>
      <c r="Q72" s="386"/>
      <c r="R72" s="656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4"/>
      <c r="M73" s="582"/>
      <c r="N73" s="595"/>
      <c r="O73" s="385"/>
      <c r="P73" s="384"/>
      <c r="Q73" s="386"/>
      <c r="R73" s="65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4"/>
      <c r="M74" s="582"/>
      <c r="N74" s="595"/>
      <c r="O74" s="385"/>
      <c r="P74" s="384"/>
      <c r="Q74" s="386"/>
      <c r="R74" s="65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4"/>
      <c r="M75" s="582"/>
      <c r="N75" s="595"/>
      <c r="O75" s="385"/>
      <c r="P75" s="384"/>
      <c r="Q75" s="386"/>
      <c r="R75" s="65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4"/>
      <c r="M76" s="582"/>
      <c r="N76" s="595"/>
      <c r="O76" s="385"/>
      <c r="P76" s="384"/>
      <c r="Q76" s="386"/>
      <c r="R76" s="65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4"/>
      <c r="M77" s="582"/>
      <c r="N77" s="595"/>
      <c r="O77" s="385"/>
      <c r="P77" s="384"/>
      <c r="Q77" s="386"/>
      <c r="R77" s="65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4"/>
      <c r="M78" s="582"/>
      <c r="N78" s="595"/>
      <c r="O78" s="385"/>
      <c r="P78" s="384"/>
      <c r="Q78" s="386"/>
      <c r="R78" s="65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4"/>
      <c r="M79" s="582"/>
      <c r="N79" s="595"/>
      <c r="O79" s="385"/>
      <c r="P79" s="384"/>
      <c r="Q79" s="386"/>
      <c r="R79" s="65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4"/>
      <c r="M80" s="582"/>
      <c r="N80" s="595"/>
      <c r="O80" s="385"/>
      <c r="P80" s="384"/>
      <c r="Q80" s="386"/>
      <c r="R80" s="65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4"/>
      <c r="M81" s="582"/>
      <c r="N81" s="595"/>
      <c r="O81" s="385"/>
      <c r="P81" s="384"/>
      <c r="Q81" s="386"/>
      <c r="R81" s="65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4"/>
      <c r="M82" s="582"/>
      <c r="N82" s="595"/>
      <c r="O82" s="385"/>
      <c r="P82" s="384"/>
      <c r="Q82" s="386"/>
      <c r="R82" s="65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4"/>
      <c r="M83" s="582"/>
      <c r="N83" s="595"/>
      <c r="O83" s="385"/>
      <c r="P83" s="384"/>
      <c r="Q83" s="386"/>
      <c r="R83" s="65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4"/>
      <c r="M84" s="582"/>
      <c r="N84" s="595"/>
      <c r="O84" s="385"/>
      <c r="P84" s="384"/>
      <c r="Q84" s="386"/>
      <c r="R84" s="65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4"/>
      <c r="M85" s="582"/>
      <c r="N85" s="595"/>
      <c r="O85" s="385"/>
      <c r="P85" s="384"/>
      <c r="Q85" s="386"/>
      <c r="R85" s="65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4"/>
      <c r="M86" s="582"/>
      <c r="N86" s="595"/>
      <c r="O86" s="385"/>
      <c r="P86" s="384"/>
      <c r="Q86" s="386"/>
      <c r="R86" s="65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4"/>
      <c r="M87" s="582"/>
      <c r="N87" s="595"/>
      <c r="O87" s="385"/>
      <c r="P87" s="384"/>
      <c r="Q87" s="386"/>
      <c r="R87" s="65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4"/>
      <c r="M88" s="582"/>
      <c r="N88" s="595"/>
      <c r="O88" s="385"/>
      <c r="P88" s="384"/>
      <c r="Q88" s="386"/>
      <c r="R88" s="65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4"/>
      <c r="M89" s="582"/>
      <c r="N89" s="595"/>
      <c r="O89" s="385"/>
      <c r="P89" s="384"/>
      <c r="Q89" s="386"/>
      <c r="R89" s="65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4"/>
      <c r="M90" s="582"/>
      <c r="N90" s="595"/>
      <c r="O90" s="385"/>
      <c r="P90" s="384"/>
      <c r="Q90" s="386"/>
      <c r="R90" s="65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4"/>
      <c r="M91" s="582"/>
      <c r="N91" s="595"/>
      <c r="O91" s="385"/>
      <c r="P91" s="384"/>
      <c r="Q91" s="386"/>
      <c r="R91" s="65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4"/>
      <c r="M92" s="582"/>
      <c r="N92" s="595"/>
      <c r="O92" s="385"/>
      <c r="P92" s="384"/>
      <c r="Q92" s="386"/>
      <c r="R92" s="65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4"/>
      <c r="M93" s="582"/>
      <c r="N93" s="595"/>
      <c r="O93" s="385"/>
      <c r="P93" s="384"/>
      <c r="Q93" s="386"/>
      <c r="R93" s="65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5"/>
      <c r="L94" s="594"/>
      <c r="M94" s="582"/>
      <c r="N94" s="595"/>
      <c r="O94" s="385"/>
      <c r="P94" s="384"/>
      <c r="Q94" s="386"/>
      <c r="R94" s="65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4"/>
      <c r="M95" s="382"/>
      <c r="N95" s="595"/>
      <c r="O95" s="385"/>
      <c r="P95" s="384"/>
      <c r="Q95" s="386"/>
      <c r="R95" s="65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4"/>
      <c r="M96" s="382"/>
      <c r="N96" s="595"/>
      <c r="O96" s="385"/>
      <c r="P96" s="384"/>
      <c r="Q96" s="386"/>
      <c r="R96" s="656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4"/>
      <c r="M97" s="382"/>
      <c r="N97" s="595"/>
      <c r="O97" s="463"/>
      <c r="P97" s="463"/>
      <c r="Q97" s="523"/>
      <c r="R97" s="65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4"/>
      <c r="M98" s="382"/>
      <c r="N98" s="595"/>
      <c r="O98" s="805"/>
      <c r="P98" s="805"/>
      <c r="Q98" s="900"/>
      <c r="R98" s="812"/>
      <c r="S98" s="65"/>
      <c r="T98" s="170"/>
    </row>
    <row r="99" spans="1:20" s="152" customFormat="1" ht="26.25" customHeight="1" x14ac:dyDescent="0.25">
      <c r="A99" s="100">
        <v>61</v>
      </c>
      <c r="B99" s="902" t="s">
        <v>353</v>
      </c>
      <c r="C99" s="804" t="s">
        <v>71</v>
      </c>
      <c r="D99" s="1039"/>
      <c r="E99" s="1047">
        <v>44893</v>
      </c>
      <c r="F99" s="1041">
        <v>2810.63</v>
      </c>
      <c r="G99" s="804">
        <v>94</v>
      </c>
      <c r="H99" s="1042">
        <v>2810.63</v>
      </c>
      <c r="I99" s="467">
        <f>H99-F99</f>
        <v>0</v>
      </c>
      <c r="J99" s="969"/>
      <c r="K99" s="759"/>
      <c r="L99" s="774"/>
      <c r="M99" s="759"/>
      <c r="N99" s="970"/>
      <c r="O99" s="771"/>
      <c r="P99" s="763"/>
      <c r="Q99" s="1043"/>
      <c r="R99" s="1044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45" t="s">
        <v>178</v>
      </c>
      <c r="D100" s="1046"/>
      <c r="E100" s="1048">
        <v>44894</v>
      </c>
      <c r="F100" s="1070">
        <v>248.57</v>
      </c>
      <c r="G100" s="1071">
        <v>21</v>
      </c>
      <c r="H100" s="1049">
        <v>248.57</v>
      </c>
      <c r="I100" s="467">
        <f>H100-F100</f>
        <v>0</v>
      </c>
      <c r="J100" s="969"/>
      <c r="K100" s="759"/>
      <c r="L100" s="774"/>
      <c r="M100" s="759"/>
      <c r="N100" s="970"/>
      <c r="O100" s="1091" t="s">
        <v>382</v>
      </c>
      <c r="P100" s="763"/>
      <c r="Q100" s="523">
        <v>21128.45</v>
      </c>
      <c r="R100" s="1096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25" t="s">
        <v>468</v>
      </c>
      <c r="C101" s="1123" t="s">
        <v>484</v>
      </c>
      <c r="D101" s="1046" t="s">
        <v>485</v>
      </c>
      <c r="E101" s="1048">
        <v>44896</v>
      </c>
      <c r="F101" s="1070">
        <f>74.1+62.32+77.38+71.36</f>
        <v>285.15999999999997</v>
      </c>
      <c r="G101" s="1071"/>
      <c r="H101" s="1049">
        <v>285.16000000000003</v>
      </c>
      <c r="I101" s="467">
        <f t="shared" ref="I101:I102" si="18">H101-F101</f>
        <v>0</v>
      </c>
      <c r="J101" s="969"/>
      <c r="K101" s="759"/>
      <c r="L101" s="774"/>
      <c r="M101" s="759"/>
      <c r="N101" s="970"/>
      <c r="O101" s="1115" t="s">
        <v>486</v>
      </c>
      <c r="P101" s="1102"/>
      <c r="Q101" s="1105">
        <f>74.1*38+62.32*78+77.38*90+71.36*110</f>
        <v>22490.559999999998</v>
      </c>
      <c r="R101" s="1124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07" t="s">
        <v>80</v>
      </c>
      <c r="C102" s="908" t="s">
        <v>179</v>
      </c>
      <c r="D102" s="901"/>
      <c r="E102" s="903">
        <v>44897</v>
      </c>
      <c r="F102" s="905">
        <v>1004.87</v>
      </c>
      <c r="G102" s="901">
        <v>84</v>
      </c>
      <c r="H102" s="905">
        <v>1004.87</v>
      </c>
      <c r="I102" s="467">
        <f t="shared" si="18"/>
        <v>0</v>
      </c>
      <c r="J102" s="972"/>
      <c r="K102" s="759"/>
      <c r="L102" s="973"/>
      <c r="M102" s="759"/>
      <c r="N102" s="1076"/>
      <c r="O102" s="1209" t="s">
        <v>356</v>
      </c>
      <c r="P102" s="1098"/>
      <c r="Q102" s="1095">
        <v>99482.13</v>
      </c>
      <c r="R102" s="1167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08"/>
      <c r="C103" s="1050" t="s">
        <v>178</v>
      </c>
      <c r="D103" s="1039"/>
      <c r="E103" s="1040">
        <v>44897</v>
      </c>
      <c r="F103" s="1041">
        <v>106.18</v>
      </c>
      <c r="G103" s="804">
        <v>9</v>
      </c>
      <c r="H103" s="1042">
        <v>106.18</v>
      </c>
      <c r="I103" s="467">
        <f t="shared" ref="I103:I134" si="21">H103-F103</f>
        <v>0</v>
      </c>
      <c r="J103" s="971"/>
      <c r="K103" s="974"/>
      <c r="L103" s="975"/>
      <c r="M103" s="759"/>
      <c r="N103" s="1076"/>
      <c r="O103" s="1210"/>
      <c r="P103" s="1098"/>
      <c r="Q103" s="1095">
        <v>9025.2999999999993</v>
      </c>
      <c r="R103" s="1168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10" t="s">
        <v>468</v>
      </c>
      <c r="C104" s="1114" t="s">
        <v>474</v>
      </c>
      <c r="D104" s="1039" t="s">
        <v>469</v>
      </c>
      <c r="E104" s="1040">
        <v>44897</v>
      </c>
      <c r="F104" s="1041">
        <v>7423.12</v>
      </c>
      <c r="G104" s="804">
        <v>8</v>
      </c>
      <c r="H104" s="1042">
        <v>7423.12</v>
      </c>
      <c r="I104" s="467">
        <f t="shared" si="21"/>
        <v>0</v>
      </c>
      <c r="J104" s="971"/>
      <c r="K104" s="974"/>
      <c r="L104" s="975"/>
      <c r="M104" s="759"/>
      <c r="N104" s="1076"/>
      <c r="O104" s="1108" t="s">
        <v>470</v>
      </c>
      <c r="P104" s="1098"/>
      <c r="Q104" s="1095">
        <v>181867</v>
      </c>
      <c r="R104" s="1109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51" t="s">
        <v>97</v>
      </c>
      <c r="C105" s="901" t="s">
        <v>359</v>
      </c>
      <c r="D105" s="901"/>
      <c r="E105" s="903">
        <v>44898</v>
      </c>
      <c r="F105" s="905">
        <v>5008.4799999999996</v>
      </c>
      <c r="G105" s="901">
        <v>184</v>
      </c>
      <c r="H105" s="905">
        <v>5008.4799999999996</v>
      </c>
      <c r="I105" s="467">
        <f t="shared" si="21"/>
        <v>0</v>
      </c>
      <c r="J105" s="972"/>
      <c r="K105" s="759"/>
      <c r="L105" s="973"/>
      <c r="M105" s="759"/>
      <c r="N105" s="978"/>
      <c r="O105" s="1099" t="s">
        <v>456</v>
      </c>
      <c r="P105" s="1087" t="s">
        <v>457</v>
      </c>
      <c r="Q105" s="526">
        <v>443250.48</v>
      </c>
      <c r="R105" s="1097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9" t="s">
        <v>177</v>
      </c>
      <c r="C106" s="901" t="s">
        <v>359</v>
      </c>
      <c r="D106" s="921"/>
      <c r="E106" s="903">
        <v>44900</v>
      </c>
      <c r="F106" s="905">
        <v>9016.44</v>
      </c>
      <c r="G106" s="901">
        <v>331</v>
      </c>
      <c r="H106" s="905">
        <v>9016.44</v>
      </c>
      <c r="I106" s="467">
        <f t="shared" si="21"/>
        <v>0</v>
      </c>
      <c r="J106" s="972"/>
      <c r="K106" s="759"/>
      <c r="L106" s="973"/>
      <c r="M106" s="759"/>
      <c r="N106" s="978"/>
      <c r="O106" s="765" t="s">
        <v>360</v>
      </c>
      <c r="P106" s="761"/>
      <c r="Q106" s="526">
        <v>775413.84</v>
      </c>
      <c r="R106" s="770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189" t="s">
        <v>371</v>
      </c>
      <c r="C107" s="1050" t="s">
        <v>43</v>
      </c>
      <c r="D107" s="1039"/>
      <c r="E107" s="1040">
        <v>44900</v>
      </c>
      <c r="F107" s="1041">
        <v>1502.74</v>
      </c>
      <c r="G107" s="804">
        <v>331</v>
      </c>
      <c r="H107" s="1042">
        <v>1502.74</v>
      </c>
      <c r="I107" s="467">
        <f t="shared" si="21"/>
        <v>0</v>
      </c>
      <c r="J107" s="969"/>
      <c r="K107" s="759"/>
      <c r="L107" s="973"/>
      <c r="M107" s="759"/>
      <c r="N107" s="977"/>
      <c r="O107" s="1192" t="s">
        <v>374</v>
      </c>
      <c r="P107" s="979"/>
      <c r="Q107" s="526">
        <v>66120.56</v>
      </c>
      <c r="R107" s="1186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190"/>
      <c r="C108" s="1058" t="s">
        <v>372</v>
      </c>
      <c r="D108" s="373"/>
      <c r="E108" s="903">
        <v>44900</v>
      </c>
      <c r="F108" s="905">
        <v>150</v>
      </c>
      <c r="G108" s="901">
        <v>15</v>
      </c>
      <c r="H108" s="905">
        <v>150</v>
      </c>
      <c r="I108" s="467">
        <f t="shared" si="21"/>
        <v>0</v>
      </c>
      <c r="J108" s="969"/>
      <c r="K108" s="759"/>
      <c r="L108" s="973"/>
      <c r="M108" s="759"/>
      <c r="N108" s="977"/>
      <c r="O108" s="1193"/>
      <c r="P108" s="979"/>
      <c r="Q108" s="526">
        <v>12750</v>
      </c>
      <c r="R108" s="1187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190"/>
      <c r="C109" s="908" t="s">
        <v>75</v>
      </c>
      <c r="D109" s="901"/>
      <c r="E109" s="903">
        <v>44900</v>
      </c>
      <c r="F109" s="905">
        <v>5</v>
      </c>
      <c r="G109" s="901">
        <v>1</v>
      </c>
      <c r="H109" s="905">
        <v>5</v>
      </c>
      <c r="I109" s="911">
        <f t="shared" si="21"/>
        <v>0</v>
      </c>
      <c r="J109" s="969"/>
      <c r="K109" s="759"/>
      <c r="L109" s="973"/>
      <c r="M109" s="759"/>
      <c r="N109" s="977"/>
      <c r="O109" s="1193"/>
      <c r="P109" s="759"/>
      <c r="Q109" s="526">
        <v>1500</v>
      </c>
      <c r="R109" s="1187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191"/>
      <c r="C110" s="908" t="s">
        <v>373</v>
      </c>
      <c r="D110" s="901"/>
      <c r="E110" s="903">
        <v>44900</v>
      </c>
      <c r="F110" s="905">
        <v>20</v>
      </c>
      <c r="G110" s="901">
        <v>1</v>
      </c>
      <c r="H110" s="905">
        <v>20</v>
      </c>
      <c r="I110" s="409">
        <f t="shared" si="21"/>
        <v>0</v>
      </c>
      <c r="J110" s="969"/>
      <c r="K110" s="759"/>
      <c r="L110" s="973"/>
      <c r="M110" s="759"/>
      <c r="N110" s="977"/>
      <c r="O110" s="1194"/>
      <c r="P110" s="759"/>
      <c r="Q110" s="526">
        <v>4600</v>
      </c>
      <c r="R110" s="1188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22" t="s">
        <v>468</v>
      </c>
      <c r="C111" s="908" t="s">
        <v>481</v>
      </c>
      <c r="D111" s="1113" t="s">
        <v>482</v>
      </c>
      <c r="E111" s="1120">
        <v>44901</v>
      </c>
      <c r="F111" s="905">
        <v>23628</v>
      </c>
      <c r="G111" s="901"/>
      <c r="H111" s="905">
        <v>23628</v>
      </c>
      <c r="I111" s="467">
        <f t="shared" si="21"/>
        <v>0</v>
      </c>
      <c r="J111" s="969"/>
      <c r="K111" s="759"/>
      <c r="L111" s="973"/>
      <c r="M111" s="759"/>
      <c r="N111" s="977"/>
      <c r="O111" s="1092" t="s">
        <v>483</v>
      </c>
      <c r="P111" s="1121"/>
      <c r="Q111" s="526">
        <v>23628</v>
      </c>
      <c r="R111" s="1090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60" t="s">
        <v>180</v>
      </c>
      <c r="C112" s="919" t="s">
        <v>181</v>
      </c>
      <c r="D112" s="755"/>
      <c r="E112" s="813">
        <v>44902</v>
      </c>
      <c r="F112" s="904">
        <v>1984.8</v>
      </c>
      <c r="G112" s="679">
        <v>5</v>
      </c>
      <c r="H112" s="907">
        <v>1984.8</v>
      </c>
      <c r="I112" s="467">
        <f t="shared" ref="I112:I113" si="28">H112-F112</f>
        <v>0</v>
      </c>
      <c r="J112" s="969"/>
      <c r="K112" s="759"/>
      <c r="L112" s="973"/>
      <c r="M112" s="759">
        <v>4176</v>
      </c>
      <c r="N112" s="977" t="s">
        <v>548</v>
      </c>
      <c r="O112" s="1074" t="s">
        <v>379</v>
      </c>
      <c r="P112" s="1089"/>
      <c r="Q112" s="526">
        <f>150000+42336</f>
        <v>192336</v>
      </c>
      <c r="R112" s="770" t="s">
        <v>381</v>
      </c>
      <c r="S112" s="65">
        <f t="shared" si="26"/>
        <v>196512</v>
      </c>
      <c r="T112" s="170">
        <f t="shared" si="27"/>
        <v>99.008464328899635</v>
      </c>
    </row>
    <row r="113" spans="1:20" s="1118" customFormat="1" ht="43.5" customHeight="1" thickBot="1" x14ac:dyDescent="0.3">
      <c r="A113" s="100">
        <v>75</v>
      </c>
      <c r="B113" s="1119" t="s">
        <v>468</v>
      </c>
      <c r="C113" s="1050" t="s">
        <v>478</v>
      </c>
      <c r="D113" s="1039" t="s">
        <v>479</v>
      </c>
      <c r="E113" s="1040">
        <v>44902</v>
      </c>
      <c r="F113" s="1041">
        <v>272</v>
      </c>
      <c r="G113" s="804"/>
      <c r="H113" s="1042">
        <v>272</v>
      </c>
      <c r="I113" s="467">
        <f t="shared" si="28"/>
        <v>0</v>
      </c>
      <c r="J113" s="969"/>
      <c r="K113" s="759"/>
      <c r="L113" s="973"/>
      <c r="M113" s="759"/>
      <c r="N113" s="1076"/>
      <c r="O113" s="1115" t="s">
        <v>480</v>
      </c>
      <c r="P113" s="1116"/>
      <c r="Q113" s="1088">
        <v>34000</v>
      </c>
      <c r="R113" s="1117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175" t="s">
        <v>422</v>
      </c>
      <c r="C114" s="908" t="s">
        <v>77</v>
      </c>
      <c r="D114" s="901"/>
      <c r="E114" s="560">
        <v>44900</v>
      </c>
      <c r="F114" s="905">
        <v>1109.3900000000001</v>
      </c>
      <c r="G114" s="901">
        <v>40</v>
      </c>
      <c r="H114" s="905">
        <v>1109.3900000000001</v>
      </c>
      <c r="I114" s="467">
        <f t="shared" si="21"/>
        <v>0</v>
      </c>
      <c r="J114" s="969"/>
      <c r="K114" s="759"/>
      <c r="L114" s="973"/>
      <c r="M114" s="759"/>
      <c r="N114" s="1076"/>
      <c r="O114" s="1178">
        <v>19343</v>
      </c>
      <c r="P114" s="1198" t="s">
        <v>457</v>
      </c>
      <c r="Q114" s="1088">
        <v>99845.1</v>
      </c>
      <c r="R114" s="1195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176"/>
      <c r="C115" s="908" t="s">
        <v>423</v>
      </c>
      <c r="D115" s="901"/>
      <c r="E115" s="560">
        <v>44900</v>
      </c>
      <c r="F115" s="905">
        <v>3050.42</v>
      </c>
      <c r="G115" s="901">
        <v>115</v>
      </c>
      <c r="H115" s="905">
        <v>3050.42</v>
      </c>
      <c r="I115" s="467">
        <f t="shared" si="21"/>
        <v>0</v>
      </c>
      <c r="J115" s="969"/>
      <c r="K115" s="759"/>
      <c r="L115" s="976"/>
      <c r="M115" s="759"/>
      <c r="N115" s="1077"/>
      <c r="O115" s="1179"/>
      <c r="P115" s="1199"/>
      <c r="Q115" s="1088">
        <v>222680.66</v>
      </c>
      <c r="R115" s="1196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177"/>
      <c r="C116" s="908" t="s">
        <v>395</v>
      </c>
      <c r="D116" s="901"/>
      <c r="E116" s="560">
        <v>44900</v>
      </c>
      <c r="F116" s="905">
        <v>2944.1</v>
      </c>
      <c r="G116" s="901">
        <v>125</v>
      </c>
      <c r="H116" s="905">
        <v>2944.1</v>
      </c>
      <c r="I116" s="467">
        <f t="shared" si="21"/>
        <v>0</v>
      </c>
      <c r="J116" s="969"/>
      <c r="K116" s="759"/>
      <c r="L116" s="976"/>
      <c r="M116" s="759"/>
      <c r="N116" s="1077"/>
      <c r="O116" s="1180"/>
      <c r="P116" s="1200"/>
      <c r="Q116" s="1088">
        <v>247304.4</v>
      </c>
      <c r="R116" s="1197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10" t="s">
        <v>468</v>
      </c>
      <c r="C117" s="908" t="s">
        <v>476</v>
      </c>
      <c r="D117" s="1113" t="s">
        <v>475</v>
      </c>
      <c r="E117" s="560">
        <v>44902</v>
      </c>
      <c r="F117" s="905">
        <f>89.34+101.98+78.24+11.36+78.9+43.92+2.5+90.96</f>
        <v>497.20000000000005</v>
      </c>
      <c r="G117" s="901"/>
      <c r="H117" s="905">
        <v>497.2</v>
      </c>
      <c r="I117" s="467">
        <f t="shared" si="21"/>
        <v>0</v>
      </c>
      <c r="J117" s="969"/>
      <c r="K117" s="759"/>
      <c r="L117" s="976"/>
      <c r="M117" s="759"/>
      <c r="N117" s="1077"/>
      <c r="O117" s="1111" t="s">
        <v>477</v>
      </c>
      <c r="P117" s="1112"/>
      <c r="Q117" s="1088">
        <f>89.34*80+101.98*90+78.24*110+11.36*90+78.9*90+43.92*90+2.5*80+90.96*78</f>
        <v>44302.880000000005</v>
      </c>
      <c r="R117" s="1093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10" t="s">
        <v>468</v>
      </c>
      <c r="C118" s="908" t="s">
        <v>473</v>
      </c>
      <c r="D118" s="1113" t="s">
        <v>472</v>
      </c>
      <c r="E118" s="560">
        <v>44903</v>
      </c>
      <c r="F118" s="905">
        <f>14.78+87.72+20.76+112.18+123.34+78.74</f>
        <v>437.52</v>
      </c>
      <c r="G118" s="901"/>
      <c r="H118" s="905">
        <v>437.52</v>
      </c>
      <c r="I118" s="467">
        <f t="shared" si="21"/>
        <v>0</v>
      </c>
      <c r="J118" s="969"/>
      <c r="K118" s="759"/>
      <c r="L118" s="976"/>
      <c r="M118" s="759"/>
      <c r="N118" s="1077"/>
      <c r="O118" s="1111" t="s">
        <v>471</v>
      </c>
      <c r="P118" s="1112"/>
      <c r="Q118" s="1088">
        <f>14.78*90+87.72*80+20.76*80+112.18*90+123.34*90+78.74*110</f>
        <v>39866.800000000003</v>
      </c>
      <c r="R118" s="1093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9" t="s">
        <v>422</v>
      </c>
      <c r="C119" s="908" t="s">
        <v>427</v>
      </c>
      <c r="D119" s="921"/>
      <c r="E119" s="1080">
        <v>44905</v>
      </c>
      <c r="F119" s="905">
        <v>2835.98</v>
      </c>
      <c r="G119" s="901">
        <v>120</v>
      </c>
      <c r="H119" s="905">
        <v>2835.98</v>
      </c>
      <c r="I119" s="467">
        <f t="shared" si="21"/>
        <v>0</v>
      </c>
      <c r="J119" s="969"/>
      <c r="K119" s="759"/>
      <c r="L119" s="976"/>
      <c r="M119" s="759"/>
      <c r="N119" s="978"/>
      <c r="O119" s="1078">
        <v>19336</v>
      </c>
      <c r="P119" s="1094" t="s">
        <v>457</v>
      </c>
      <c r="Q119" s="526">
        <v>198518.6</v>
      </c>
      <c r="R119" s="760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51" t="s">
        <v>371</v>
      </c>
      <c r="C120" s="901" t="s">
        <v>428</v>
      </c>
      <c r="D120" s="901"/>
      <c r="E120" s="903">
        <v>44907</v>
      </c>
      <c r="F120" s="905">
        <v>150</v>
      </c>
      <c r="G120" s="901">
        <v>15</v>
      </c>
      <c r="H120" s="905">
        <v>150</v>
      </c>
      <c r="I120" s="467">
        <f t="shared" si="21"/>
        <v>0</v>
      </c>
      <c r="J120" s="969"/>
      <c r="K120" s="759"/>
      <c r="L120" s="973"/>
      <c r="M120" s="759"/>
      <c r="N120" s="977"/>
      <c r="O120" s="772" t="s">
        <v>429</v>
      </c>
      <c r="P120" s="899"/>
      <c r="Q120" s="526">
        <v>15000</v>
      </c>
      <c r="R120" s="760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82" t="s">
        <v>97</v>
      </c>
      <c r="C121" s="901" t="s">
        <v>435</v>
      </c>
      <c r="D121" s="921"/>
      <c r="E121" s="1086">
        <v>44909</v>
      </c>
      <c r="F121" s="905">
        <v>5032.8</v>
      </c>
      <c r="G121" s="901">
        <v>166</v>
      </c>
      <c r="H121" s="905">
        <v>5029.8</v>
      </c>
      <c r="I121" s="705">
        <f t="shared" si="21"/>
        <v>-3</v>
      </c>
      <c r="J121" s="969"/>
      <c r="K121" s="759"/>
      <c r="L121" s="973"/>
      <c r="M121" s="759"/>
      <c r="N121" s="977"/>
      <c r="O121" s="1103" t="s">
        <v>547</v>
      </c>
      <c r="P121" s="1087" t="s">
        <v>457</v>
      </c>
      <c r="Q121" s="526">
        <v>624067.19999999995</v>
      </c>
      <c r="R121" s="1106" t="s">
        <v>546</v>
      </c>
      <c r="S121" s="65">
        <f t="shared" ref="S121:S122" si="38">Q121+M121+K121</f>
        <v>624067.19999999995</v>
      </c>
      <c r="T121" s="170">
        <f t="shared" ref="T121:T122" si="39">S121/H121</f>
        <v>124.07395920314922</v>
      </c>
    </row>
    <row r="122" spans="1:20" s="152" customFormat="1" ht="42.75" customHeight="1" thickTop="1" x14ac:dyDescent="0.25">
      <c r="A122" s="100">
        <v>84</v>
      </c>
      <c r="B122" s="1181" t="s">
        <v>180</v>
      </c>
      <c r="C122" s="1081" t="s">
        <v>442</v>
      </c>
      <c r="D122" s="1083"/>
      <c r="E122" s="1184">
        <v>44914</v>
      </c>
      <c r="F122" s="1085">
        <v>59.25</v>
      </c>
      <c r="G122" s="901"/>
      <c r="H122" s="905">
        <v>59.25</v>
      </c>
      <c r="I122" s="705">
        <f t="shared" si="21"/>
        <v>0</v>
      </c>
      <c r="J122" s="969"/>
      <c r="K122" s="759"/>
      <c r="L122" s="973"/>
      <c r="M122" s="759"/>
      <c r="N122" s="1076"/>
      <c r="O122" s="1169" t="s">
        <v>466</v>
      </c>
      <c r="P122" s="1100"/>
      <c r="Q122" s="1095">
        <v>8235.75</v>
      </c>
      <c r="R122" s="1172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182"/>
      <c r="C123" s="908" t="s">
        <v>443</v>
      </c>
      <c r="D123" s="1084"/>
      <c r="E123" s="1185"/>
      <c r="F123" s="1085">
        <v>70.45</v>
      </c>
      <c r="G123" s="901"/>
      <c r="H123" s="905">
        <v>70.45</v>
      </c>
      <c r="I123" s="105">
        <f t="shared" si="21"/>
        <v>0</v>
      </c>
      <c r="J123" s="969"/>
      <c r="K123" s="759"/>
      <c r="L123" s="973"/>
      <c r="M123" s="759"/>
      <c r="N123" s="1076"/>
      <c r="O123" s="1170"/>
      <c r="P123" s="1101"/>
      <c r="Q123" s="1105">
        <v>9792.5499999999993</v>
      </c>
      <c r="R123" s="1173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182"/>
      <c r="C124" s="908" t="s">
        <v>443</v>
      </c>
      <c r="D124" s="1084"/>
      <c r="E124" s="1185"/>
      <c r="F124" s="1085">
        <v>38.5</v>
      </c>
      <c r="G124" s="901"/>
      <c r="H124" s="905">
        <v>38.5</v>
      </c>
      <c r="I124" s="105">
        <f t="shared" si="21"/>
        <v>0</v>
      </c>
      <c r="J124" s="969"/>
      <c r="K124" s="759"/>
      <c r="L124" s="973"/>
      <c r="M124" s="759"/>
      <c r="N124" s="1076"/>
      <c r="O124" s="1170"/>
      <c r="P124" s="1102"/>
      <c r="Q124" s="1105">
        <v>5197.5</v>
      </c>
      <c r="R124" s="1173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182"/>
      <c r="C125" s="908" t="s">
        <v>444</v>
      </c>
      <c r="D125" s="1084"/>
      <c r="E125" s="1185"/>
      <c r="F125" s="1085">
        <v>60.9</v>
      </c>
      <c r="G125" s="901"/>
      <c r="H125" s="905">
        <v>60.9</v>
      </c>
      <c r="I125" s="105">
        <f t="shared" si="21"/>
        <v>0</v>
      </c>
      <c r="J125" s="969"/>
      <c r="K125" s="759"/>
      <c r="L125" s="973"/>
      <c r="M125" s="759"/>
      <c r="N125" s="1076"/>
      <c r="O125" s="1170"/>
      <c r="P125" s="1102"/>
      <c r="Q125" s="1105">
        <v>8160.6</v>
      </c>
      <c r="R125" s="1173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182"/>
      <c r="C126" s="908" t="s">
        <v>445</v>
      </c>
      <c r="D126" s="1084"/>
      <c r="E126" s="1185"/>
      <c r="F126" s="1085">
        <v>105.55</v>
      </c>
      <c r="G126" s="901"/>
      <c r="H126" s="905">
        <v>105.55</v>
      </c>
      <c r="I126" s="105">
        <f t="shared" si="21"/>
        <v>0</v>
      </c>
      <c r="J126" s="969"/>
      <c r="K126" s="759"/>
      <c r="L126" s="973"/>
      <c r="M126" s="759"/>
      <c r="N126" s="1076"/>
      <c r="O126" s="1170"/>
      <c r="P126" s="1102"/>
      <c r="Q126" s="1105">
        <v>13615.95</v>
      </c>
      <c r="R126" s="1173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183"/>
      <c r="C127" s="908" t="s">
        <v>446</v>
      </c>
      <c r="D127" s="1084"/>
      <c r="E127" s="1185"/>
      <c r="F127" s="1085">
        <v>120</v>
      </c>
      <c r="G127" s="901"/>
      <c r="H127" s="905">
        <v>120</v>
      </c>
      <c r="I127" s="105">
        <f t="shared" si="21"/>
        <v>0</v>
      </c>
      <c r="J127" s="969"/>
      <c r="K127" s="759"/>
      <c r="L127" s="973"/>
      <c r="M127" s="759"/>
      <c r="N127" s="1076"/>
      <c r="O127" s="1171"/>
      <c r="P127" s="1102"/>
      <c r="Q127" s="1105">
        <v>9480</v>
      </c>
      <c r="R127" s="1174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211" t="s">
        <v>80</v>
      </c>
      <c r="C128" s="908" t="s">
        <v>179</v>
      </c>
      <c r="D128" s="1084"/>
      <c r="E128" s="1214">
        <v>44911</v>
      </c>
      <c r="F128" s="1085">
        <v>1008.29</v>
      </c>
      <c r="G128" s="901">
        <v>82</v>
      </c>
      <c r="H128" s="905">
        <v>1008.29</v>
      </c>
      <c r="I128" s="105">
        <f t="shared" si="21"/>
        <v>0</v>
      </c>
      <c r="J128" s="969"/>
      <c r="K128" s="759"/>
      <c r="L128" s="973"/>
      <c r="M128" s="759"/>
      <c r="N128" s="1076"/>
      <c r="O128" s="1217" t="s">
        <v>514</v>
      </c>
      <c r="P128" s="1102"/>
      <c r="Q128" s="523"/>
      <c r="R128" s="1107"/>
      <c r="S128" s="65">
        <f t="shared" si="42"/>
        <v>0</v>
      </c>
      <c r="T128" s="170">
        <f t="shared" si="43"/>
        <v>0</v>
      </c>
    </row>
    <row r="129" spans="1:20" s="152" customFormat="1" ht="25.5" customHeight="1" x14ac:dyDescent="0.25">
      <c r="A129" s="100">
        <v>91</v>
      </c>
      <c r="B129" s="1212"/>
      <c r="C129" s="1138" t="s">
        <v>515</v>
      </c>
      <c r="D129" s="1139"/>
      <c r="E129" s="1215"/>
      <c r="F129" s="1140">
        <v>503.78</v>
      </c>
      <c r="G129" s="679">
        <v>42</v>
      </c>
      <c r="H129" s="907">
        <v>503.78</v>
      </c>
      <c r="I129" s="105">
        <f t="shared" si="21"/>
        <v>0</v>
      </c>
      <c r="J129" s="969"/>
      <c r="K129" s="759"/>
      <c r="L129" s="973"/>
      <c r="M129" s="759"/>
      <c r="N129" s="1076"/>
      <c r="O129" s="1218"/>
      <c r="P129" s="1102"/>
      <c r="Q129" s="523"/>
      <c r="R129" s="764"/>
      <c r="S129" s="65">
        <f t="shared" si="42"/>
        <v>0</v>
      </c>
      <c r="T129" s="170">
        <f t="shared" si="43"/>
        <v>0</v>
      </c>
    </row>
    <row r="130" spans="1:20" s="152" customFormat="1" ht="25.5" customHeight="1" thickBot="1" x14ac:dyDescent="0.3">
      <c r="A130" s="100">
        <v>92</v>
      </c>
      <c r="B130" s="1213"/>
      <c r="C130" s="1138" t="s">
        <v>178</v>
      </c>
      <c r="D130" s="1139"/>
      <c r="E130" s="1216"/>
      <c r="F130" s="1140">
        <v>508.54</v>
      </c>
      <c r="G130" s="679">
        <v>43</v>
      </c>
      <c r="H130" s="907">
        <v>508.54</v>
      </c>
      <c r="I130" s="105">
        <f t="shared" si="21"/>
        <v>0</v>
      </c>
      <c r="J130" s="969"/>
      <c r="K130" s="759"/>
      <c r="L130" s="973"/>
      <c r="M130" s="759"/>
      <c r="N130" s="1076"/>
      <c r="O130" s="1219"/>
      <c r="P130" s="1102"/>
      <c r="Q130" s="523"/>
      <c r="R130" s="764"/>
      <c r="S130" s="65">
        <f t="shared" si="42"/>
        <v>0</v>
      </c>
      <c r="T130" s="170">
        <f t="shared" si="43"/>
        <v>0</v>
      </c>
    </row>
    <row r="131" spans="1:20" s="152" customFormat="1" ht="38.25" customHeight="1" thickTop="1" x14ac:dyDescent="0.25">
      <c r="A131" s="100">
        <v>93</v>
      </c>
      <c r="B131" s="1220" t="s">
        <v>371</v>
      </c>
      <c r="C131" s="1138" t="s">
        <v>43</v>
      </c>
      <c r="D131" s="1142"/>
      <c r="E131" s="1222">
        <v>44914</v>
      </c>
      <c r="F131" s="1140">
        <v>1003.34</v>
      </c>
      <c r="G131" s="679">
        <v>22</v>
      </c>
      <c r="H131" s="904">
        <v>1003.34</v>
      </c>
      <c r="I131" s="105">
        <f t="shared" si="21"/>
        <v>0</v>
      </c>
      <c r="J131" s="969"/>
      <c r="K131" s="759"/>
      <c r="L131" s="973"/>
      <c r="M131" s="759"/>
      <c r="N131" s="1076"/>
      <c r="O131" s="1224" t="s">
        <v>516</v>
      </c>
      <c r="P131" s="1102"/>
      <c r="Q131" s="523"/>
      <c r="R131" s="760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221"/>
      <c r="C132" s="1138" t="s">
        <v>428</v>
      </c>
      <c r="D132" s="1143"/>
      <c r="E132" s="1223"/>
      <c r="F132" s="1140">
        <v>150</v>
      </c>
      <c r="G132" s="679">
        <v>15</v>
      </c>
      <c r="H132" s="904">
        <v>150</v>
      </c>
      <c r="I132" s="105">
        <f t="shared" si="21"/>
        <v>0</v>
      </c>
      <c r="J132" s="969"/>
      <c r="K132" s="759"/>
      <c r="L132" s="973"/>
      <c r="M132" s="759"/>
      <c r="N132" s="1076"/>
      <c r="O132" s="1225"/>
      <c r="P132" s="1102"/>
      <c r="Q132" s="523"/>
      <c r="R132" s="760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41" t="s">
        <v>517</v>
      </c>
      <c r="C133" s="802" t="s">
        <v>518</v>
      </c>
      <c r="D133" s="678"/>
      <c r="E133" s="813">
        <v>44915</v>
      </c>
      <c r="F133" s="904">
        <v>1063.33</v>
      </c>
      <c r="G133" s="679">
        <v>52</v>
      </c>
      <c r="H133" s="904">
        <v>1085.3399999999999</v>
      </c>
      <c r="I133" s="105">
        <f t="shared" si="21"/>
        <v>22.009999999999991</v>
      </c>
      <c r="J133" s="969"/>
      <c r="K133" s="759"/>
      <c r="L133" s="973"/>
      <c r="M133" s="759"/>
      <c r="N133" s="977"/>
      <c r="O133" s="1099">
        <v>1666</v>
      </c>
      <c r="P133" s="1166" t="s">
        <v>457</v>
      </c>
      <c r="Q133" s="523">
        <v>150992.85999999999</v>
      </c>
      <c r="R133" s="760" t="s">
        <v>544</v>
      </c>
      <c r="S133" s="65">
        <f t="shared" si="42"/>
        <v>150992.85999999999</v>
      </c>
      <c r="T133" s="170">
        <f t="shared" si="43"/>
        <v>139.12033095619805</v>
      </c>
    </row>
    <row r="134" spans="1:20" s="152" customFormat="1" ht="24.75" customHeight="1" thickBot="1" x14ac:dyDescent="0.3">
      <c r="A134" s="100">
        <v>96</v>
      </c>
      <c r="B134" s="1145" t="s">
        <v>80</v>
      </c>
      <c r="C134" s="802" t="s">
        <v>81</v>
      </c>
      <c r="D134" s="692"/>
      <c r="E134" s="677">
        <v>44916</v>
      </c>
      <c r="F134" s="904">
        <v>511.68</v>
      </c>
      <c r="G134" s="679">
        <v>29</v>
      </c>
      <c r="H134" s="904">
        <v>511.68</v>
      </c>
      <c r="I134" s="105">
        <f t="shared" si="21"/>
        <v>0</v>
      </c>
      <c r="J134" s="441"/>
      <c r="K134" s="382"/>
      <c r="L134" s="649"/>
      <c r="M134" s="382"/>
      <c r="N134" s="980"/>
      <c r="O134" s="1149" t="s">
        <v>519</v>
      </c>
      <c r="P134" s="762"/>
      <c r="Q134" s="523"/>
      <c r="R134" s="760"/>
      <c r="S134" s="65">
        <f t="shared" si="42"/>
        <v>0</v>
      </c>
      <c r="T134" s="170">
        <f t="shared" si="43"/>
        <v>0</v>
      </c>
    </row>
    <row r="135" spans="1:20" s="152" customFormat="1" ht="35.25" customHeight="1" x14ac:dyDescent="0.25">
      <c r="A135" s="100">
        <v>97</v>
      </c>
      <c r="B135" s="1246" t="s">
        <v>97</v>
      </c>
      <c r="C135" s="1138" t="s">
        <v>520</v>
      </c>
      <c r="D135" s="678"/>
      <c r="E135" s="756">
        <v>44916</v>
      </c>
      <c r="F135" s="904">
        <v>524.9</v>
      </c>
      <c r="G135" s="679">
        <v>17</v>
      </c>
      <c r="H135" s="904">
        <v>524.9</v>
      </c>
      <c r="I135" s="105">
        <f t="shared" ref="I135:I138" si="44">H135-F135</f>
        <v>0</v>
      </c>
      <c r="J135" s="441"/>
      <c r="K135" s="382"/>
      <c r="L135" s="649"/>
      <c r="M135" s="382"/>
      <c r="N135" s="1148"/>
      <c r="O135" s="1248" t="s">
        <v>545</v>
      </c>
      <c r="P135" s="1226" t="s">
        <v>457</v>
      </c>
      <c r="Q135" s="523">
        <v>44616.5</v>
      </c>
      <c r="R135" s="1228" t="s">
        <v>546</v>
      </c>
      <c r="S135" s="65">
        <f t="shared" si="42"/>
        <v>44616.5</v>
      </c>
      <c r="T135" s="170">
        <f t="shared" si="43"/>
        <v>85</v>
      </c>
    </row>
    <row r="136" spans="1:20" s="152" customFormat="1" ht="30" customHeight="1" thickBot="1" x14ac:dyDescent="0.35">
      <c r="A136" s="100">
        <v>98</v>
      </c>
      <c r="B136" s="1247"/>
      <c r="C136" s="1144" t="s">
        <v>521</v>
      </c>
      <c r="D136" s="526"/>
      <c r="E136" s="756">
        <v>44916</v>
      </c>
      <c r="F136" s="1147">
        <v>255.24</v>
      </c>
      <c r="G136" s="275">
        <v>10</v>
      </c>
      <c r="H136" s="906">
        <v>255.24</v>
      </c>
      <c r="I136" s="467">
        <f t="shared" si="44"/>
        <v>0</v>
      </c>
      <c r="J136" s="505"/>
      <c r="K136" s="382"/>
      <c r="L136" s="649"/>
      <c r="M136" s="382"/>
      <c r="N136" s="924"/>
      <c r="O136" s="1249"/>
      <c r="P136" s="1227"/>
      <c r="Q136" s="526">
        <v>20674.439999999999</v>
      </c>
      <c r="R136" s="1229"/>
      <c r="S136" s="65">
        <f t="shared" si="42"/>
        <v>20674.439999999999</v>
      </c>
      <c r="T136" s="170">
        <f t="shared" si="43"/>
        <v>80.999999999999986</v>
      </c>
    </row>
    <row r="137" spans="1:20" s="152" customFormat="1" ht="33" customHeight="1" x14ac:dyDescent="0.3">
      <c r="A137" s="100">
        <v>99</v>
      </c>
      <c r="B137" s="1146" t="s">
        <v>177</v>
      </c>
      <c r="C137" s="802" t="s">
        <v>101</v>
      </c>
      <c r="D137" s="373"/>
      <c r="E137" s="756">
        <v>44917</v>
      </c>
      <c r="F137" s="906">
        <v>3945.8</v>
      </c>
      <c r="G137" s="575">
        <v>4</v>
      </c>
      <c r="H137" s="906">
        <v>3945.8</v>
      </c>
      <c r="I137" s="340">
        <f t="shared" si="44"/>
        <v>0</v>
      </c>
      <c r="J137" s="442"/>
      <c r="K137" s="382"/>
      <c r="L137" s="649"/>
      <c r="M137" s="382"/>
      <c r="N137" s="980"/>
      <c r="O137" s="1150" t="s">
        <v>522</v>
      </c>
      <c r="P137" s="763"/>
      <c r="Q137" s="523"/>
      <c r="R137" s="766"/>
      <c r="S137" s="65">
        <f t="shared" si="42"/>
        <v>0</v>
      </c>
      <c r="T137" s="170">
        <f t="shared" si="43"/>
        <v>0</v>
      </c>
    </row>
    <row r="138" spans="1:20" s="152" customFormat="1" ht="33" customHeight="1" thickBot="1" x14ac:dyDescent="0.35">
      <c r="A138" s="100">
        <v>100</v>
      </c>
      <c r="B138" s="1145" t="s">
        <v>526</v>
      </c>
      <c r="C138" s="801" t="s">
        <v>527</v>
      </c>
      <c r="D138" s="626"/>
      <c r="E138" s="1155">
        <v>44919</v>
      </c>
      <c r="F138" s="906">
        <v>5020</v>
      </c>
      <c r="G138" s="575">
        <v>220</v>
      </c>
      <c r="H138" s="906">
        <v>5020</v>
      </c>
      <c r="I138" s="340">
        <f t="shared" si="44"/>
        <v>0</v>
      </c>
      <c r="J138" s="442"/>
      <c r="K138" s="382"/>
      <c r="L138" s="649"/>
      <c r="M138" s="382"/>
      <c r="N138" s="980"/>
      <c r="O138" s="1157">
        <v>383278</v>
      </c>
      <c r="P138" s="763"/>
      <c r="Q138" s="523"/>
      <c r="R138" s="766"/>
      <c r="S138" s="65">
        <f t="shared" ref="S138:S178" si="45">Q138+M138+K138</f>
        <v>0</v>
      </c>
      <c r="T138" s="170">
        <f t="shared" ref="T138:T178" si="46">S138/H138</f>
        <v>0</v>
      </c>
    </row>
    <row r="139" spans="1:20" s="152" customFormat="1" ht="34.5" customHeight="1" x14ac:dyDescent="0.25">
      <c r="A139" s="100">
        <v>101</v>
      </c>
      <c r="B139" s="1250" t="s">
        <v>97</v>
      </c>
      <c r="C139" s="1138" t="s">
        <v>435</v>
      </c>
      <c r="D139" s="1152"/>
      <c r="E139" s="1253">
        <v>44919</v>
      </c>
      <c r="F139" s="1154">
        <v>3952.07</v>
      </c>
      <c r="G139" s="575">
        <v>130</v>
      </c>
      <c r="H139" s="906">
        <v>3952.07</v>
      </c>
      <c r="I139" s="105">
        <f t="shared" ref="I139:I193" si="47">H139-F139</f>
        <v>0</v>
      </c>
      <c r="J139" s="441"/>
      <c r="K139" s="382"/>
      <c r="L139" s="649"/>
      <c r="M139" s="382"/>
      <c r="N139" s="1148"/>
      <c r="O139" s="1243"/>
      <c r="P139" s="1101"/>
      <c r="Q139" s="523"/>
      <c r="R139" s="766"/>
      <c r="S139" s="65">
        <f t="shared" si="45"/>
        <v>0</v>
      </c>
      <c r="T139" s="170">
        <f t="shared" si="46"/>
        <v>0</v>
      </c>
    </row>
    <row r="140" spans="1:20" s="152" customFormat="1" ht="29.25" customHeight="1" x14ac:dyDescent="0.25">
      <c r="A140" s="100">
        <v>102</v>
      </c>
      <c r="B140" s="1251"/>
      <c r="C140" s="1138" t="s">
        <v>520</v>
      </c>
      <c r="D140" s="1153"/>
      <c r="E140" s="1254"/>
      <c r="F140" s="1154">
        <v>495.17</v>
      </c>
      <c r="G140" s="575">
        <v>17</v>
      </c>
      <c r="H140" s="906">
        <v>495.17</v>
      </c>
      <c r="I140" s="105">
        <f t="shared" si="47"/>
        <v>0</v>
      </c>
      <c r="J140" s="441"/>
      <c r="K140" s="382"/>
      <c r="L140" s="649"/>
      <c r="M140" s="382"/>
      <c r="N140" s="1148"/>
      <c r="O140" s="1256"/>
      <c r="P140" s="1101"/>
      <c r="Q140" s="523"/>
      <c r="R140" s="766"/>
      <c r="S140" s="65">
        <f t="shared" si="45"/>
        <v>0</v>
      </c>
      <c r="T140" s="170">
        <f t="shared" si="46"/>
        <v>0</v>
      </c>
    </row>
    <row r="141" spans="1:20" s="152" customFormat="1" ht="29.25" customHeight="1" thickBot="1" x14ac:dyDescent="0.3">
      <c r="A141" s="100">
        <v>103</v>
      </c>
      <c r="B141" s="1252"/>
      <c r="C141" s="1138" t="s">
        <v>528</v>
      </c>
      <c r="D141" s="1153"/>
      <c r="E141" s="1255"/>
      <c r="F141" s="1154">
        <v>495.07</v>
      </c>
      <c r="G141" s="575">
        <v>20</v>
      </c>
      <c r="H141" s="906">
        <v>495.07</v>
      </c>
      <c r="I141" s="105">
        <f t="shared" si="47"/>
        <v>0</v>
      </c>
      <c r="J141" s="441"/>
      <c r="K141" s="382"/>
      <c r="L141" s="649"/>
      <c r="M141" s="382"/>
      <c r="N141" s="1148"/>
      <c r="O141" s="1244"/>
      <c r="P141" s="1101"/>
      <c r="Q141" s="523"/>
      <c r="R141" s="766"/>
      <c r="S141" s="65">
        <f t="shared" si="45"/>
        <v>0</v>
      </c>
      <c r="T141" s="170">
        <f t="shared" si="46"/>
        <v>0</v>
      </c>
    </row>
    <row r="142" spans="1:20" s="152" customFormat="1" ht="31.5" customHeight="1" thickBot="1" x14ac:dyDescent="0.3">
      <c r="A142" s="100">
        <v>104</v>
      </c>
      <c r="B142" s="1159" t="s">
        <v>177</v>
      </c>
      <c r="C142" s="802" t="s">
        <v>101</v>
      </c>
      <c r="D142" s="693"/>
      <c r="E142" s="1156">
        <v>44921</v>
      </c>
      <c r="F142" s="906">
        <v>3696.3</v>
      </c>
      <c r="G142" s="575">
        <v>4</v>
      </c>
      <c r="H142" s="906">
        <v>3696.3</v>
      </c>
      <c r="I142" s="105">
        <f t="shared" si="47"/>
        <v>0</v>
      </c>
      <c r="J142" s="441"/>
      <c r="K142" s="382"/>
      <c r="L142" s="649"/>
      <c r="M142" s="382"/>
      <c r="N142" s="980"/>
      <c r="O142" s="1158" t="s">
        <v>530</v>
      </c>
      <c r="P142" s="762"/>
      <c r="Q142" s="523"/>
      <c r="R142" s="766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233" t="s">
        <v>422</v>
      </c>
      <c r="C143" s="1138" t="s">
        <v>531</v>
      </c>
      <c r="D143" s="693"/>
      <c r="E143" s="1238">
        <v>44921</v>
      </c>
      <c r="F143" s="906">
        <v>1531.83</v>
      </c>
      <c r="G143" s="575">
        <v>59</v>
      </c>
      <c r="H143" s="906">
        <v>1531.83</v>
      </c>
      <c r="I143" s="105">
        <f t="shared" si="47"/>
        <v>0</v>
      </c>
      <c r="J143" s="441"/>
      <c r="K143" s="382"/>
      <c r="L143" s="649"/>
      <c r="M143" s="382"/>
      <c r="N143" s="1148"/>
      <c r="O143" s="1235"/>
      <c r="P143" s="1101"/>
      <c r="Q143" s="523"/>
      <c r="R143" s="766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234"/>
      <c r="C144" s="1138" t="s">
        <v>102</v>
      </c>
      <c r="D144" s="693"/>
      <c r="E144" s="1239"/>
      <c r="F144" s="906">
        <v>1291.1099999999999</v>
      </c>
      <c r="G144" s="575">
        <v>44</v>
      </c>
      <c r="H144" s="906">
        <v>1291.1099999999999</v>
      </c>
      <c r="I144" s="105">
        <f t="shared" si="47"/>
        <v>0</v>
      </c>
      <c r="J144" s="441"/>
      <c r="K144" s="382"/>
      <c r="L144" s="649"/>
      <c r="M144" s="382"/>
      <c r="N144" s="1148"/>
      <c r="O144" s="1236"/>
      <c r="P144" s="1101"/>
      <c r="Q144" s="523"/>
      <c r="R144" s="766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221"/>
      <c r="C145" s="1138" t="s">
        <v>508</v>
      </c>
      <c r="D145" s="373"/>
      <c r="E145" s="1240"/>
      <c r="F145" s="906">
        <v>577.23</v>
      </c>
      <c r="G145" s="575">
        <v>19</v>
      </c>
      <c r="H145" s="906">
        <v>577.23</v>
      </c>
      <c r="I145" s="105">
        <f t="shared" si="47"/>
        <v>0</v>
      </c>
      <c r="J145" s="441"/>
      <c r="K145" s="382"/>
      <c r="L145" s="649"/>
      <c r="M145" s="382"/>
      <c r="N145" s="1148"/>
      <c r="O145" s="1237"/>
      <c r="P145" s="1102"/>
      <c r="Q145" s="523"/>
      <c r="R145" s="766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">
      <c r="A146" s="100">
        <v>108</v>
      </c>
      <c r="B146" s="1159" t="s">
        <v>532</v>
      </c>
      <c r="C146" s="802" t="s">
        <v>533</v>
      </c>
      <c r="D146" s="693"/>
      <c r="E146" s="560">
        <v>44921</v>
      </c>
      <c r="F146" s="906">
        <v>18568</v>
      </c>
      <c r="G146" s="575">
        <v>620</v>
      </c>
      <c r="H146" s="906">
        <v>18568</v>
      </c>
      <c r="I146" s="105">
        <f t="shared" si="47"/>
        <v>0</v>
      </c>
      <c r="J146" s="441"/>
      <c r="K146" s="382"/>
      <c r="L146" s="649"/>
      <c r="M146" s="382"/>
      <c r="N146" s="980"/>
      <c r="O146" s="1161"/>
      <c r="P146" s="762"/>
      <c r="Q146" s="523"/>
      <c r="R146" s="766"/>
      <c r="S146" s="65">
        <f t="shared" si="45"/>
        <v>0</v>
      </c>
      <c r="T146" s="170">
        <f t="shared" si="46"/>
        <v>0</v>
      </c>
    </row>
    <row r="147" spans="1:20" s="152" customFormat="1" ht="30.75" customHeight="1" thickTop="1" x14ac:dyDescent="0.25">
      <c r="A147" s="100">
        <v>109</v>
      </c>
      <c r="B147" s="1233" t="s">
        <v>97</v>
      </c>
      <c r="C147" s="1138" t="s">
        <v>520</v>
      </c>
      <c r="D147" s="693"/>
      <c r="E147" s="1162">
        <v>44924</v>
      </c>
      <c r="F147" s="906">
        <v>1028.68</v>
      </c>
      <c r="G147" s="575">
        <v>35</v>
      </c>
      <c r="H147" s="906">
        <v>1028.68</v>
      </c>
      <c r="I147" s="105">
        <f t="shared" si="47"/>
        <v>0</v>
      </c>
      <c r="J147" s="441"/>
      <c r="K147" s="382"/>
      <c r="L147" s="649"/>
      <c r="M147" s="382"/>
      <c r="N147" s="1148"/>
      <c r="O147" s="1163"/>
      <c r="P147" s="1101"/>
      <c r="Q147" s="523"/>
      <c r="R147" s="766"/>
      <c r="S147" s="65"/>
      <c r="T147" s="170"/>
    </row>
    <row r="148" spans="1:20" s="152" customFormat="1" ht="30.75" customHeight="1" thickBot="1" x14ac:dyDescent="0.3">
      <c r="A148" s="100">
        <v>110</v>
      </c>
      <c r="B148" s="1245"/>
      <c r="C148" s="1138" t="s">
        <v>538</v>
      </c>
      <c r="D148" s="693"/>
      <c r="E148" s="1162">
        <v>44924</v>
      </c>
      <c r="F148" s="906">
        <v>978.48</v>
      </c>
      <c r="G148" s="575">
        <v>35</v>
      </c>
      <c r="H148" s="906">
        <v>978.48</v>
      </c>
      <c r="I148" s="105">
        <f t="shared" si="47"/>
        <v>0</v>
      </c>
      <c r="J148" s="441"/>
      <c r="K148" s="382"/>
      <c r="L148" s="649"/>
      <c r="M148" s="382"/>
      <c r="N148" s="1148"/>
      <c r="O148" s="1163"/>
      <c r="P148" s="1101"/>
      <c r="Q148" s="523"/>
      <c r="R148" s="766"/>
      <c r="S148" s="65"/>
      <c r="T148" s="170"/>
    </row>
    <row r="149" spans="1:20" s="152" customFormat="1" ht="24" customHeight="1" x14ac:dyDescent="0.25">
      <c r="A149" s="100">
        <v>111</v>
      </c>
      <c r="B149" s="1241" t="s">
        <v>371</v>
      </c>
      <c r="C149" s="1138" t="s">
        <v>43</v>
      </c>
      <c r="D149" s="693"/>
      <c r="E149" s="1238">
        <v>44925</v>
      </c>
      <c r="F149" s="906">
        <v>1502.74</v>
      </c>
      <c r="G149" s="575">
        <v>331</v>
      </c>
      <c r="H149" s="906">
        <v>1502.74</v>
      </c>
      <c r="I149" s="105">
        <f t="shared" si="47"/>
        <v>0</v>
      </c>
      <c r="J149" s="443"/>
      <c r="K149" s="382"/>
      <c r="L149" s="649"/>
      <c r="M149" s="382"/>
      <c r="N149" s="1160"/>
      <c r="O149" s="1243" t="s">
        <v>537</v>
      </c>
      <c r="P149" s="1102"/>
      <c r="Q149" s="523"/>
      <c r="R149" s="766"/>
      <c r="S149" s="65">
        <f t="shared" si="45"/>
        <v>0</v>
      </c>
      <c r="T149" s="170">
        <f t="shared" si="46"/>
        <v>0</v>
      </c>
    </row>
    <row r="150" spans="1:20" s="152" customFormat="1" ht="23.25" thickBot="1" x14ac:dyDescent="0.35">
      <c r="A150" s="100">
        <v>112</v>
      </c>
      <c r="B150" s="1242"/>
      <c r="C150" s="1138" t="s">
        <v>372</v>
      </c>
      <c r="D150" s="373"/>
      <c r="E150" s="1240"/>
      <c r="F150" s="906">
        <v>100</v>
      </c>
      <c r="G150" s="575">
        <v>10</v>
      </c>
      <c r="H150" s="906">
        <v>100</v>
      </c>
      <c r="I150" s="105">
        <f t="shared" si="47"/>
        <v>0</v>
      </c>
      <c r="J150" s="576"/>
      <c r="K150" s="382"/>
      <c r="L150" s="649"/>
      <c r="M150" s="382"/>
      <c r="N150" s="1160"/>
      <c r="O150" s="1244"/>
      <c r="P150" s="1102"/>
      <c r="Q150" s="523"/>
      <c r="R150" s="766"/>
      <c r="S150" s="65">
        <f t="shared" si="45"/>
        <v>0</v>
      </c>
      <c r="T150" s="170">
        <f t="shared" si="46"/>
        <v>0</v>
      </c>
    </row>
    <row r="151" spans="1:20" s="152" customFormat="1" ht="22.5" x14ac:dyDescent="0.3">
      <c r="A151" s="100">
        <v>113</v>
      </c>
      <c r="B151" s="1230" t="s">
        <v>422</v>
      </c>
      <c r="C151" s="1138" t="s">
        <v>71</v>
      </c>
      <c r="D151" s="373"/>
      <c r="E151" s="757">
        <v>44925</v>
      </c>
      <c r="F151" s="906">
        <v>5922.77</v>
      </c>
      <c r="G151" s="575">
        <v>205</v>
      </c>
      <c r="H151" s="906">
        <v>5922.77</v>
      </c>
      <c r="I151" s="105">
        <f t="shared" si="47"/>
        <v>0</v>
      </c>
      <c r="J151" s="576"/>
      <c r="K151" s="382"/>
      <c r="L151" s="649"/>
      <c r="M151" s="382"/>
      <c r="N151" s="1160"/>
      <c r="O151" s="1231"/>
      <c r="P151" s="1102"/>
      <c r="Q151" s="523"/>
      <c r="R151" s="766"/>
      <c r="S151" s="65">
        <f t="shared" si="45"/>
        <v>0</v>
      </c>
      <c r="T151" s="170">
        <f t="shared" si="46"/>
        <v>0</v>
      </c>
    </row>
    <row r="152" spans="1:20" s="152" customFormat="1" ht="23.25" thickBot="1" x14ac:dyDescent="0.35">
      <c r="A152" s="100">
        <v>114</v>
      </c>
      <c r="B152" s="1221"/>
      <c r="C152" s="1138" t="s">
        <v>543</v>
      </c>
      <c r="D152" s="373"/>
      <c r="E152" s="757">
        <v>44925</v>
      </c>
      <c r="F152" s="906">
        <v>713.92</v>
      </c>
      <c r="G152" s="575">
        <v>27</v>
      </c>
      <c r="H152" s="906">
        <v>713.92</v>
      </c>
      <c r="I152" s="105">
        <f t="shared" si="47"/>
        <v>0</v>
      </c>
      <c r="J152" s="576"/>
      <c r="K152" s="382"/>
      <c r="L152" s="649"/>
      <c r="M152" s="382"/>
      <c r="N152" s="1160"/>
      <c r="O152" s="1232"/>
      <c r="P152" s="1102"/>
      <c r="Q152" s="523"/>
      <c r="R152" s="766"/>
      <c r="S152" s="65">
        <f t="shared" si="45"/>
        <v>0</v>
      </c>
      <c r="T152" s="170">
        <f t="shared" si="46"/>
        <v>0</v>
      </c>
    </row>
    <row r="153" spans="1:20" s="152" customFormat="1" ht="23.25" thickTop="1" x14ac:dyDescent="0.3">
      <c r="A153" s="100">
        <v>115</v>
      </c>
      <c r="B153" s="1151"/>
      <c r="C153" s="802"/>
      <c r="D153" s="373"/>
      <c r="E153" s="757"/>
      <c r="F153" s="906"/>
      <c r="G153" s="575"/>
      <c r="H153" s="906"/>
      <c r="I153" s="105">
        <f t="shared" si="47"/>
        <v>0</v>
      </c>
      <c r="J153" s="576"/>
      <c r="K153" s="382"/>
      <c r="L153" s="649"/>
      <c r="M153" s="382"/>
      <c r="N153" s="649"/>
      <c r="O153" s="1104"/>
      <c r="P153" s="763"/>
      <c r="Q153" s="523"/>
      <c r="R153" s="766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802"/>
      <c r="C154" s="802"/>
      <c r="D154" s="693"/>
      <c r="E154" s="560"/>
      <c r="F154" s="906"/>
      <c r="G154" s="575"/>
      <c r="H154" s="906"/>
      <c r="I154" s="105">
        <f t="shared" ref="I154" si="48">H154-F154</f>
        <v>0</v>
      </c>
      <c r="J154" s="441"/>
      <c r="K154" s="382"/>
      <c r="L154" s="649"/>
      <c r="M154" s="382"/>
      <c r="N154" s="980"/>
      <c r="O154" s="768"/>
      <c r="P154" s="762"/>
      <c r="Q154" s="523"/>
      <c r="R154" s="766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803"/>
      <c r="C155" s="802"/>
      <c r="D155" s="373"/>
      <c r="E155" s="560"/>
      <c r="F155" s="906"/>
      <c r="G155" s="575"/>
      <c r="H155" s="906"/>
      <c r="I155" s="409">
        <f t="shared" si="47"/>
        <v>0</v>
      </c>
      <c r="J155" s="443"/>
      <c r="K155" s="382"/>
      <c r="L155" s="649"/>
      <c r="M155" s="382"/>
      <c r="N155" s="649"/>
      <c r="O155" s="767"/>
      <c r="P155" s="763"/>
      <c r="Q155" s="523"/>
      <c r="R155" s="769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802"/>
      <c r="C156" s="802"/>
      <c r="D156" s="373"/>
      <c r="E156" s="560"/>
      <c r="F156" s="906"/>
      <c r="G156" s="575"/>
      <c r="H156" s="906"/>
      <c r="I156" s="105">
        <f t="shared" si="47"/>
        <v>0</v>
      </c>
      <c r="J156" s="443"/>
      <c r="K156" s="382"/>
      <c r="L156" s="649"/>
      <c r="M156" s="382"/>
      <c r="N156" s="649"/>
      <c r="O156" s="768"/>
      <c r="P156" s="763"/>
      <c r="Q156" s="523"/>
      <c r="R156" s="769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802"/>
      <c r="C157" s="802"/>
      <c r="D157" s="373"/>
      <c r="E157" s="560"/>
      <c r="F157" s="556"/>
      <c r="G157" s="575"/>
      <c r="H157" s="906"/>
      <c r="I157" s="105">
        <f t="shared" si="47"/>
        <v>0</v>
      </c>
      <c r="J157" s="443"/>
      <c r="K157" s="382"/>
      <c r="L157" s="649"/>
      <c r="M157" s="382"/>
      <c r="N157" s="649"/>
      <c r="O157" s="768"/>
      <c r="P157" s="763"/>
      <c r="Q157" s="523"/>
      <c r="R157" s="769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802"/>
      <c r="C158" s="802"/>
      <c r="D158" s="373"/>
      <c r="E158" s="560"/>
      <c r="F158" s="556"/>
      <c r="G158" s="575"/>
      <c r="H158" s="906"/>
      <c r="I158" s="105">
        <f t="shared" si="47"/>
        <v>0</v>
      </c>
      <c r="J158" s="443"/>
      <c r="K158" s="382"/>
      <c r="L158" s="649"/>
      <c r="M158" s="382"/>
      <c r="N158" s="649"/>
      <c r="O158" s="586"/>
      <c r="P158" s="383"/>
      <c r="Q158" s="526"/>
      <c r="R158" s="587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802"/>
      <c r="C159" s="802"/>
      <c r="D159" s="373"/>
      <c r="E159" s="560"/>
      <c r="F159" s="556"/>
      <c r="G159" s="575"/>
      <c r="H159" s="556"/>
      <c r="I159" s="105">
        <f t="shared" si="47"/>
        <v>0</v>
      </c>
      <c r="J159" s="443"/>
      <c r="K159" s="382"/>
      <c r="L159" s="649"/>
      <c r="M159" s="382"/>
      <c r="N159" s="649"/>
      <c r="O159" s="586"/>
      <c r="P159" s="383"/>
      <c r="Q159" s="526"/>
      <c r="R159" s="381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802"/>
      <c r="C160" s="802"/>
      <c r="D160" s="373"/>
      <c r="E160" s="560"/>
      <c r="F160" s="556"/>
      <c r="G160" s="575"/>
      <c r="H160" s="556"/>
      <c r="I160" s="105">
        <f t="shared" si="47"/>
        <v>0</v>
      </c>
      <c r="J160" s="443"/>
      <c r="K160" s="382"/>
      <c r="L160" s="649"/>
      <c r="M160" s="382"/>
      <c r="N160" s="649"/>
      <c r="O160" s="586"/>
      <c r="P160" s="562"/>
      <c r="Q160" s="526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804"/>
      <c r="C161" s="802"/>
      <c r="D161" s="373"/>
      <c r="E161" s="560"/>
      <c r="F161" s="556"/>
      <c r="G161" s="575"/>
      <c r="H161" s="556"/>
      <c r="I161" s="105">
        <f t="shared" si="47"/>
        <v>0</v>
      </c>
      <c r="J161" s="443"/>
      <c r="K161" s="382"/>
      <c r="L161" s="649"/>
      <c r="M161" s="382"/>
      <c r="N161" s="649"/>
      <c r="O161" s="588"/>
      <c r="P161" s="562"/>
      <c r="Q161" s="526"/>
      <c r="R161" s="627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89"/>
      <c r="C162" s="577"/>
      <c r="D162" s="373"/>
      <c r="E162" s="558"/>
      <c r="F162" s="556"/>
      <c r="G162" s="575"/>
      <c r="H162" s="556"/>
      <c r="I162" s="105">
        <f t="shared" si="47"/>
        <v>0</v>
      </c>
      <c r="J162" s="443"/>
      <c r="K162" s="382"/>
      <c r="L162" s="649"/>
      <c r="M162" s="382"/>
      <c r="N162" s="649"/>
      <c r="O162" s="628"/>
      <c r="P162" s="562"/>
      <c r="Q162" s="526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3"/>
      <c r="C163" s="373"/>
      <c r="D163" s="373"/>
      <c r="E163" s="558"/>
      <c r="F163" s="556"/>
      <c r="G163" s="575"/>
      <c r="H163" s="556"/>
      <c r="I163" s="105">
        <f t="shared" si="47"/>
        <v>0</v>
      </c>
      <c r="J163" s="443"/>
      <c r="K163" s="382"/>
      <c r="L163" s="649"/>
      <c r="M163" s="382"/>
      <c r="N163" s="649"/>
      <c r="O163" s="588"/>
      <c r="P163" s="383"/>
      <c r="Q163" s="526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3"/>
      <c r="C164" s="373"/>
      <c r="D164" s="373"/>
      <c r="E164" s="558"/>
      <c r="F164" s="556"/>
      <c r="G164" s="575"/>
      <c r="H164" s="556"/>
      <c r="I164" s="105">
        <f t="shared" si="47"/>
        <v>0</v>
      </c>
      <c r="J164" s="443"/>
      <c r="K164" s="382"/>
      <c r="L164" s="649"/>
      <c r="M164" s="382"/>
      <c r="N164" s="649"/>
      <c r="O164" s="561"/>
      <c r="P164" s="383"/>
      <c r="Q164" s="526"/>
      <c r="R164" s="381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613"/>
      <c r="C165" s="373"/>
      <c r="D165" s="373"/>
      <c r="E165" s="558"/>
      <c r="F165" s="556"/>
      <c r="G165" s="575"/>
      <c r="H165" s="556"/>
      <c r="I165" s="105">
        <f t="shared" si="47"/>
        <v>0</v>
      </c>
      <c r="J165" s="443"/>
      <c r="K165" s="382"/>
      <c r="L165" s="649"/>
      <c r="M165" s="382"/>
      <c r="N165" s="982"/>
      <c r="O165" s="561"/>
      <c r="P165" s="383"/>
      <c r="Q165" s="526"/>
      <c r="R165" s="381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5"/>
      <c r="C166" s="373"/>
      <c r="D166" s="373"/>
      <c r="E166" s="558"/>
      <c r="F166" s="556"/>
      <c r="G166" s="575"/>
      <c r="H166" s="556"/>
      <c r="I166" s="105">
        <f t="shared" si="47"/>
        <v>0</v>
      </c>
      <c r="J166" s="447"/>
      <c r="K166" s="382"/>
      <c r="L166" s="649"/>
      <c r="M166" s="382"/>
      <c r="N166" s="983"/>
      <c r="O166" s="561"/>
      <c r="P166" s="383"/>
      <c r="Q166" s="526"/>
      <c r="R166" s="614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3"/>
      <c r="C167" s="373"/>
      <c r="D167" s="373"/>
      <c r="E167" s="558"/>
      <c r="F167" s="556"/>
      <c r="G167" s="575"/>
      <c r="H167" s="556"/>
      <c r="I167" s="105">
        <f t="shared" si="47"/>
        <v>0</v>
      </c>
      <c r="J167" s="447"/>
      <c r="K167" s="382"/>
      <c r="L167" s="649"/>
      <c r="M167" s="382"/>
      <c r="N167" s="984"/>
      <c r="O167" s="561"/>
      <c r="P167" s="562"/>
      <c r="Q167" s="526"/>
      <c r="R167" s="614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3"/>
      <c r="C168" s="373"/>
      <c r="D168" s="373"/>
      <c r="E168" s="558"/>
      <c r="F168" s="556"/>
      <c r="G168" s="575"/>
      <c r="H168" s="556"/>
      <c r="I168" s="105">
        <f t="shared" si="47"/>
        <v>0</v>
      </c>
      <c r="J168" s="275"/>
      <c r="K168" s="382"/>
      <c r="L168" s="649"/>
      <c r="M168" s="382"/>
      <c r="N168" s="981"/>
      <c r="O168" s="561"/>
      <c r="P168" s="383"/>
      <c r="Q168" s="526"/>
      <c r="R168" s="614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3"/>
      <c r="C169" s="373"/>
      <c r="D169" s="373"/>
      <c r="E169" s="558"/>
      <c r="F169" s="556"/>
      <c r="G169" s="575"/>
      <c r="H169" s="556"/>
      <c r="I169" s="105">
        <f t="shared" si="47"/>
        <v>0</v>
      </c>
      <c r="J169" s="275"/>
      <c r="K169" s="382"/>
      <c r="L169" s="649"/>
      <c r="M169" s="382"/>
      <c r="N169" s="981"/>
      <c r="O169" s="561"/>
      <c r="P169" s="383"/>
      <c r="Q169" s="526"/>
      <c r="R169" s="614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3"/>
      <c r="C170" s="373"/>
      <c r="D170" s="373"/>
      <c r="E170" s="558"/>
      <c r="F170" s="556"/>
      <c r="G170" s="575"/>
      <c r="H170" s="556"/>
      <c r="I170" s="105">
        <f t="shared" si="47"/>
        <v>0</v>
      </c>
      <c r="J170" s="275"/>
      <c r="K170" s="382"/>
      <c r="L170" s="649"/>
      <c r="M170" s="382"/>
      <c r="N170" s="924"/>
      <c r="O170" s="561"/>
      <c r="P170" s="383"/>
      <c r="Q170" s="526"/>
      <c r="R170" s="614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8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50"/>
      <c r="M171" s="223"/>
      <c r="N171" s="925"/>
      <c r="O171" s="390"/>
      <c r="P171" s="222"/>
      <c r="Q171" s="527"/>
      <c r="R171" s="658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50"/>
      <c r="M172" s="223"/>
      <c r="N172" s="925"/>
      <c r="O172" s="390"/>
      <c r="P172" s="222"/>
      <c r="Q172" s="527"/>
      <c r="R172" s="658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50"/>
      <c r="M173" s="223"/>
      <c r="N173" s="925"/>
      <c r="O173" s="390"/>
      <c r="P173" s="222"/>
      <c r="Q173" s="527"/>
      <c r="R173" s="658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50"/>
      <c r="M174" s="223"/>
      <c r="N174" s="925"/>
      <c r="O174" s="390"/>
      <c r="P174" s="222"/>
      <c r="Q174" s="527"/>
      <c r="R174" s="658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50"/>
      <c r="M175" s="223"/>
      <c r="N175" s="925"/>
      <c r="O175" s="390"/>
      <c r="P175" s="222"/>
      <c r="Q175" s="527"/>
      <c r="R175" s="658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50"/>
      <c r="M176" s="223"/>
      <c r="N176" s="925"/>
      <c r="O176" s="390"/>
      <c r="P176" s="222"/>
      <c r="Q176" s="527"/>
      <c r="R176" s="658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50"/>
      <c r="M177" s="223"/>
      <c r="N177" s="925"/>
      <c r="O177" s="390"/>
      <c r="P177" s="222"/>
      <c r="Q177" s="527"/>
      <c r="R177" s="658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50"/>
      <c r="M178" s="223"/>
      <c r="N178" s="926"/>
      <c r="O178" s="390"/>
      <c r="P178" s="222"/>
      <c r="Q178" s="528"/>
      <c r="R178" s="659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9"/>
      <c r="I179" s="105">
        <f t="shared" si="47"/>
        <v>0</v>
      </c>
      <c r="J179" s="177"/>
      <c r="K179" s="224"/>
      <c r="L179" s="650"/>
      <c r="M179" s="223"/>
      <c r="N179" s="926"/>
      <c r="O179" s="390"/>
      <c r="P179" s="222"/>
      <c r="Q179" s="528"/>
      <c r="R179" s="659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9"/>
      <c r="I180" s="105">
        <f t="shared" si="47"/>
        <v>0</v>
      </c>
      <c r="J180" s="177"/>
      <c r="K180" s="224"/>
      <c r="L180" s="650"/>
      <c r="M180" s="223"/>
      <c r="N180" s="926"/>
      <c r="O180" s="390"/>
      <c r="P180" s="222"/>
      <c r="Q180" s="528"/>
      <c r="R180" s="659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50"/>
      <c r="M181" s="71"/>
      <c r="N181" s="926"/>
      <c r="O181" s="127"/>
      <c r="P181" s="116"/>
      <c r="Q181" s="529"/>
      <c r="R181" s="660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50"/>
      <c r="M182" s="71"/>
      <c r="N182" s="926"/>
      <c r="O182" s="127"/>
      <c r="P182" s="116"/>
      <c r="Q182" s="530"/>
      <c r="R182" s="661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50"/>
      <c r="M183" s="71"/>
      <c r="N183" s="926"/>
      <c r="O183" s="127"/>
      <c r="P183" s="116"/>
      <c r="Q183" s="530"/>
      <c r="R183" s="661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50"/>
      <c r="M184" s="71"/>
      <c r="N184" s="926"/>
      <c r="O184" s="127"/>
      <c r="P184" s="116"/>
      <c r="Q184" s="530"/>
      <c r="R184" s="662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50"/>
      <c r="M185" s="71"/>
      <c r="N185" s="926"/>
      <c r="O185" s="127"/>
      <c r="P185" s="116"/>
      <c r="Q185" s="530"/>
      <c r="R185" s="662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50"/>
      <c r="M186" s="71"/>
      <c r="N186" s="926"/>
      <c r="O186" s="127"/>
      <c r="P186" s="116"/>
      <c r="Q186" s="394"/>
      <c r="R186" s="663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50"/>
      <c r="M187" s="71"/>
      <c r="N187" s="926"/>
      <c r="O187" s="127"/>
      <c r="P187" s="116"/>
      <c r="Q187" s="394"/>
      <c r="R187" s="663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50"/>
      <c r="M188" s="71"/>
      <c r="N188" s="926"/>
      <c r="O188" s="127"/>
      <c r="P188" s="116"/>
      <c r="Q188" s="394"/>
      <c r="R188" s="663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50"/>
      <c r="M189" s="71"/>
      <c r="N189" s="926"/>
      <c r="O189" s="127"/>
      <c r="P189" s="116"/>
      <c r="Q189" s="394"/>
      <c r="R189" s="663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50"/>
      <c r="M190" s="71"/>
      <c r="N190" s="926"/>
      <c r="O190" s="127"/>
      <c r="P190" s="116"/>
      <c r="Q190" s="394"/>
      <c r="R190" s="663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6"/>
      <c r="G191" s="100"/>
      <c r="H191" s="369"/>
      <c r="I191" s="105">
        <f t="shared" si="47"/>
        <v>0</v>
      </c>
      <c r="J191" s="177"/>
      <c r="K191" s="108"/>
      <c r="L191" s="650"/>
      <c r="M191" s="71"/>
      <c r="N191" s="926"/>
      <c r="O191" s="127"/>
      <c r="P191" s="116"/>
      <c r="Q191" s="531"/>
      <c r="R191" s="660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6"/>
      <c r="G192" s="100"/>
      <c r="H192" s="369"/>
      <c r="I192" s="105">
        <f t="shared" si="47"/>
        <v>0</v>
      </c>
      <c r="J192" s="177"/>
      <c r="K192" s="108"/>
      <c r="L192" s="650"/>
      <c r="M192" s="71"/>
      <c r="N192" s="926"/>
      <c r="O192" s="127"/>
      <c r="P192" s="116"/>
      <c r="Q192" s="531"/>
      <c r="R192" s="664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3"/>
      <c r="F193" s="446"/>
      <c r="G193" s="100"/>
      <c r="H193" s="369"/>
      <c r="I193" s="105">
        <f t="shared" si="47"/>
        <v>0</v>
      </c>
      <c r="J193" s="129"/>
      <c r="K193" s="162"/>
      <c r="L193" s="651"/>
      <c r="M193" s="71"/>
      <c r="N193" s="927"/>
      <c r="O193" s="127"/>
      <c r="P193" s="95"/>
      <c r="Q193" s="394"/>
      <c r="R193" s="665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50" t="s">
        <v>31</v>
      </c>
      <c r="G194" s="72">
        <f>SUM(G5:G193)</f>
        <v>4667</v>
      </c>
      <c r="H194" s="370">
        <f>SUM(H3:H193)</f>
        <v>954492.36000000045</v>
      </c>
      <c r="I194" s="468">
        <f>PIERNA!I37</f>
        <v>74.990000000001601</v>
      </c>
      <c r="J194" s="46"/>
      <c r="K194" s="164">
        <f>SUM(K5:K193)</f>
        <v>288107</v>
      </c>
      <c r="L194" s="652"/>
      <c r="M194" s="164">
        <f>SUM(M5:M193)</f>
        <v>839376</v>
      </c>
      <c r="N194" s="928"/>
      <c r="O194" s="391"/>
      <c r="P194" s="117"/>
      <c r="Q194" s="532">
        <f>SUM(Q5:Q193)</f>
        <v>31701637.762899995</v>
      </c>
      <c r="R194" s="666"/>
      <c r="S194" s="167">
        <f>Q194+M194+K194</f>
        <v>32829120.762899995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3"/>
      <c r="N195" s="929"/>
      <c r="O195" s="161"/>
      <c r="P195" s="95"/>
      <c r="Q195" s="394"/>
      <c r="R195" s="480" t="s">
        <v>42</v>
      </c>
    </row>
  </sheetData>
  <sortState ref="A101:AC105">
    <sortCondition ref="E99:E100"/>
  </sortState>
  <mergeCells count="39">
    <mergeCell ref="P135:P136"/>
    <mergeCell ref="R135:R136"/>
    <mergeCell ref="B151:B152"/>
    <mergeCell ref="O151:O152"/>
    <mergeCell ref="B143:B145"/>
    <mergeCell ref="O143:O145"/>
    <mergeCell ref="E143:E145"/>
    <mergeCell ref="B149:B150"/>
    <mergeCell ref="E149:E150"/>
    <mergeCell ref="O149:O150"/>
    <mergeCell ref="B147:B148"/>
    <mergeCell ref="B135:B136"/>
    <mergeCell ref="O135:O136"/>
    <mergeCell ref="B139:B141"/>
    <mergeCell ref="E139:E141"/>
    <mergeCell ref="O139:O141"/>
    <mergeCell ref="B128:B130"/>
    <mergeCell ref="E128:E130"/>
    <mergeCell ref="O128:O130"/>
    <mergeCell ref="B131:B132"/>
    <mergeCell ref="E131:E132"/>
    <mergeCell ref="O131:O132"/>
    <mergeCell ref="Q1:Q2"/>
    <mergeCell ref="K1:K2"/>
    <mergeCell ref="M1:M2"/>
    <mergeCell ref="B102:B103"/>
    <mergeCell ref="O102:O103"/>
    <mergeCell ref="R102:R103"/>
    <mergeCell ref="O122:O127"/>
    <mergeCell ref="R122:R127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80" t="s">
        <v>52</v>
      </c>
      <c r="B5" s="1281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280"/>
      <c r="B6" s="1281"/>
      <c r="C6" s="392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280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4475.93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4475.93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4475.93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4475.93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4475.93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4475.93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4475.93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4475.93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4475.93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4475.93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4475.93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4475.93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4475.93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4475.93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4475.93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4475.93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4475.93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4475.93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4475.93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4475.93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4475.93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4475.93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4475.93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4475.93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4475.93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-116</v>
      </c>
    </row>
    <row r="39" spans="1:9" ht="15.75" thickBot="1" x14ac:dyDescent="0.3"/>
    <row r="40" spans="1:9" ht="15.75" thickBot="1" x14ac:dyDescent="0.3">
      <c r="C40" s="1270" t="s">
        <v>11</v>
      </c>
      <c r="D40" s="1271"/>
      <c r="E40" s="57">
        <f>E5+E6-F35+E7</f>
        <v>4475.93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72" t="s">
        <v>144</v>
      </c>
      <c r="B1" s="1272"/>
      <c r="C1" s="1272"/>
      <c r="D1" s="1272"/>
      <c r="E1" s="1272"/>
      <c r="F1" s="1272"/>
      <c r="G1" s="1272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80"/>
      <c r="B5" s="1282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80"/>
      <c r="B6" s="1282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3"/>
      <c r="F10" s="702">
        <f t="shared" ref="F10:F33" si="0">D10</f>
        <v>0</v>
      </c>
      <c r="G10" s="700"/>
      <c r="H10" s="701"/>
      <c r="I10" s="734">
        <f>E4+E5+E6+E7-F10+E8</f>
        <v>0</v>
      </c>
      <c r="J10" s="735"/>
    </row>
    <row r="11" spans="1:10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  <c r="J11" s="735"/>
    </row>
    <row r="12" spans="1:10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  <c r="J12" s="735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  <c r="J13" s="735"/>
    </row>
    <row r="14" spans="1:10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  <c r="J14" s="735"/>
    </row>
    <row r="15" spans="1:10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  <c r="J15" s="735"/>
    </row>
    <row r="16" spans="1:10" x14ac:dyDescent="0.25">
      <c r="B16" s="235">
        <f t="shared" si="1"/>
        <v>0</v>
      </c>
      <c r="C16" s="15"/>
      <c r="D16" s="69"/>
      <c r="E16" s="733"/>
      <c r="F16" s="702">
        <f t="shared" si="0"/>
        <v>0</v>
      </c>
      <c r="G16" s="700"/>
      <c r="H16" s="701"/>
      <c r="I16" s="734">
        <f t="shared" si="2"/>
        <v>0</v>
      </c>
      <c r="J16" s="735"/>
    </row>
    <row r="17" spans="1:10" x14ac:dyDescent="0.25">
      <c r="B17" s="235">
        <f t="shared" si="1"/>
        <v>0</v>
      </c>
      <c r="C17" s="15"/>
      <c r="D17" s="69"/>
      <c r="E17" s="733"/>
      <c r="F17" s="702">
        <f t="shared" si="0"/>
        <v>0</v>
      </c>
      <c r="G17" s="700"/>
      <c r="H17" s="701"/>
      <c r="I17" s="734">
        <f t="shared" si="2"/>
        <v>0</v>
      </c>
      <c r="J17" s="735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0" t="s">
        <v>11</v>
      </c>
      <c r="D40" s="127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8"/>
  </cols>
  <sheetData>
    <row r="1" spans="1:9" ht="40.5" x14ac:dyDescent="0.55000000000000004">
      <c r="A1" s="1268" t="s">
        <v>323</v>
      </c>
      <c r="B1" s="1268"/>
      <c r="C1" s="1268"/>
      <c r="D1" s="1268"/>
      <c r="E1" s="1268"/>
      <c r="F1" s="1268"/>
      <c r="G1" s="1268"/>
      <c r="H1" s="11">
        <v>1</v>
      </c>
      <c r="I1" s="56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9"/>
    </row>
    <row r="4" spans="1:9" ht="15.75" thickTop="1" x14ac:dyDescent="0.25">
      <c r="A4" s="12"/>
      <c r="B4" s="1283" t="s">
        <v>128</v>
      </c>
      <c r="C4" s="12"/>
      <c r="D4" s="73"/>
      <c r="E4" s="59"/>
      <c r="F4" s="62"/>
      <c r="G4" s="155"/>
      <c r="H4" s="155"/>
      <c r="I4" s="569"/>
    </row>
    <row r="5" spans="1:9" ht="15" customHeight="1" x14ac:dyDescent="0.25">
      <c r="A5" s="1273" t="s">
        <v>52</v>
      </c>
      <c r="B5" s="1284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73"/>
      <c r="B6" s="1284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0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45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44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39">
        <v>106</v>
      </c>
      <c r="E14" s="840">
        <v>44869</v>
      </c>
      <c r="F14" s="839">
        <f t="shared" si="0"/>
        <v>106</v>
      </c>
      <c r="G14" s="841" t="s">
        <v>242</v>
      </c>
      <c r="H14" s="842">
        <v>86</v>
      </c>
      <c r="I14" s="60">
        <f t="shared" si="2"/>
        <v>1621.08</v>
      </c>
    </row>
    <row r="15" spans="1:9" x14ac:dyDescent="0.25">
      <c r="A15" s="73"/>
      <c r="B15" s="845">
        <f t="shared" si="1"/>
        <v>61</v>
      </c>
      <c r="C15" s="15">
        <v>4</v>
      </c>
      <c r="D15" s="839">
        <v>102.73</v>
      </c>
      <c r="E15" s="840">
        <v>44877</v>
      </c>
      <c r="F15" s="839">
        <f t="shared" si="0"/>
        <v>102.73</v>
      </c>
      <c r="G15" s="841" t="s">
        <v>270</v>
      </c>
      <c r="H15" s="842">
        <v>86</v>
      </c>
      <c r="I15" s="844">
        <f t="shared" si="2"/>
        <v>1518.35</v>
      </c>
    </row>
    <row r="16" spans="1:9" x14ac:dyDescent="0.25">
      <c r="B16" s="235">
        <f t="shared" si="1"/>
        <v>61</v>
      </c>
      <c r="C16" s="15"/>
      <c r="D16" s="537"/>
      <c r="E16" s="999"/>
      <c r="F16" s="995">
        <f t="shared" si="0"/>
        <v>0</v>
      </c>
      <c r="G16" s="996"/>
      <c r="H16" s="997"/>
      <c r="I16" s="736">
        <f t="shared" si="2"/>
        <v>1518.35</v>
      </c>
    </row>
    <row r="17" spans="1:9" x14ac:dyDescent="0.25">
      <c r="B17" s="235">
        <f t="shared" si="1"/>
        <v>61</v>
      </c>
      <c r="C17" s="15"/>
      <c r="D17" s="537"/>
      <c r="E17" s="999"/>
      <c r="F17" s="995">
        <f t="shared" si="0"/>
        <v>0</v>
      </c>
      <c r="G17" s="996"/>
      <c r="H17" s="997"/>
      <c r="I17" s="736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7"/>
      <c r="E18" s="999"/>
      <c r="F18" s="995">
        <f t="shared" si="0"/>
        <v>0</v>
      </c>
      <c r="G18" s="996"/>
      <c r="H18" s="997"/>
      <c r="I18" s="736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7"/>
      <c r="E19" s="999"/>
      <c r="F19" s="995">
        <f t="shared" si="0"/>
        <v>0</v>
      </c>
      <c r="G19" s="996"/>
      <c r="H19" s="997"/>
      <c r="I19" s="736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7"/>
      <c r="E20" s="999"/>
      <c r="F20" s="995">
        <f t="shared" si="0"/>
        <v>0</v>
      </c>
      <c r="G20" s="996"/>
      <c r="H20" s="997"/>
      <c r="I20" s="736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7"/>
      <c r="E21" s="999"/>
      <c r="F21" s="995">
        <f t="shared" si="0"/>
        <v>0</v>
      </c>
      <c r="G21" s="996"/>
      <c r="H21" s="997"/>
      <c r="I21" s="736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7"/>
      <c r="E22" s="999"/>
      <c r="F22" s="995">
        <f t="shared" si="0"/>
        <v>0</v>
      </c>
      <c r="G22" s="996"/>
      <c r="H22" s="997"/>
      <c r="I22" s="736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7"/>
      <c r="E23" s="999"/>
      <c r="F23" s="995">
        <f t="shared" si="0"/>
        <v>0</v>
      </c>
      <c r="G23" s="996"/>
      <c r="H23" s="997"/>
      <c r="I23" s="736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7"/>
      <c r="E24" s="999"/>
      <c r="F24" s="995">
        <f t="shared" si="0"/>
        <v>0</v>
      </c>
      <c r="G24" s="996"/>
      <c r="H24" s="997"/>
      <c r="I24" s="736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7"/>
      <c r="E25" s="999"/>
      <c r="F25" s="995">
        <f t="shared" si="0"/>
        <v>0</v>
      </c>
      <c r="G25" s="996"/>
      <c r="H25" s="997"/>
      <c r="I25" s="736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7"/>
      <c r="E26" s="999"/>
      <c r="F26" s="995">
        <f t="shared" si="0"/>
        <v>0</v>
      </c>
      <c r="G26" s="996"/>
      <c r="H26" s="997"/>
      <c r="I26" s="736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7"/>
      <c r="E27" s="999"/>
      <c r="F27" s="995">
        <v>0</v>
      </c>
      <c r="G27" s="996"/>
      <c r="H27" s="997"/>
      <c r="I27" s="736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7"/>
      <c r="E28" s="732"/>
      <c r="F28" s="537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7"/>
      <c r="E29" s="732"/>
      <c r="F29" s="537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270" t="s">
        <v>11</v>
      </c>
      <c r="D40" s="1271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73"/>
      <c r="B5" s="1285"/>
      <c r="C5" s="234"/>
      <c r="D5" s="134"/>
      <c r="E5" s="78"/>
      <c r="F5" s="62"/>
      <c r="G5" s="5"/>
      <c r="H5" t="s">
        <v>41</v>
      </c>
    </row>
    <row r="6" spans="1:9" ht="15.75" x14ac:dyDescent="0.25">
      <c r="A6" s="1273"/>
      <c r="B6" s="1285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2">
        <f t="shared" ref="F10:F33" si="0">D10</f>
        <v>0</v>
      </c>
      <c r="G10" s="700"/>
      <c r="H10" s="701"/>
      <c r="I10" s="734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2">
        <f t="shared" si="0"/>
        <v>0</v>
      </c>
      <c r="G16" s="700"/>
      <c r="H16" s="701"/>
      <c r="I16" s="734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0" t="s">
        <v>11</v>
      </c>
      <c r="D40" s="127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68" t="s">
        <v>324</v>
      </c>
      <c r="B1" s="1268"/>
      <c r="C1" s="1268"/>
      <c r="D1" s="1268"/>
      <c r="E1" s="1268"/>
      <c r="F1" s="1268"/>
      <c r="G1" s="1268"/>
      <c r="H1" s="11">
        <v>1</v>
      </c>
      <c r="K1" s="1272" t="s">
        <v>340</v>
      </c>
      <c r="L1" s="1272"/>
      <c r="M1" s="1272"/>
      <c r="N1" s="1272"/>
      <c r="O1" s="1272"/>
      <c r="P1" s="1272"/>
      <c r="Q1" s="127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280" t="s">
        <v>80</v>
      </c>
      <c r="B5" s="1285" t="s">
        <v>81</v>
      </c>
      <c r="C5" s="497">
        <v>43</v>
      </c>
      <c r="D5" s="578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  <c r="K5" s="1280" t="s">
        <v>80</v>
      </c>
      <c r="L5" s="1285" t="s">
        <v>81</v>
      </c>
      <c r="M5" s="497">
        <v>36</v>
      </c>
      <c r="N5" s="578">
        <v>44916</v>
      </c>
      <c r="O5" s="498">
        <v>511.68</v>
      </c>
      <c r="P5" s="499">
        <v>29</v>
      </c>
      <c r="Q5" s="88">
        <f>P36</f>
        <v>0</v>
      </c>
      <c r="R5" s="7">
        <f>O5-Q5+O4+O6</f>
        <v>511.68</v>
      </c>
    </row>
    <row r="6" spans="1:19" ht="15.75" customHeight="1" thickBot="1" x14ac:dyDescent="0.3">
      <c r="A6" s="1280"/>
      <c r="B6" s="1286"/>
      <c r="C6" s="156">
        <v>40</v>
      </c>
      <c r="D6" s="149">
        <v>44873</v>
      </c>
      <c r="E6" s="132">
        <v>513.49</v>
      </c>
      <c r="F6" s="73">
        <v>28</v>
      </c>
      <c r="K6" s="1280"/>
      <c r="L6" s="1286"/>
      <c r="M6" s="156"/>
      <c r="N6" s="149"/>
      <c r="O6" s="132"/>
      <c r="P6" s="73"/>
    </row>
    <row r="7" spans="1:19" ht="16.5" customHeight="1" thickTop="1" thickBot="1" x14ac:dyDescent="0.3">
      <c r="A7" s="73"/>
      <c r="B7" s="53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1"/>
      <c r="B8" s="535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  <c r="K8" s="481"/>
      <c r="L8" s="535">
        <f>P4+P5+P6-M8</f>
        <v>29</v>
      </c>
      <c r="M8" s="15"/>
      <c r="N8" s="69"/>
      <c r="O8" s="245"/>
      <c r="P8" s="105">
        <f t="shared" ref="P8:P21" si="1">N8</f>
        <v>0</v>
      </c>
      <c r="Q8" s="70"/>
      <c r="R8" s="71"/>
      <c r="S8" s="214">
        <f>O5-P8+O4+O6</f>
        <v>511.68</v>
      </c>
    </row>
    <row r="9" spans="1:19" ht="15" customHeight="1" x14ac:dyDescent="0.25">
      <c r="B9" s="536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  <c r="L9" s="536">
        <f>L8-M9</f>
        <v>29</v>
      </c>
      <c r="M9" s="53"/>
      <c r="N9" s="69"/>
      <c r="O9" s="245"/>
      <c r="P9" s="105">
        <f t="shared" si="1"/>
        <v>0</v>
      </c>
      <c r="Q9" s="70"/>
      <c r="R9" s="71"/>
      <c r="S9" s="214">
        <f>S8-P9</f>
        <v>511.68</v>
      </c>
    </row>
    <row r="10" spans="1:19" ht="15" customHeight="1" x14ac:dyDescent="0.25">
      <c r="B10" s="536">
        <f t="shared" ref="B10:B35" si="2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  <c r="L10" s="535">
        <f t="shared" ref="L10:L35" si="3">L9-M10</f>
        <v>29</v>
      </c>
      <c r="M10" s="821"/>
      <c r="N10" s="702"/>
      <c r="O10" s="846"/>
      <c r="P10" s="737">
        <f t="shared" si="1"/>
        <v>0</v>
      </c>
      <c r="Q10" s="700"/>
      <c r="R10" s="701"/>
      <c r="S10" s="847">
        <f>S9-P10</f>
        <v>511.68</v>
      </c>
    </row>
    <row r="11" spans="1:19" ht="15" customHeight="1" x14ac:dyDescent="0.25">
      <c r="A11" s="55" t="s">
        <v>33</v>
      </c>
      <c r="B11" s="987">
        <f t="shared" si="2"/>
        <v>29</v>
      </c>
      <c r="C11" s="988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86">
        <f t="shared" ref="I11:I34" si="4">I10-F11</f>
        <v>533.27</v>
      </c>
      <c r="K11" s="55" t="s">
        <v>33</v>
      </c>
      <c r="L11" s="535">
        <f t="shared" si="3"/>
        <v>29</v>
      </c>
      <c r="M11" s="988"/>
      <c r="N11" s="702"/>
      <c r="O11" s="846"/>
      <c r="P11" s="737">
        <f t="shared" si="1"/>
        <v>0</v>
      </c>
      <c r="Q11" s="700"/>
      <c r="R11" s="701"/>
      <c r="S11" s="847">
        <f t="shared" ref="S11:S34" si="5">S10-P11</f>
        <v>511.68</v>
      </c>
    </row>
    <row r="12" spans="1:19" ht="15" customHeight="1" x14ac:dyDescent="0.25">
      <c r="A12" s="19"/>
      <c r="B12" s="536">
        <f t="shared" si="2"/>
        <v>29</v>
      </c>
      <c r="C12" s="15"/>
      <c r="D12" s="537"/>
      <c r="E12" s="741"/>
      <c r="F12" s="742">
        <f t="shared" si="0"/>
        <v>0</v>
      </c>
      <c r="G12" s="330"/>
      <c r="H12" s="331"/>
      <c r="I12" s="214">
        <f t="shared" si="4"/>
        <v>533.27</v>
      </c>
      <c r="K12" s="19"/>
      <c r="L12" s="535">
        <f t="shared" si="3"/>
        <v>29</v>
      </c>
      <c r="M12" s="821"/>
      <c r="N12" s="995"/>
      <c r="O12" s="1000"/>
      <c r="P12" s="1001">
        <f t="shared" si="1"/>
        <v>0</v>
      </c>
      <c r="Q12" s="996"/>
      <c r="R12" s="997"/>
      <c r="S12" s="847">
        <f t="shared" si="5"/>
        <v>511.68</v>
      </c>
    </row>
    <row r="13" spans="1:19" ht="15" customHeight="1" x14ac:dyDescent="0.25">
      <c r="B13" s="536">
        <f t="shared" si="2"/>
        <v>29</v>
      </c>
      <c r="C13" s="15"/>
      <c r="D13" s="537"/>
      <c r="E13" s="741"/>
      <c r="F13" s="742">
        <f t="shared" si="0"/>
        <v>0</v>
      </c>
      <c r="G13" s="330"/>
      <c r="H13" s="331"/>
      <c r="I13" s="214">
        <f t="shared" si="4"/>
        <v>533.27</v>
      </c>
      <c r="L13" s="535">
        <f t="shared" si="3"/>
        <v>29</v>
      </c>
      <c r="M13" s="821"/>
      <c r="N13" s="995"/>
      <c r="O13" s="1000"/>
      <c r="P13" s="1001">
        <f t="shared" si="1"/>
        <v>0</v>
      </c>
      <c r="Q13" s="996"/>
      <c r="R13" s="997"/>
      <c r="S13" s="847">
        <f t="shared" si="5"/>
        <v>511.68</v>
      </c>
    </row>
    <row r="14" spans="1:19" ht="15" customHeight="1" x14ac:dyDescent="0.25">
      <c r="B14" s="536">
        <f t="shared" si="2"/>
        <v>29</v>
      </c>
      <c r="C14" s="53"/>
      <c r="D14" s="537"/>
      <c r="E14" s="741"/>
      <c r="F14" s="742">
        <f t="shared" si="0"/>
        <v>0</v>
      </c>
      <c r="G14" s="330"/>
      <c r="H14" s="331"/>
      <c r="I14" s="214">
        <f t="shared" si="4"/>
        <v>533.27</v>
      </c>
      <c r="L14" s="535">
        <f t="shared" si="3"/>
        <v>29</v>
      </c>
      <c r="M14" s="988"/>
      <c r="N14" s="995"/>
      <c r="O14" s="1000"/>
      <c r="P14" s="1001">
        <f t="shared" si="1"/>
        <v>0</v>
      </c>
      <c r="Q14" s="996"/>
      <c r="R14" s="997"/>
      <c r="S14" s="847">
        <f t="shared" si="5"/>
        <v>511.68</v>
      </c>
    </row>
    <row r="15" spans="1:19" ht="15" customHeight="1" x14ac:dyDescent="0.25">
      <c r="B15" s="536">
        <f t="shared" si="2"/>
        <v>29</v>
      </c>
      <c r="C15" s="53"/>
      <c r="D15" s="537"/>
      <c r="E15" s="741"/>
      <c r="F15" s="742">
        <f t="shared" si="0"/>
        <v>0</v>
      </c>
      <c r="G15" s="330"/>
      <c r="H15" s="331"/>
      <c r="I15" s="214">
        <f t="shared" si="4"/>
        <v>533.27</v>
      </c>
      <c r="L15" s="536">
        <f t="shared" si="3"/>
        <v>29</v>
      </c>
      <c r="M15" s="53"/>
      <c r="N15" s="537"/>
      <c r="O15" s="741"/>
      <c r="P15" s="742">
        <f t="shared" si="1"/>
        <v>0</v>
      </c>
      <c r="Q15" s="330"/>
      <c r="R15" s="331"/>
      <c r="S15" s="214">
        <f t="shared" si="5"/>
        <v>511.68</v>
      </c>
    </row>
    <row r="16" spans="1:19" ht="15" customHeight="1" x14ac:dyDescent="0.25">
      <c r="B16" s="536">
        <f t="shared" si="2"/>
        <v>29</v>
      </c>
      <c r="C16" s="15"/>
      <c r="D16" s="537"/>
      <c r="E16" s="741"/>
      <c r="F16" s="742">
        <f t="shared" ref="F16:F35" si="6">D16</f>
        <v>0</v>
      </c>
      <c r="G16" s="330"/>
      <c r="H16" s="331"/>
      <c r="I16" s="214">
        <f t="shared" si="4"/>
        <v>533.27</v>
      </c>
      <c r="L16" s="536">
        <f t="shared" si="3"/>
        <v>29</v>
      </c>
      <c r="M16" s="15"/>
      <c r="N16" s="537"/>
      <c r="O16" s="741"/>
      <c r="P16" s="742">
        <f t="shared" si="1"/>
        <v>0</v>
      </c>
      <c r="Q16" s="330"/>
      <c r="R16" s="331"/>
      <c r="S16" s="214">
        <f t="shared" si="5"/>
        <v>511.68</v>
      </c>
    </row>
    <row r="17" spans="1:19" ht="15" customHeight="1" x14ac:dyDescent="0.25">
      <c r="B17" s="536">
        <f t="shared" si="2"/>
        <v>29</v>
      </c>
      <c r="C17" s="15"/>
      <c r="D17" s="537"/>
      <c r="E17" s="741"/>
      <c r="F17" s="742">
        <f t="shared" si="6"/>
        <v>0</v>
      </c>
      <c r="G17" s="330"/>
      <c r="H17" s="331"/>
      <c r="I17" s="214">
        <f t="shared" si="4"/>
        <v>533.27</v>
      </c>
      <c r="L17" s="536">
        <f t="shared" si="3"/>
        <v>29</v>
      </c>
      <c r="M17" s="15"/>
      <c r="N17" s="537"/>
      <c r="O17" s="741"/>
      <c r="P17" s="742">
        <f t="shared" si="1"/>
        <v>0</v>
      </c>
      <c r="Q17" s="330"/>
      <c r="R17" s="331"/>
      <c r="S17" s="214">
        <f t="shared" si="5"/>
        <v>511.68</v>
      </c>
    </row>
    <row r="18" spans="1:19" ht="15" customHeight="1" x14ac:dyDescent="0.25">
      <c r="B18" s="536">
        <f t="shared" si="2"/>
        <v>29</v>
      </c>
      <c r="C18" s="15"/>
      <c r="D18" s="537"/>
      <c r="E18" s="741"/>
      <c r="F18" s="742">
        <f t="shared" si="6"/>
        <v>0</v>
      </c>
      <c r="G18" s="330"/>
      <c r="H18" s="331"/>
      <c r="I18" s="214">
        <f t="shared" si="4"/>
        <v>533.27</v>
      </c>
      <c r="L18" s="536">
        <f t="shared" si="3"/>
        <v>29</v>
      </c>
      <c r="M18" s="15"/>
      <c r="N18" s="537"/>
      <c r="O18" s="741"/>
      <c r="P18" s="742">
        <f t="shared" si="1"/>
        <v>0</v>
      </c>
      <c r="Q18" s="330"/>
      <c r="R18" s="331"/>
      <c r="S18" s="214">
        <f t="shared" si="5"/>
        <v>511.68</v>
      </c>
    </row>
    <row r="19" spans="1:19" ht="15" customHeight="1" x14ac:dyDescent="0.25">
      <c r="B19" s="536">
        <f t="shared" si="2"/>
        <v>29</v>
      </c>
      <c r="C19" s="15"/>
      <c r="D19" s="537"/>
      <c r="E19" s="741"/>
      <c r="F19" s="742">
        <f t="shared" si="6"/>
        <v>0</v>
      </c>
      <c r="G19" s="330"/>
      <c r="H19" s="331"/>
      <c r="I19" s="214">
        <f t="shared" si="4"/>
        <v>533.27</v>
      </c>
      <c r="L19" s="536">
        <f t="shared" si="3"/>
        <v>29</v>
      </c>
      <c r="M19" s="15"/>
      <c r="N19" s="537"/>
      <c r="O19" s="741"/>
      <c r="P19" s="742">
        <f t="shared" si="1"/>
        <v>0</v>
      </c>
      <c r="Q19" s="330"/>
      <c r="R19" s="331"/>
      <c r="S19" s="214">
        <f t="shared" si="5"/>
        <v>511.68</v>
      </c>
    </row>
    <row r="20" spans="1:19" ht="15" customHeight="1" x14ac:dyDescent="0.25">
      <c r="B20" s="536">
        <f t="shared" si="2"/>
        <v>29</v>
      </c>
      <c r="C20" s="15"/>
      <c r="D20" s="537"/>
      <c r="E20" s="741"/>
      <c r="F20" s="742">
        <f t="shared" si="6"/>
        <v>0</v>
      </c>
      <c r="G20" s="330"/>
      <c r="H20" s="331"/>
      <c r="I20" s="214">
        <f t="shared" si="4"/>
        <v>533.27</v>
      </c>
      <c r="L20" s="536">
        <f t="shared" si="3"/>
        <v>29</v>
      </c>
      <c r="M20" s="15"/>
      <c r="N20" s="537"/>
      <c r="O20" s="741"/>
      <c r="P20" s="742">
        <f t="shared" si="1"/>
        <v>0</v>
      </c>
      <c r="Q20" s="330"/>
      <c r="R20" s="331"/>
      <c r="S20" s="214">
        <f t="shared" si="5"/>
        <v>511.68</v>
      </c>
    </row>
    <row r="21" spans="1:19" ht="15" customHeight="1" x14ac:dyDescent="0.25">
      <c r="B21" s="536">
        <f t="shared" si="2"/>
        <v>29</v>
      </c>
      <c r="C21" s="15"/>
      <c r="D21" s="537"/>
      <c r="E21" s="741"/>
      <c r="F21" s="742">
        <f t="shared" si="6"/>
        <v>0</v>
      </c>
      <c r="G21" s="330"/>
      <c r="H21" s="331"/>
      <c r="I21" s="214">
        <f t="shared" si="4"/>
        <v>533.27</v>
      </c>
      <c r="L21" s="536">
        <f t="shared" si="3"/>
        <v>29</v>
      </c>
      <c r="M21" s="15"/>
      <c r="N21" s="537"/>
      <c r="O21" s="741"/>
      <c r="P21" s="742">
        <f t="shared" si="1"/>
        <v>0</v>
      </c>
      <c r="Q21" s="330"/>
      <c r="R21" s="331"/>
      <c r="S21" s="214">
        <f t="shared" si="5"/>
        <v>511.68</v>
      </c>
    </row>
    <row r="22" spans="1:19" ht="15" customHeight="1" x14ac:dyDescent="0.25">
      <c r="B22" s="536">
        <f t="shared" si="2"/>
        <v>29</v>
      </c>
      <c r="C22" s="15"/>
      <c r="D22" s="537"/>
      <c r="E22" s="741"/>
      <c r="F22" s="742">
        <f>D22</f>
        <v>0</v>
      </c>
      <c r="G22" s="330"/>
      <c r="H22" s="331"/>
      <c r="I22" s="214">
        <f t="shared" si="4"/>
        <v>533.27</v>
      </c>
      <c r="L22" s="536">
        <f t="shared" si="3"/>
        <v>29</v>
      </c>
      <c r="M22" s="15"/>
      <c r="N22" s="537"/>
      <c r="O22" s="741"/>
      <c r="P22" s="742">
        <f>N22</f>
        <v>0</v>
      </c>
      <c r="Q22" s="330"/>
      <c r="R22" s="331"/>
      <c r="S22" s="214">
        <f t="shared" si="5"/>
        <v>511.68</v>
      </c>
    </row>
    <row r="23" spans="1:19" ht="15" customHeight="1" x14ac:dyDescent="0.25">
      <c r="B23" s="536">
        <f t="shared" si="2"/>
        <v>29</v>
      </c>
      <c r="C23" s="15"/>
      <c r="D23" s="537"/>
      <c r="E23" s="741"/>
      <c r="F23" s="742">
        <f>D23</f>
        <v>0</v>
      </c>
      <c r="G23" s="330"/>
      <c r="H23" s="331"/>
      <c r="I23" s="214">
        <f t="shared" si="4"/>
        <v>533.27</v>
      </c>
      <c r="L23" s="536">
        <f t="shared" si="3"/>
        <v>29</v>
      </c>
      <c r="M23" s="15"/>
      <c r="N23" s="537"/>
      <c r="O23" s="741"/>
      <c r="P23" s="742">
        <f>N23</f>
        <v>0</v>
      </c>
      <c r="Q23" s="330"/>
      <c r="R23" s="331"/>
      <c r="S23" s="214">
        <f t="shared" si="5"/>
        <v>511.68</v>
      </c>
    </row>
    <row r="24" spans="1:19" ht="15" customHeight="1" x14ac:dyDescent="0.25">
      <c r="B24" s="536">
        <f t="shared" si="2"/>
        <v>29</v>
      </c>
      <c r="C24" s="15"/>
      <c r="D24" s="537"/>
      <c r="E24" s="741"/>
      <c r="F24" s="742">
        <f>D24</f>
        <v>0</v>
      </c>
      <c r="G24" s="330"/>
      <c r="H24" s="331"/>
      <c r="I24" s="214">
        <f t="shared" si="4"/>
        <v>533.27</v>
      </c>
      <c r="L24" s="536">
        <f t="shared" si="3"/>
        <v>29</v>
      </c>
      <c r="M24" s="15"/>
      <c r="N24" s="537"/>
      <c r="O24" s="741"/>
      <c r="P24" s="742">
        <f>N24</f>
        <v>0</v>
      </c>
      <c r="Q24" s="330"/>
      <c r="R24" s="331"/>
      <c r="S24" s="214">
        <f t="shared" si="5"/>
        <v>511.68</v>
      </c>
    </row>
    <row r="25" spans="1:19" ht="15" customHeight="1" x14ac:dyDescent="0.25">
      <c r="B25" s="536">
        <f t="shared" si="2"/>
        <v>29</v>
      </c>
      <c r="C25" s="15"/>
      <c r="D25" s="537"/>
      <c r="E25" s="741"/>
      <c r="F25" s="742">
        <f>D25</f>
        <v>0</v>
      </c>
      <c r="G25" s="330"/>
      <c r="H25" s="331"/>
      <c r="I25" s="214">
        <f t="shared" si="4"/>
        <v>533.27</v>
      </c>
      <c r="L25" s="536">
        <f t="shared" si="3"/>
        <v>29</v>
      </c>
      <c r="M25" s="15"/>
      <c r="N25" s="537"/>
      <c r="O25" s="741"/>
      <c r="P25" s="742">
        <f>N25</f>
        <v>0</v>
      </c>
      <c r="Q25" s="330"/>
      <c r="R25" s="331"/>
      <c r="S25" s="214">
        <f t="shared" si="5"/>
        <v>511.68</v>
      </c>
    </row>
    <row r="26" spans="1:19" ht="15" customHeight="1" x14ac:dyDescent="0.25">
      <c r="B26" s="536">
        <f t="shared" si="2"/>
        <v>29</v>
      </c>
      <c r="C26" s="15"/>
      <c r="D26" s="537"/>
      <c r="E26" s="1000"/>
      <c r="F26" s="1001">
        <f>D26</f>
        <v>0</v>
      </c>
      <c r="G26" s="996"/>
      <c r="H26" s="997"/>
      <c r="I26" s="847">
        <f t="shared" si="4"/>
        <v>533.27</v>
      </c>
      <c r="L26" s="536">
        <f t="shared" si="3"/>
        <v>29</v>
      </c>
      <c r="M26" s="15"/>
      <c r="N26" s="537"/>
      <c r="O26" s="1000"/>
      <c r="P26" s="1001">
        <f>N26</f>
        <v>0</v>
      </c>
      <c r="Q26" s="996"/>
      <c r="R26" s="997"/>
      <c r="S26" s="847">
        <f t="shared" si="5"/>
        <v>511.68</v>
      </c>
    </row>
    <row r="27" spans="1:19" ht="15" customHeight="1" x14ac:dyDescent="0.25">
      <c r="B27" s="536">
        <f t="shared" si="2"/>
        <v>29</v>
      </c>
      <c r="C27" s="15"/>
      <c r="D27" s="537">
        <v>0</v>
      </c>
      <c r="E27" s="1000"/>
      <c r="F27" s="1001">
        <f t="shared" si="6"/>
        <v>0</v>
      </c>
      <c r="G27" s="996"/>
      <c r="H27" s="997"/>
      <c r="I27" s="847">
        <f t="shared" si="4"/>
        <v>533.27</v>
      </c>
      <c r="L27" s="536">
        <f t="shared" si="3"/>
        <v>29</v>
      </c>
      <c r="M27" s="15"/>
      <c r="N27" s="537">
        <v>0</v>
      </c>
      <c r="O27" s="1000"/>
      <c r="P27" s="1001">
        <f t="shared" ref="P27:P35" si="7">N27</f>
        <v>0</v>
      </c>
      <c r="Q27" s="996"/>
      <c r="R27" s="997"/>
      <c r="S27" s="847">
        <f t="shared" si="5"/>
        <v>511.68</v>
      </c>
    </row>
    <row r="28" spans="1:19" ht="15" customHeight="1" x14ac:dyDescent="0.25">
      <c r="A28" s="47"/>
      <c r="B28" s="536">
        <f t="shared" si="2"/>
        <v>29</v>
      </c>
      <c r="C28" s="15"/>
      <c r="D28" s="537">
        <v>0</v>
      </c>
      <c r="E28" s="1000"/>
      <c r="F28" s="1001">
        <f t="shared" si="6"/>
        <v>0</v>
      </c>
      <c r="G28" s="996"/>
      <c r="H28" s="997"/>
      <c r="I28" s="847">
        <f t="shared" si="4"/>
        <v>533.27</v>
      </c>
      <c r="K28" s="47"/>
      <c r="L28" s="536">
        <f t="shared" si="3"/>
        <v>29</v>
      </c>
      <c r="M28" s="15"/>
      <c r="N28" s="537">
        <v>0</v>
      </c>
      <c r="O28" s="1000"/>
      <c r="P28" s="1001">
        <f t="shared" si="7"/>
        <v>0</v>
      </c>
      <c r="Q28" s="996"/>
      <c r="R28" s="997"/>
      <c r="S28" s="847">
        <f t="shared" si="5"/>
        <v>511.68</v>
      </c>
    </row>
    <row r="29" spans="1:19" ht="15" customHeight="1" x14ac:dyDescent="0.25">
      <c r="A29" s="47"/>
      <c r="B29" s="536">
        <f t="shared" si="2"/>
        <v>29</v>
      </c>
      <c r="C29" s="15"/>
      <c r="D29" s="537">
        <v>0</v>
      </c>
      <c r="E29" s="1000"/>
      <c r="F29" s="1001">
        <f t="shared" si="6"/>
        <v>0</v>
      </c>
      <c r="G29" s="996"/>
      <c r="H29" s="997"/>
      <c r="I29" s="847">
        <f t="shared" si="4"/>
        <v>533.27</v>
      </c>
      <c r="K29" s="47"/>
      <c r="L29" s="536">
        <f t="shared" si="3"/>
        <v>29</v>
      </c>
      <c r="M29" s="15"/>
      <c r="N29" s="537">
        <v>0</v>
      </c>
      <c r="O29" s="1000"/>
      <c r="P29" s="1001">
        <f t="shared" si="7"/>
        <v>0</v>
      </c>
      <c r="Q29" s="996"/>
      <c r="R29" s="997"/>
      <c r="S29" s="847">
        <f t="shared" si="5"/>
        <v>511.68</v>
      </c>
    </row>
    <row r="30" spans="1:19" ht="15" customHeight="1" x14ac:dyDescent="0.25">
      <c r="A30" s="47"/>
      <c r="B30" s="536">
        <f t="shared" si="2"/>
        <v>29</v>
      </c>
      <c r="C30" s="15"/>
      <c r="D30" s="537">
        <v>0</v>
      </c>
      <c r="E30" s="1000"/>
      <c r="F30" s="1001">
        <f t="shared" si="6"/>
        <v>0</v>
      </c>
      <c r="G30" s="996"/>
      <c r="H30" s="997"/>
      <c r="I30" s="847">
        <f t="shared" si="4"/>
        <v>533.27</v>
      </c>
      <c r="K30" s="47"/>
      <c r="L30" s="536">
        <f t="shared" si="3"/>
        <v>29</v>
      </c>
      <c r="M30" s="15"/>
      <c r="N30" s="537">
        <v>0</v>
      </c>
      <c r="O30" s="1000"/>
      <c r="P30" s="1001">
        <f t="shared" si="7"/>
        <v>0</v>
      </c>
      <c r="Q30" s="996"/>
      <c r="R30" s="997"/>
      <c r="S30" s="847">
        <f t="shared" si="5"/>
        <v>511.68</v>
      </c>
    </row>
    <row r="31" spans="1:19" ht="15" customHeight="1" x14ac:dyDescent="0.25">
      <c r="A31" s="47"/>
      <c r="B31" s="536">
        <f t="shared" si="2"/>
        <v>29</v>
      </c>
      <c r="C31" s="15"/>
      <c r="D31" s="537">
        <v>0</v>
      </c>
      <c r="E31" s="741"/>
      <c r="F31" s="742">
        <f t="shared" si="6"/>
        <v>0</v>
      </c>
      <c r="G31" s="330"/>
      <c r="H31" s="331"/>
      <c r="I31" s="214">
        <f t="shared" si="4"/>
        <v>533.27</v>
      </c>
      <c r="K31" s="47"/>
      <c r="L31" s="536">
        <f t="shared" si="3"/>
        <v>29</v>
      </c>
      <c r="M31" s="15"/>
      <c r="N31" s="537">
        <v>0</v>
      </c>
      <c r="O31" s="741"/>
      <c r="P31" s="742">
        <f t="shared" si="7"/>
        <v>0</v>
      </c>
      <c r="Q31" s="330"/>
      <c r="R31" s="331"/>
      <c r="S31" s="214">
        <f t="shared" si="5"/>
        <v>511.68</v>
      </c>
    </row>
    <row r="32" spans="1:19" ht="15" customHeight="1" x14ac:dyDescent="0.25">
      <c r="A32" s="47"/>
      <c r="B32" s="536">
        <f t="shared" si="2"/>
        <v>29</v>
      </c>
      <c r="C32" s="15"/>
      <c r="D32" s="537">
        <v>0</v>
      </c>
      <c r="E32" s="741"/>
      <c r="F32" s="742">
        <f t="shared" si="6"/>
        <v>0</v>
      </c>
      <c r="G32" s="330"/>
      <c r="H32" s="331"/>
      <c r="I32" s="214">
        <f t="shared" si="4"/>
        <v>533.27</v>
      </c>
      <c r="K32" s="47"/>
      <c r="L32" s="536">
        <f t="shared" si="3"/>
        <v>29</v>
      </c>
      <c r="M32" s="15"/>
      <c r="N32" s="537">
        <v>0</v>
      </c>
      <c r="O32" s="741"/>
      <c r="P32" s="742">
        <f t="shared" si="7"/>
        <v>0</v>
      </c>
      <c r="Q32" s="330"/>
      <c r="R32" s="331"/>
      <c r="S32" s="214">
        <f t="shared" si="5"/>
        <v>511.68</v>
      </c>
    </row>
    <row r="33" spans="1:19" ht="15" customHeight="1" x14ac:dyDescent="0.25">
      <c r="A33" s="47"/>
      <c r="B33" s="536">
        <f t="shared" si="2"/>
        <v>29</v>
      </c>
      <c r="C33" s="15"/>
      <c r="D33" s="69">
        <v>0</v>
      </c>
      <c r="E33" s="245"/>
      <c r="F33" s="105">
        <f t="shared" si="6"/>
        <v>0</v>
      </c>
      <c r="G33" s="70"/>
      <c r="H33" s="71"/>
      <c r="I33" s="214">
        <f t="shared" si="4"/>
        <v>533.27</v>
      </c>
      <c r="K33" s="47"/>
      <c r="L33" s="536">
        <f t="shared" si="3"/>
        <v>29</v>
      </c>
      <c r="M33" s="15"/>
      <c r="N33" s="69">
        <v>0</v>
      </c>
      <c r="O33" s="245"/>
      <c r="P33" s="105">
        <f t="shared" si="7"/>
        <v>0</v>
      </c>
      <c r="Q33" s="70"/>
      <c r="R33" s="71"/>
      <c r="S33" s="214">
        <f t="shared" si="5"/>
        <v>511.68</v>
      </c>
    </row>
    <row r="34" spans="1:19" ht="15" customHeight="1" x14ac:dyDescent="0.25">
      <c r="A34" s="47"/>
      <c r="B34" s="536">
        <f t="shared" si="2"/>
        <v>29</v>
      </c>
      <c r="C34" s="15"/>
      <c r="D34" s="69">
        <v>0</v>
      </c>
      <c r="E34" s="245"/>
      <c r="F34" s="105">
        <f t="shared" si="6"/>
        <v>0</v>
      </c>
      <c r="G34" s="70"/>
      <c r="H34" s="71"/>
      <c r="I34" s="214">
        <f t="shared" si="4"/>
        <v>533.27</v>
      </c>
      <c r="K34" s="47"/>
      <c r="L34" s="536">
        <f t="shared" si="3"/>
        <v>29</v>
      </c>
      <c r="M34" s="15"/>
      <c r="N34" s="69">
        <v>0</v>
      </c>
      <c r="O34" s="245"/>
      <c r="P34" s="105">
        <f t="shared" si="7"/>
        <v>0</v>
      </c>
      <c r="Q34" s="70"/>
      <c r="R34" s="71"/>
      <c r="S34" s="214">
        <f t="shared" si="5"/>
        <v>511.68</v>
      </c>
    </row>
    <row r="35" spans="1:19" ht="15.75" thickBot="1" x14ac:dyDescent="0.3">
      <c r="A35" s="121"/>
      <c r="B35" s="536">
        <f t="shared" si="2"/>
        <v>29</v>
      </c>
      <c r="C35" s="37"/>
      <c r="D35" s="69">
        <v>0</v>
      </c>
      <c r="E35" s="203"/>
      <c r="F35" s="105">
        <f t="shared" si="6"/>
        <v>0</v>
      </c>
      <c r="G35" s="139"/>
      <c r="H35" s="198"/>
      <c r="I35" s="237"/>
      <c r="K35" s="121"/>
      <c r="L35" s="536">
        <f t="shared" si="3"/>
        <v>29</v>
      </c>
      <c r="M35" s="37"/>
      <c r="N35" s="69">
        <v>0</v>
      </c>
      <c r="O35" s="203"/>
      <c r="P35" s="105">
        <f t="shared" si="7"/>
        <v>0</v>
      </c>
      <c r="Q35" s="139"/>
      <c r="R35" s="198"/>
      <c r="S35" s="237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34"/>
      <c r="D38" s="1257" t="s">
        <v>21</v>
      </c>
      <c r="E38" s="1258"/>
      <c r="F38" s="141">
        <f>E4+E5-F36+E6</f>
        <v>533.27</v>
      </c>
      <c r="L38" s="534"/>
      <c r="N38" s="1257" t="s">
        <v>21</v>
      </c>
      <c r="O38" s="1258"/>
      <c r="P38" s="141">
        <f>O4+O5-P36+O6</f>
        <v>511.68</v>
      </c>
    </row>
    <row r="39" spans="1:19" ht="15.75" thickBot="1" x14ac:dyDescent="0.3">
      <c r="A39" s="125"/>
      <c r="D39" s="263" t="s">
        <v>4</v>
      </c>
      <c r="E39" s="264"/>
      <c r="F39" s="49">
        <f>F4+F5-C36+F6</f>
        <v>29</v>
      </c>
      <c r="K39" s="125"/>
      <c r="N39" s="1126" t="s">
        <v>4</v>
      </c>
      <c r="O39" s="1127"/>
      <c r="P39" s="49">
        <f>P4+P5-M36+P6</f>
        <v>29</v>
      </c>
    </row>
    <row r="40" spans="1:19" x14ac:dyDescent="0.25">
      <c r="B40" s="534"/>
      <c r="L40" s="534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73"/>
      <c r="B5" s="1287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73"/>
      <c r="B6" s="1288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37">
        <f t="shared" si="0"/>
        <v>0</v>
      </c>
      <c r="G9" s="700"/>
      <c r="H9" s="701"/>
      <c r="I9" s="738">
        <f>I8-F9</f>
        <v>0</v>
      </c>
      <c r="J9" s="739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37">
        <f t="shared" si="0"/>
        <v>0</v>
      </c>
      <c r="G10" s="700"/>
      <c r="H10" s="701"/>
      <c r="I10" s="738">
        <f t="shared" ref="I10:I38" si="3">I9-F10</f>
        <v>0</v>
      </c>
      <c r="J10" s="739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37">
        <f t="shared" si="0"/>
        <v>0</v>
      </c>
      <c r="G11" s="700"/>
      <c r="H11" s="701"/>
      <c r="I11" s="738">
        <f t="shared" si="3"/>
        <v>0</v>
      </c>
      <c r="J11" s="739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37">
        <f t="shared" si="0"/>
        <v>0</v>
      </c>
      <c r="G12" s="700"/>
      <c r="H12" s="701"/>
      <c r="I12" s="738">
        <f t="shared" si="3"/>
        <v>0</v>
      </c>
      <c r="J12" s="739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37">
        <f t="shared" si="0"/>
        <v>0</v>
      </c>
      <c r="G13" s="700"/>
      <c r="H13" s="701"/>
      <c r="I13" s="738">
        <f t="shared" si="3"/>
        <v>0</v>
      </c>
      <c r="J13" s="739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37">
        <f t="shared" si="0"/>
        <v>0</v>
      </c>
      <c r="G14" s="700"/>
      <c r="H14" s="701"/>
      <c r="I14" s="738">
        <f t="shared" si="3"/>
        <v>0</v>
      </c>
      <c r="J14" s="739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57" t="s">
        <v>21</v>
      </c>
      <c r="E42" s="1258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7" sqref="D16: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273" t="s">
        <v>97</v>
      </c>
      <c r="B5" s="1289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0</v>
      </c>
      <c r="H5" s="7">
        <f>E5-G5+E4+E6</f>
        <v>1728.79</v>
      </c>
    </row>
    <row r="6" spans="1:15" ht="16.5" thickBot="1" x14ac:dyDescent="0.3">
      <c r="A6" s="1273"/>
      <c r="B6" s="1290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65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1728.79</v>
      </c>
      <c r="J8" s="455">
        <f>H8*F8</f>
        <v>0</v>
      </c>
    </row>
    <row r="9" spans="1:15" x14ac:dyDescent="0.25">
      <c r="B9" s="182">
        <f>B8-C9</f>
        <v>65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1728.79</v>
      </c>
      <c r="J9" s="455">
        <f t="shared" ref="J9:J28" si="1">H9*F9</f>
        <v>0</v>
      </c>
    </row>
    <row r="10" spans="1:15" x14ac:dyDescent="0.25">
      <c r="B10" s="182">
        <f t="shared" ref="B10:B27" si="2">B9-C10</f>
        <v>65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1728.79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65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1728.79</v>
      </c>
      <c r="J11" s="455">
        <f t="shared" si="1"/>
        <v>0</v>
      </c>
    </row>
    <row r="12" spans="1:15" x14ac:dyDescent="0.25">
      <c r="B12" s="182">
        <f t="shared" si="2"/>
        <v>65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1728.79</v>
      </c>
      <c r="J12" s="455">
        <f t="shared" si="1"/>
        <v>0</v>
      </c>
    </row>
    <row r="13" spans="1:15" x14ac:dyDescent="0.25">
      <c r="A13" s="19"/>
      <c r="B13" s="182">
        <f t="shared" si="2"/>
        <v>65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1728.79</v>
      </c>
      <c r="J13" s="455">
        <f t="shared" si="1"/>
        <v>0</v>
      </c>
    </row>
    <row r="14" spans="1:15" x14ac:dyDescent="0.25">
      <c r="A14" s="19"/>
      <c r="B14" s="182">
        <f t="shared" si="2"/>
        <v>65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1728.79</v>
      </c>
      <c r="J14" s="455">
        <f t="shared" si="1"/>
        <v>0</v>
      </c>
    </row>
    <row r="15" spans="1:15" x14ac:dyDescent="0.25">
      <c r="A15" s="19"/>
      <c r="B15" s="182">
        <f t="shared" si="2"/>
        <v>65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1728.79</v>
      </c>
      <c r="J15" s="455">
        <f t="shared" si="1"/>
        <v>0</v>
      </c>
    </row>
    <row r="16" spans="1:15" x14ac:dyDescent="0.25">
      <c r="A16" s="19"/>
      <c r="B16" s="182">
        <f t="shared" si="2"/>
        <v>65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1728.79</v>
      </c>
      <c r="J16" s="455">
        <f t="shared" si="1"/>
        <v>0</v>
      </c>
    </row>
    <row r="17" spans="1:10" x14ac:dyDescent="0.25">
      <c r="A17" s="19"/>
      <c r="B17" s="182">
        <f t="shared" si="2"/>
        <v>65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1728.79</v>
      </c>
      <c r="J17" s="455">
        <f t="shared" si="1"/>
        <v>0</v>
      </c>
    </row>
    <row r="18" spans="1:10" x14ac:dyDescent="0.25">
      <c r="A18" s="19"/>
      <c r="B18" s="182">
        <f t="shared" si="2"/>
        <v>65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1728.79</v>
      </c>
      <c r="J18" s="455">
        <f t="shared" si="1"/>
        <v>0</v>
      </c>
    </row>
    <row r="19" spans="1:10" x14ac:dyDescent="0.25">
      <c r="A19" s="19"/>
      <c r="B19" s="182">
        <f t="shared" si="2"/>
        <v>65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1728.79</v>
      </c>
      <c r="J19" s="455">
        <f t="shared" si="1"/>
        <v>0</v>
      </c>
    </row>
    <row r="20" spans="1:10" x14ac:dyDescent="0.25">
      <c r="A20" s="19"/>
      <c r="B20" s="182">
        <f t="shared" si="2"/>
        <v>65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1728.79</v>
      </c>
      <c r="J20" s="455">
        <f t="shared" si="1"/>
        <v>0</v>
      </c>
    </row>
    <row r="21" spans="1:10" x14ac:dyDescent="0.25">
      <c r="A21" s="19"/>
      <c r="B21" s="182">
        <f t="shared" si="2"/>
        <v>65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1728.79</v>
      </c>
      <c r="J21" s="455">
        <f t="shared" si="1"/>
        <v>0</v>
      </c>
    </row>
    <row r="22" spans="1:10" x14ac:dyDescent="0.25">
      <c r="A22" s="19"/>
      <c r="B22" s="182">
        <f t="shared" si="2"/>
        <v>65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1728.79</v>
      </c>
      <c r="J22" s="455">
        <f t="shared" si="1"/>
        <v>0</v>
      </c>
    </row>
    <row r="23" spans="1:10" x14ac:dyDescent="0.25">
      <c r="A23" s="19"/>
      <c r="B23" s="182">
        <f t="shared" si="2"/>
        <v>65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1728.79</v>
      </c>
      <c r="J23" s="455">
        <f t="shared" si="1"/>
        <v>0</v>
      </c>
    </row>
    <row r="24" spans="1:10" x14ac:dyDescent="0.25">
      <c r="A24" s="19"/>
      <c r="B24" s="182">
        <f t="shared" si="2"/>
        <v>65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1728.79</v>
      </c>
      <c r="J24" s="455">
        <f t="shared" si="1"/>
        <v>0</v>
      </c>
    </row>
    <row r="25" spans="1:10" x14ac:dyDescent="0.25">
      <c r="A25" s="19"/>
      <c r="B25" s="182">
        <f t="shared" si="2"/>
        <v>65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1728.79</v>
      </c>
      <c r="J25" s="455">
        <f t="shared" si="1"/>
        <v>0</v>
      </c>
    </row>
    <row r="26" spans="1:10" x14ac:dyDescent="0.25">
      <c r="A26" s="19"/>
      <c r="B26" s="182">
        <f t="shared" si="2"/>
        <v>65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1728.79</v>
      </c>
      <c r="J26" s="455">
        <f t="shared" si="1"/>
        <v>0</v>
      </c>
    </row>
    <row r="27" spans="1:10" x14ac:dyDescent="0.25">
      <c r="B27" s="182">
        <f t="shared" si="2"/>
        <v>65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1728.79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57" t="s">
        <v>21</v>
      </c>
      <c r="E31" s="1258"/>
      <c r="F31" s="141">
        <f>E4+E5-F29+E6</f>
        <v>1728.79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65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91" t="s">
        <v>85</v>
      </c>
      <c r="C4" s="128"/>
      <c r="D4" s="134"/>
      <c r="E4" s="180"/>
      <c r="F4" s="137"/>
      <c r="G4" s="38"/>
    </row>
    <row r="5" spans="1:15" ht="15.75" x14ac:dyDescent="0.25">
      <c r="A5" s="1273"/>
      <c r="B5" s="1289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7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57" t="s">
        <v>21</v>
      </c>
      <c r="E31" s="1258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257" t="s">
        <v>21</v>
      </c>
      <c r="E31" s="1258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61"/>
      <c r="B1" s="1261"/>
      <c r="C1" s="1261"/>
      <c r="D1" s="1261"/>
      <c r="E1" s="1261"/>
      <c r="F1" s="1261"/>
      <c r="G1" s="126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80" t="s">
        <v>95</v>
      </c>
      <c r="B5" s="129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80"/>
      <c r="B6" s="129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57" t="s">
        <v>21</v>
      </c>
      <c r="E32" s="1258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31" zoomScaleNormal="100" workbookViewId="0">
      <selection activeCell="RH6" sqref="RH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267" t="s">
        <v>319</v>
      </c>
      <c r="L1" s="1267"/>
      <c r="M1" s="1267"/>
      <c r="N1" s="1267"/>
      <c r="O1" s="1267"/>
      <c r="P1" s="1267"/>
      <c r="Q1" s="1267"/>
      <c r="R1" s="269">
        <f>I1+1</f>
        <v>1</v>
      </c>
      <c r="S1" s="269"/>
      <c r="U1" s="1261" t="str">
        <f>K1</f>
        <v>ENTRADA DEL MES DE    DICIEMBRE    2022</v>
      </c>
      <c r="V1" s="1261"/>
      <c r="W1" s="1261"/>
      <c r="X1" s="1261"/>
      <c r="Y1" s="1261"/>
      <c r="Z1" s="1261"/>
      <c r="AA1" s="1261"/>
      <c r="AB1" s="269">
        <f>R1+1</f>
        <v>2</v>
      </c>
      <c r="AC1" s="395"/>
      <c r="AE1" s="1261" t="str">
        <f>U1</f>
        <v>ENTRADA DEL MES DE    DICIEMBRE    2022</v>
      </c>
      <c r="AF1" s="1261"/>
      <c r="AG1" s="1261"/>
      <c r="AH1" s="1261"/>
      <c r="AI1" s="1261"/>
      <c r="AJ1" s="1261"/>
      <c r="AK1" s="1261"/>
      <c r="AL1" s="269">
        <f>AB1+1</f>
        <v>3</v>
      </c>
      <c r="AM1" s="269"/>
      <c r="AO1" s="1261" t="str">
        <f>AE1</f>
        <v>ENTRADA DEL MES DE    DICIEMBRE    2022</v>
      </c>
      <c r="AP1" s="1261"/>
      <c r="AQ1" s="1261"/>
      <c r="AR1" s="1261"/>
      <c r="AS1" s="1261"/>
      <c r="AT1" s="1261"/>
      <c r="AU1" s="1261"/>
      <c r="AV1" s="269">
        <f>AL1+1</f>
        <v>4</v>
      </c>
      <c r="AW1" s="395"/>
      <c r="AY1" s="1261" t="str">
        <f>AO1</f>
        <v>ENTRADA DEL MES DE    DICIEMBRE    2022</v>
      </c>
      <c r="AZ1" s="1261"/>
      <c r="BA1" s="1261"/>
      <c r="BB1" s="1261"/>
      <c r="BC1" s="1261"/>
      <c r="BD1" s="1261"/>
      <c r="BE1" s="1261"/>
      <c r="BF1" s="269">
        <f>AV1+1</f>
        <v>5</v>
      </c>
      <c r="BG1" s="411"/>
      <c r="BI1" s="1261" t="str">
        <f>AY1</f>
        <v>ENTRADA DEL MES DE    DICIEMBRE    2022</v>
      </c>
      <c r="BJ1" s="1261"/>
      <c r="BK1" s="1261"/>
      <c r="BL1" s="1261"/>
      <c r="BM1" s="1261"/>
      <c r="BN1" s="1261"/>
      <c r="BO1" s="1261"/>
      <c r="BP1" s="269">
        <f>BF1+1</f>
        <v>6</v>
      </c>
      <c r="BQ1" s="395"/>
      <c r="BS1" s="1261" t="str">
        <f>BI1</f>
        <v>ENTRADA DEL MES DE    DICIEMBRE    2022</v>
      </c>
      <c r="BT1" s="1261"/>
      <c r="BU1" s="1261"/>
      <c r="BV1" s="1261"/>
      <c r="BW1" s="1261"/>
      <c r="BX1" s="1261"/>
      <c r="BY1" s="1261"/>
      <c r="BZ1" s="269">
        <f>BP1+1</f>
        <v>7</v>
      </c>
      <c r="CC1" s="1261" t="str">
        <f>BS1</f>
        <v>ENTRADA DEL MES DE    DICIEMBRE    2022</v>
      </c>
      <c r="CD1" s="1261"/>
      <c r="CE1" s="1261"/>
      <c r="CF1" s="1261"/>
      <c r="CG1" s="1261"/>
      <c r="CH1" s="1261"/>
      <c r="CI1" s="1261"/>
      <c r="CJ1" s="269">
        <f>BZ1+1</f>
        <v>8</v>
      </c>
      <c r="CM1" s="1261" t="str">
        <f>CC1</f>
        <v>ENTRADA DEL MES DE    DICIEMBRE    2022</v>
      </c>
      <c r="CN1" s="1261"/>
      <c r="CO1" s="1261"/>
      <c r="CP1" s="1261"/>
      <c r="CQ1" s="1261"/>
      <c r="CR1" s="1261"/>
      <c r="CS1" s="1261"/>
      <c r="CT1" s="269">
        <f>CJ1+1</f>
        <v>9</v>
      </c>
      <c r="CU1" s="395"/>
      <c r="CW1" s="1261" t="str">
        <f>CM1</f>
        <v>ENTRADA DEL MES DE    DICIEMBRE    2022</v>
      </c>
      <c r="CX1" s="1261"/>
      <c r="CY1" s="1261"/>
      <c r="CZ1" s="1261"/>
      <c r="DA1" s="1261"/>
      <c r="DB1" s="1261"/>
      <c r="DC1" s="1261"/>
      <c r="DD1" s="269">
        <f>CT1+1</f>
        <v>10</v>
      </c>
      <c r="DE1" s="395"/>
      <c r="DG1" s="1261" t="str">
        <f>CW1</f>
        <v>ENTRADA DEL MES DE    DICIEMBRE    2022</v>
      </c>
      <c r="DH1" s="1261"/>
      <c r="DI1" s="1261"/>
      <c r="DJ1" s="1261"/>
      <c r="DK1" s="1261"/>
      <c r="DL1" s="1261"/>
      <c r="DM1" s="1261"/>
      <c r="DN1" s="269">
        <f>DD1+1</f>
        <v>11</v>
      </c>
      <c r="DO1" s="395"/>
      <c r="DQ1" s="1261" t="str">
        <f>DG1</f>
        <v>ENTRADA DEL MES DE    DICIEMBRE    2022</v>
      </c>
      <c r="DR1" s="1261"/>
      <c r="DS1" s="1261"/>
      <c r="DT1" s="1261"/>
      <c r="DU1" s="1261"/>
      <c r="DV1" s="1261"/>
      <c r="DW1" s="1261"/>
      <c r="DX1" s="269">
        <f>DN1+1</f>
        <v>12</v>
      </c>
      <c r="EA1" s="1261" t="str">
        <f>DQ1</f>
        <v>ENTRADA DEL MES DE    DICIEMBRE    2022</v>
      </c>
      <c r="EB1" s="1261"/>
      <c r="EC1" s="1261"/>
      <c r="ED1" s="1261"/>
      <c r="EE1" s="1261"/>
      <c r="EF1" s="1261"/>
      <c r="EG1" s="1261"/>
      <c r="EH1" s="269">
        <f>DX1+1</f>
        <v>13</v>
      </c>
      <c r="EI1" s="395"/>
      <c r="EK1" s="1261" t="str">
        <f>EA1</f>
        <v>ENTRADA DEL MES DE    DICIEMBRE    2022</v>
      </c>
      <c r="EL1" s="1261"/>
      <c r="EM1" s="1261"/>
      <c r="EN1" s="1261"/>
      <c r="EO1" s="1261"/>
      <c r="EP1" s="1261"/>
      <c r="EQ1" s="1261"/>
      <c r="ER1" s="269">
        <f>EH1+1</f>
        <v>14</v>
      </c>
      <c r="ES1" s="395"/>
      <c r="EU1" s="1261" t="str">
        <f>EK1</f>
        <v>ENTRADA DEL MES DE    DICIEMBRE    2022</v>
      </c>
      <c r="EV1" s="1261"/>
      <c r="EW1" s="1261"/>
      <c r="EX1" s="1261"/>
      <c r="EY1" s="1261"/>
      <c r="EZ1" s="1261"/>
      <c r="FA1" s="1261"/>
      <c r="FB1" s="269">
        <f>ER1+1</f>
        <v>15</v>
      </c>
      <c r="FC1" s="395"/>
      <c r="FE1" s="1261" t="str">
        <f>EU1</f>
        <v>ENTRADA DEL MES DE    DICIEMBRE    2022</v>
      </c>
      <c r="FF1" s="1261"/>
      <c r="FG1" s="1261"/>
      <c r="FH1" s="1261"/>
      <c r="FI1" s="1261"/>
      <c r="FJ1" s="1261"/>
      <c r="FK1" s="1261"/>
      <c r="FL1" s="269">
        <f>FB1+1</f>
        <v>16</v>
      </c>
      <c r="FM1" s="395"/>
      <c r="FO1" s="1261" t="str">
        <f>FE1</f>
        <v>ENTRADA DEL MES DE    DICIEMBRE    2022</v>
      </c>
      <c r="FP1" s="1261"/>
      <c r="FQ1" s="1261"/>
      <c r="FR1" s="1261"/>
      <c r="FS1" s="1261"/>
      <c r="FT1" s="1261"/>
      <c r="FU1" s="1261"/>
      <c r="FV1" s="269">
        <f>FL1+1</f>
        <v>17</v>
      </c>
      <c r="FW1" s="395"/>
      <c r="FY1" s="1261" t="str">
        <f>FO1</f>
        <v>ENTRADA DEL MES DE    DICIEMBRE    2022</v>
      </c>
      <c r="FZ1" s="1261"/>
      <c r="GA1" s="1261"/>
      <c r="GB1" s="1261"/>
      <c r="GC1" s="1261"/>
      <c r="GD1" s="1261"/>
      <c r="GE1" s="1261"/>
      <c r="GF1" s="269">
        <f>FV1+1</f>
        <v>18</v>
      </c>
      <c r="GG1" s="395"/>
      <c r="GH1" s="75" t="s">
        <v>37</v>
      </c>
      <c r="GI1" s="1261" t="str">
        <f>FY1</f>
        <v>ENTRADA DEL MES DE    DICIEMBRE    2022</v>
      </c>
      <c r="GJ1" s="1261"/>
      <c r="GK1" s="1261"/>
      <c r="GL1" s="1261"/>
      <c r="GM1" s="1261"/>
      <c r="GN1" s="1261"/>
      <c r="GO1" s="1261"/>
      <c r="GP1" s="269">
        <f>GF1+1</f>
        <v>19</v>
      </c>
      <c r="GQ1" s="395"/>
      <c r="GS1" s="1261" t="str">
        <f>GI1</f>
        <v>ENTRADA DEL MES DE    DICIEMBRE    2022</v>
      </c>
      <c r="GT1" s="1261"/>
      <c r="GU1" s="1261"/>
      <c r="GV1" s="1261"/>
      <c r="GW1" s="1261"/>
      <c r="GX1" s="1261"/>
      <c r="GY1" s="1261"/>
      <c r="GZ1" s="269">
        <f>GP1+1</f>
        <v>20</v>
      </c>
      <c r="HA1" s="395"/>
      <c r="HC1" s="1261" t="str">
        <f>GS1</f>
        <v>ENTRADA DEL MES DE    DICIEMBRE    2022</v>
      </c>
      <c r="HD1" s="1261"/>
      <c r="HE1" s="1261"/>
      <c r="HF1" s="1261"/>
      <c r="HG1" s="1261"/>
      <c r="HH1" s="1261"/>
      <c r="HI1" s="1261"/>
      <c r="HJ1" s="269">
        <f>GZ1+1</f>
        <v>21</v>
      </c>
      <c r="HK1" s="395"/>
      <c r="HM1" s="1261" t="str">
        <f>HC1</f>
        <v>ENTRADA DEL MES DE    DICIEMBRE    2022</v>
      </c>
      <c r="HN1" s="1261"/>
      <c r="HO1" s="1261"/>
      <c r="HP1" s="1261"/>
      <c r="HQ1" s="1261"/>
      <c r="HR1" s="1261"/>
      <c r="HS1" s="1261"/>
      <c r="HT1" s="269">
        <f>HJ1+1</f>
        <v>22</v>
      </c>
      <c r="HU1" s="395"/>
      <c r="HW1" s="1261" t="str">
        <f>HM1</f>
        <v>ENTRADA DEL MES DE    DICIEMBRE    2022</v>
      </c>
      <c r="HX1" s="1261"/>
      <c r="HY1" s="1261"/>
      <c r="HZ1" s="1261"/>
      <c r="IA1" s="1261"/>
      <c r="IB1" s="1261"/>
      <c r="IC1" s="1261"/>
      <c r="ID1" s="269">
        <f>HT1+1</f>
        <v>23</v>
      </c>
      <c r="IE1" s="395"/>
      <c r="IG1" s="1261" t="str">
        <f>HW1</f>
        <v>ENTRADA DEL MES DE    DICIEMBRE    2022</v>
      </c>
      <c r="IH1" s="1261"/>
      <c r="II1" s="1261"/>
      <c r="IJ1" s="1261"/>
      <c r="IK1" s="1261"/>
      <c r="IL1" s="1261"/>
      <c r="IM1" s="1261"/>
      <c r="IN1" s="269">
        <f>ID1+1</f>
        <v>24</v>
      </c>
      <c r="IO1" s="395"/>
      <c r="IQ1" s="1261" t="str">
        <f>IG1</f>
        <v>ENTRADA DEL MES DE    DICIEMBRE    2022</v>
      </c>
      <c r="IR1" s="1261"/>
      <c r="IS1" s="1261"/>
      <c r="IT1" s="1261"/>
      <c r="IU1" s="1261"/>
      <c r="IV1" s="1261"/>
      <c r="IW1" s="1261"/>
      <c r="IX1" s="269">
        <f>IN1+1</f>
        <v>25</v>
      </c>
      <c r="IY1" s="395"/>
      <c r="JA1" s="1261" t="str">
        <f>IQ1</f>
        <v>ENTRADA DEL MES DE    DICIEMBRE    2022</v>
      </c>
      <c r="JB1" s="1261"/>
      <c r="JC1" s="1261"/>
      <c r="JD1" s="1261"/>
      <c r="JE1" s="1261"/>
      <c r="JF1" s="1261"/>
      <c r="JG1" s="1261"/>
      <c r="JH1" s="269">
        <f>IX1+1</f>
        <v>26</v>
      </c>
      <c r="JI1" s="395"/>
      <c r="JK1" s="1262" t="str">
        <f>JA1</f>
        <v>ENTRADA DEL MES DE    DICIEMBRE    2022</v>
      </c>
      <c r="JL1" s="1262"/>
      <c r="JM1" s="1262"/>
      <c r="JN1" s="1262"/>
      <c r="JO1" s="1262"/>
      <c r="JP1" s="1262"/>
      <c r="JQ1" s="1262"/>
      <c r="JR1" s="269">
        <f>JH1+1</f>
        <v>27</v>
      </c>
      <c r="JS1" s="395"/>
      <c r="JU1" s="1261" t="str">
        <f>JK1</f>
        <v>ENTRADA DEL MES DE    DICIEMBRE    2022</v>
      </c>
      <c r="JV1" s="1261"/>
      <c r="JW1" s="1261"/>
      <c r="JX1" s="1261"/>
      <c r="JY1" s="1261"/>
      <c r="JZ1" s="1261"/>
      <c r="KA1" s="1261"/>
      <c r="KB1" s="269">
        <f>JR1+1</f>
        <v>28</v>
      </c>
      <c r="KC1" s="395"/>
      <c r="KE1" s="1261" t="str">
        <f>JU1</f>
        <v>ENTRADA DEL MES DE    DICIEMBRE    2022</v>
      </c>
      <c r="KF1" s="1261"/>
      <c r="KG1" s="1261"/>
      <c r="KH1" s="1261"/>
      <c r="KI1" s="1261"/>
      <c r="KJ1" s="1261"/>
      <c r="KK1" s="1261"/>
      <c r="KL1" s="269">
        <f>KB1+1</f>
        <v>29</v>
      </c>
      <c r="KM1" s="395"/>
      <c r="KO1" s="1261" t="str">
        <f>KE1</f>
        <v>ENTRADA DEL MES DE    DICIEMBRE    2022</v>
      </c>
      <c r="KP1" s="1261"/>
      <c r="KQ1" s="1261"/>
      <c r="KR1" s="1261"/>
      <c r="KS1" s="1261"/>
      <c r="KT1" s="1261"/>
      <c r="KU1" s="1261"/>
      <c r="KV1" s="269">
        <f>KL1+1</f>
        <v>30</v>
      </c>
      <c r="KW1" s="395"/>
      <c r="KY1" s="1261" t="str">
        <f>KO1</f>
        <v>ENTRADA DEL MES DE    DICIEMBRE    2022</v>
      </c>
      <c r="KZ1" s="1261"/>
      <c r="LA1" s="1261"/>
      <c r="LB1" s="1261"/>
      <c r="LC1" s="1261"/>
      <c r="LD1" s="1261"/>
      <c r="LE1" s="1261"/>
      <c r="LF1" s="269">
        <f>KV1+1</f>
        <v>31</v>
      </c>
      <c r="LG1" s="395"/>
      <c r="LI1" s="1261" t="str">
        <f>KY1</f>
        <v>ENTRADA DEL MES DE    DICIEMBRE    2022</v>
      </c>
      <c r="LJ1" s="1261"/>
      <c r="LK1" s="1261"/>
      <c r="LL1" s="1261"/>
      <c r="LM1" s="1261"/>
      <c r="LN1" s="1261"/>
      <c r="LO1" s="1261"/>
      <c r="LP1" s="269">
        <f>LF1+1</f>
        <v>32</v>
      </c>
      <c r="LQ1" s="395"/>
      <c r="LS1" s="1261" t="str">
        <f>LI1</f>
        <v>ENTRADA DEL MES DE    DICIEMBRE    2022</v>
      </c>
      <c r="LT1" s="1261"/>
      <c r="LU1" s="1261"/>
      <c r="LV1" s="1261"/>
      <c r="LW1" s="1261"/>
      <c r="LX1" s="1261"/>
      <c r="LY1" s="1261"/>
      <c r="LZ1" s="269">
        <f>LP1+1</f>
        <v>33</v>
      </c>
      <c r="MC1" s="1261" t="str">
        <f>LS1</f>
        <v>ENTRADA DEL MES DE    DICIEMBRE    2022</v>
      </c>
      <c r="MD1" s="1261"/>
      <c r="ME1" s="1261"/>
      <c r="MF1" s="1261"/>
      <c r="MG1" s="1261"/>
      <c r="MH1" s="1261"/>
      <c r="MI1" s="1261"/>
      <c r="MJ1" s="269">
        <f>LZ1+1</f>
        <v>34</v>
      </c>
      <c r="MK1" s="269"/>
      <c r="MM1" s="1261" t="str">
        <f>MC1</f>
        <v>ENTRADA DEL MES DE    DICIEMBRE    2022</v>
      </c>
      <c r="MN1" s="1261"/>
      <c r="MO1" s="1261"/>
      <c r="MP1" s="1261"/>
      <c r="MQ1" s="1261"/>
      <c r="MR1" s="1261"/>
      <c r="MS1" s="1261"/>
      <c r="MT1" s="269">
        <f>MJ1+1</f>
        <v>35</v>
      </c>
      <c r="MU1" s="269"/>
      <c r="MW1" s="1261" t="str">
        <f>MM1</f>
        <v>ENTRADA DEL MES DE    DICIEMBRE    2022</v>
      </c>
      <c r="MX1" s="1261"/>
      <c r="MY1" s="1261"/>
      <c r="MZ1" s="1261"/>
      <c r="NA1" s="1261"/>
      <c r="NB1" s="1261"/>
      <c r="NC1" s="1261"/>
      <c r="ND1" s="269">
        <f>MT1+1</f>
        <v>36</v>
      </c>
      <c r="NE1" s="269"/>
      <c r="NG1" s="1261" t="str">
        <f>MW1</f>
        <v>ENTRADA DEL MES DE    DICIEMBRE    2022</v>
      </c>
      <c r="NH1" s="1261"/>
      <c r="NI1" s="1261"/>
      <c r="NJ1" s="1261"/>
      <c r="NK1" s="1261"/>
      <c r="NL1" s="1261"/>
      <c r="NM1" s="1261"/>
      <c r="NN1" s="269">
        <f>ND1+1</f>
        <v>37</v>
      </c>
      <c r="NO1" s="269"/>
      <c r="NQ1" s="1261" t="str">
        <f>NG1</f>
        <v>ENTRADA DEL MES DE    DICIEMBRE    2022</v>
      </c>
      <c r="NR1" s="1261"/>
      <c r="NS1" s="1261"/>
      <c r="NT1" s="1261"/>
      <c r="NU1" s="1261"/>
      <c r="NV1" s="1261"/>
      <c r="NW1" s="1261"/>
      <c r="NX1" s="269">
        <f>NN1+1</f>
        <v>38</v>
      </c>
      <c r="NY1" s="269"/>
      <c r="OA1" s="1261" t="str">
        <f>NQ1</f>
        <v>ENTRADA DEL MES DE    DICIEMBRE    2022</v>
      </c>
      <c r="OB1" s="1261"/>
      <c r="OC1" s="1261"/>
      <c r="OD1" s="1261"/>
      <c r="OE1" s="1261"/>
      <c r="OF1" s="1261"/>
      <c r="OG1" s="1261"/>
      <c r="OH1" s="269">
        <f>NX1+1</f>
        <v>39</v>
      </c>
      <c r="OI1" s="269"/>
      <c r="OK1" s="1261" t="str">
        <f>OA1</f>
        <v>ENTRADA DEL MES DE    DICIEMBRE    2022</v>
      </c>
      <c r="OL1" s="1261"/>
      <c r="OM1" s="1261"/>
      <c r="ON1" s="1261"/>
      <c r="OO1" s="1261"/>
      <c r="OP1" s="1261"/>
      <c r="OQ1" s="1261"/>
      <c r="OR1" s="269">
        <f>OH1+1</f>
        <v>40</v>
      </c>
      <c r="OS1" s="269"/>
      <c r="OU1" s="1261" t="str">
        <f>OK1</f>
        <v>ENTRADA DEL MES DE    DICIEMBRE    2022</v>
      </c>
      <c r="OV1" s="1261"/>
      <c r="OW1" s="1261"/>
      <c r="OX1" s="1261"/>
      <c r="OY1" s="1261"/>
      <c r="OZ1" s="1261"/>
      <c r="PA1" s="1261"/>
      <c r="PB1" s="269">
        <f>OR1+1</f>
        <v>41</v>
      </c>
      <c r="PC1" s="269"/>
      <c r="PE1" s="1261" t="str">
        <f>OU1</f>
        <v>ENTRADA DEL MES DE    DICIEMBRE    2022</v>
      </c>
      <c r="PF1" s="1261"/>
      <c r="PG1" s="1261"/>
      <c r="PH1" s="1261"/>
      <c r="PI1" s="1261"/>
      <c r="PJ1" s="1261"/>
      <c r="PK1" s="1261"/>
      <c r="PL1" s="269">
        <f>PB1+1</f>
        <v>42</v>
      </c>
      <c r="PM1" s="269"/>
      <c r="PO1" s="1261" t="str">
        <f>PE1</f>
        <v>ENTRADA DEL MES DE    DICIEMBRE    2022</v>
      </c>
      <c r="PP1" s="1261"/>
      <c r="PQ1" s="1261"/>
      <c r="PR1" s="1261"/>
      <c r="PS1" s="1261"/>
      <c r="PT1" s="1261"/>
      <c r="PU1" s="1261"/>
      <c r="PV1" s="269">
        <f>PL1+1</f>
        <v>43</v>
      </c>
      <c r="PX1" s="1261" t="str">
        <f>PO1</f>
        <v>ENTRADA DEL MES DE    DICIEMBRE    2022</v>
      </c>
      <c r="PY1" s="1261"/>
      <c r="PZ1" s="1261"/>
      <c r="QA1" s="1261"/>
      <c r="QB1" s="1261"/>
      <c r="QC1" s="1261"/>
      <c r="QD1" s="1261"/>
      <c r="QE1" s="269">
        <f>PV1+1</f>
        <v>44</v>
      </c>
      <c r="QG1" s="1261" t="str">
        <f>PX1</f>
        <v>ENTRADA DEL MES DE    DICIEMBRE    2022</v>
      </c>
      <c r="QH1" s="1261"/>
      <c r="QI1" s="1261"/>
      <c r="QJ1" s="1261"/>
      <c r="QK1" s="1261"/>
      <c r="QL1" s="1261"/>
      <c r="QM1" s="1261"/>
      <c r="QN1" s="269">
        <f>QE1+1</f>
        <v>45</v>
      </c>
      <c r="QP1" s="1261" t="str">
        <f>QG1</f>
        <v>ENTRADA DEL MES DE    DICIEMBRE    2022</v>
      </c>
      <c r="QQ1" s="1261"/>
      <c r="QR1" s="1261"/>
      <c r="QS1" s="1261"/>
      <c r="QT1" s="1261"/>
      <c r="QU1" s="1261"/>
      <c r="QV1" s="1261"/>
      <c r="QW1" s="269">
        <f>QN1+1</f>
        <v>46</v>
      </c>
      <c r="QY1" s="1261" t="str">
        <f>QP1</f>
        <v>ENTRADA DEL MES DE    DICIEMBRE    2022</v>
      </c>
      <c r="QZ1" s="1261"/>
      <c r="RA1" s="1261"/>
      <c r="RB1" s="1261"/>
      <c r="RC1" s="1261"/>
      <c r="RD1" s="1261"/>
      <c r="RE1" s="1261"/>
      <c r="RF1" s="269">
        <f>QW1+1</f>
        <v>47</v>
      </c>
      <c r="RH1" s="1261" t="str">
        <f>QY1</f>
        <v>ENTRADA DEL MES DE    DICIEMBRE    2022</v>
      </c>
      <c r="RI1" s="1261"/>
      <c r="RJ1" s="1261"/>
      <c r="RK1" s="1261"/>
      <c r="RL1" s="1261"/>
      <c r="RM1" s="1261"/>
      <c r="RN1" s="1261"/>
      <c r="RO1" s="269">
        <f>RF1+1</f>
        <v>48</v>
      </c>
      <c r="RQ1" s="1261" t="str">
        <f>RH1</f>
        <v>ENTRADA DEL MES DE    DICIEMBRE    2022</v>
      </c>
      <c r="RR1" s="1261"/>
      <c r="RS1" s="1261"/>
      <c r="RT1" s="1261"/>
      <c r="RU1" s="1261"/>
      <c r="RV1" s="1261"/>
      <c r="RW1" s="1261"/>
      <c r="RX1" s="269">
        <f>RO1+1</f>
        <v>49</v>
      </c>
      <c r="RZ1" s="1261" t="str">
        <f>RQ1</f>
        <v>ENTRADA DEL MES DE    DICIEMBRE    2022</v>
      </c>
      <c r="SA1" s="1261"/>
      <c r="SB1" s="1261"/>
      <c r="SC1" s="1261"/>
      <c r="SD1" s="1261"/>
      <c r="SE1" s="1261"/>
      <c r="SF1" s="1261"/>
      <c r="SG1" s="269">
        <f>RX1+1</f>
        <v>50</v>
      </c>
      <c r="SI1" s="1261" t="str">
        <f>RZ1</f>
        <v>ENTRADA DEL MES DE    DICIEMBRE    2022</v>
      </c>
      <c r="SJ1" s="1261"/>
      <c r="SK1" s="1261"/>
      <c r="SL1" s="1261"/>
      <c r="SM1" s="1261"/>
      <c r="SN1" s="1261"/>
      <c r="SO1" s="1261"/>
      <c r="SP1" s="269">
        <f>SG1+1</f>
        <v>51</v>
      </c>
      <c r="SR1" s="1261" t="str">
        <f>SI1</f>
        <v>ENTRADA DEL MES DE    DICIEMBRE    2022</v>
      </c>
      <c r="SS1" s="1261"/>
      <c r="ST1" s="1261"/>
      <c r="SU1" s="1261"/>
      <c r="SV1" s="1261"/>
      <c r="SW1" s="1261"/>
      <c r="SX1" s="1261"/>
      <c r="SY1" s="269">
        <f>SP1+1</f>
        <v>52</v>
      </c>
      <c r="TA1" s="1261" t="str">
        <f>SR1</f>
        <v>ENTRADA DEL MES DE    DICIEMBRE    2022</v>
      </c>
      <c r="TB1" s="1261"/>
      <c r="TC1" s="1261"/>
      <c r="TD1" s="1261"/>
      <c r="TE1" s="1261"/>
      <c r="TF1" s="1261"/>
      <c r="TG1" s="1261"/>
      <c r="TH1" s="269">
        <f>SY1+1</f>
        <v>53</v>
      </c>
      <c r="TJ1" s="1261" t="str">
        <f>TA1</f>
        <v>ENTRADA DEL MES DE    DICIEMBRE    2022</v>
      </c>
      <c r="TK1" s="1261"/>
      <c r="TL1" s="1261"/>
      <c r="TM1" s="1261"/>
      <c r="TN1" s="1261"/>
      <c r="TO1" s="1261"/>
      <c r="TP1" s="1261"/>
      <c r="TQ1" s="269">
        <f>TH1+1</f>
        <v>54</v>
      </c>
      <c r="TS1" s="1261" t="str">
        <f>TJ1</f>
        <v>ENTRADA DEL MES DE    DICIEMBRE    2022</v>
      </c>
      <c r="TT1" s="1261"/>
      <c r="TU1" s="1261"/>
      <c r="TV1" s="1261"/>
      <c r="TW1" s="1261"/>
      <c r="TX1" s="1261"/>
      <c r="TY1" s="1261"/>
      <c r="TZ1" s="269">
        <f>TQ1+1</f>
        <v>55</v>
      </c>
      <c r="UB1" s="1261" t="str">
        <f>TS1</f>
        <v>ENTRADA DEL MES DE    DICIEMBRE    2022</v>
      </c>
      <c r="UC1" s="1261"/>
      <c r="UD1" s="1261"/>
      <c r="UE1" s="1261"/>
      <c r="UF1" s="1261"/>
      <c r="UG1" s="1261"/>
      <c r="UH1" s="1261"/>
      <c r="UI1" s="269">
        <f>TZ1+1</f>
        <v>56</v>
      </c>
      <c r="UK1" s="1261" t="str">
        <f>UB1</f>
        <v>ENTRADA DEL MES DE    DICIEMBRE    2022</v>
      </c>
      <c r="UL1" s="1261"/>
      <c r="UM1" s="1261"/>
      <c r="UN1" s="1261"/>
      <c r="UO1" s="1261"/>
      <c r="UP1" s="1261"/>
      <c r="UQ1" s="1261"/>
      <c r="UR1" s="269">
        <f>UI1+1</f>
        <v>57</v>
      </c>
      <c r="UT1" s="1261" t="str">
        <f>UK1</f>
        <v>ENTRADA DEL MES DE    DICIEMBRE    2022</v>
      </c>
      <c r="UU1" s="1261"/>
      <c r="UV1" s="1261"/>
      <c r="UW1" s="1261"/>
      <c r="UX1" s="1261"/>
      <c r="UY1" s="1261"/>
      <c r="UZ1" s="1261"/>
      <c r="VA1" s="269">
        <f>UR1+1</f>
        <v>58</v>
      </c>
      <c r="VC1" s="1261" t="str">
        <f>UT1</f>
        <v>ENTRADA DEL MES DE    DICIEMBRE    2022</v>
      </c>
      <c r="VD1" s="1261"/>
      <c r="VE1" s="1261"/>
      <c r="VF1" s="1261"/>
      <c r="VG1" s="1261"/>
      <c r="VH1" s="1261"/>
      <c r="VI1" s="1261"/>
      <c r="VJ1" s="269">
        <f>VA1+1</f>
        <v>59</v>
      </c>
      <c r="VL1" s="1261" t="str">
        <f>VC1</f>
        <v>ENTRADA DEL MES DE    DICIEMBRE    2022</v>
      </c>
      <c r="VM1" s="1261"/>
      <c r="VN1" s="1261"/>
      <c r="VO1" s="1261"/>
      <c r="VP1" s="1261"/>
      <c r="VQ1" s="1261"/>
      <c r="VR1" s="1261"/>
      <c r="VS1" s="269">
        <f>VJ1+1</f>
        <v>60</v>
      </c>
      <c r="VU1" s="1261" t="str">
        <f>VL1</f>
        <v>ENTRADA DEL MES DE    DICIEMBRE    2022</v>
      </c>
      <c r="VV1" s="1261"/>
      <c r="VW1" s="1261"/>
      <c r="VX1" s="1261"/>
      <c r="VY1" s="1261"/>
      <c r="VZ1" s="1261"/>
      <c r="WA1" s="1261"/>
      <c r="WB1" s="269">
        <f>VS1+1</f>
        <v>61</v>
      </c>
      <c r="WD1" s="1261" t="str">
        <f>VU1</f>
        <v>ENTRADA DEL MES DE    DICIEMBRE    2022</v>
      </c>
      <c r="WE1" s="1261"/>
      <c r="WF1" s="1261"/>
      <c r="WG1" s="1261"/>
      <c r="WH1" s="1261"/>
      <c r="WI1" s="1261"/>
      <c r="WJ1" s="1261"/>
      <c r="WK1" s="269">
        <f>WB1+1</f>
        <v>62</v>
      </c>
      <c r="WM1" s="1261" t="str">
        <f>WD1</f>
        <v>ENTRADA DEL MES DE    DICIEMBRE    2022</v>
      </c>
      <c r="WN1" s="1261"/>
      <c r="WO1" s="1261"/>
      <c r="WP1" s="1261"/>
      <c r="WQ1" s="1261"/>
      <c r="WR1" s="1261"/>
      <c r="WS1" s="1261"/>
      <c r="WT1" s="269">
        <f>WK1+1</f>
        <v>63</v>
      </c>
      <c r="WV1" s="1261" t="str">
        <f>WM1</f>
        <v>ENTRADA DEL MES DE    DICIEMBRE    2022</v>
      </c>
      <c r="WW1" s="1261"/>
      <c r="WX1" s="1261"/>
      <c r="WY1" s="1261"/>
      <c r="WZ1" s="1261"/>
      <c r="XA1" s="1261"/>
      <c r="XB1" s="1261"/>
      <c r="XC1" s="269">
        <f>WT1+1</f>
        <v>64</v>
      </c>
      <c r="XE1" s="1261" t="str">
        <f>WV1</f>
        <v>ENTRADA DEL MES DE    DICIEMBRE    2022</v>
      </c>
      <c r="XF1" s="1261"/>
      <c r="XG1" s="1261"/>
      <c r="XH1" s="1261"/>
      <c r="XI1" s="1261"/>
      <c r="XJ1" s="1261"/>
      <c r="XK1" s="1261"/>
      <c r="XL1" s="269">
        <f>XC1+1</f>
        <v>65</v>
      </c>
      <c r="XN1" s="1261" t="str">
        <f>XE1</f>
        <v>ENTRADA DEL MES DE    DICIEMBRE    2022</v>
      </c>
      <c r="XO1" s="1261"/>
      <c r="XP1" s="1261"/>
      <c r="XQ1" s="1261"/>
      <c r="XR1" s="1261"/>
      <c r="XS1" s="1261"/>
      <c r="XT1" s="1261"/>
      <c r="XU1" s="269">
        <f>XL1+1</f>
        <v>66</v>
      </c>
      <c r="XW1" s="1261" t="str">
        <f>XN1</f>
        <v>ENTRADA DEL MES DE    DICIEMBRE    2022</v>
      </c>
      <c r="XX1" s="1261"/>
      <c r="XY1" s="1261"/>
      <c r="XZ1" s="1261"/>
      <c r="YA1" s="1261"/>
      <c r="YB1" s="1261"/>
      <c r="YC1" s="1261"/>
      <c r="YD1" s="269">
        <f>XU1+1</f>
        <v>67</v>
      </c>
      <c r="YF1" s="1261" t="str">
        <f>XW1</f>
        <v>ENTRADA DEL MES DE    DICIEMBRE    2022</v>
      </c>
      <c r="YG1" s="1261"/>
      <c r="YH1" s="1261"/>
      <c r="YI1" s="1261"/>
      <c r="YJ1" s="1261"/>
      <c r="YK1" s="1261"/>
      <c r="YL1" s="1261"/>
      <c r="YM1" s="269">
        <f>YD1+1</f>
        <v>68</v>
      </c>
      <c r="YO1" s="1261" t="str">
        <f>YF1</f>
        <v>ENTRADA DEL MES DE    DICIEMBRE    2022</v>
      </c>
      <c r="YP1" s="1261"/>
      <c r="YQ1" s="1261"/>
      <c r="YR1" s="1261"/>
      <c r="YS1" s="1261"/>
      <c r="YT1" s="1261"/>
      <c r="YU1" s="1261"/>
      <c r="YV1" s="269">
        <f>YM1+1</f>
        <v>69</v>
      </c>
      <c r="YX1" s="1261" t="str">
        <f>YO1</f>
        <v>ENTRADA DEL MES DE    DICIEMBRE    2022</v>
      </c>
      <c r="YY1" s="1261"/>
      <c r="YZ1" s="1261"/>
      <c r="ZA1" s="1261"/>
      <c r="ZB1" s="1261"/>
      <c r="ZC1" s="1261"/>
      <c r="ZD1" s="1261"/>
      <c r="ZE1" s="269">
        <f>YV1+1</f>
        <v>70</v>
      </c>
      <c r="ZG1" s="1261" t="str">
        <f>YX1</f>
        <v>ENTRADA DEL MES DE    DICIEMBRE    2022</v>
      </c>
      <c r="ZH1" s="1261"/>
      <c r="ZI1" s="1261"/>
      <c r="ZJ1" s="1261"/>
      <c r="ZK1" s="1261"/>
      <c r="ZL1" s="1261"/>
      <c r="ZM1" s="1261"/>
      <c r="ZN1" s="269">
        <f>ZE1+1</f>
        <v>71</v>
      </c>
      <c r="ZP1" s="1261" t="str">
        <f>ZG1</f>
        <v>ENTRADA DEL MES DE    DICIEMBRE    2022</v>
      </c>
      <c r="ZQ1" s="1261"/>
      <c r="ZR1" s="1261"/>
      <c r="ZS1" s="1261"/>
      <c r="ZT1" s="1261"/>
      <c r="ZU1" s="1261"/>
      <c r="ZV1" s="1261"/>
      <c r="ZW1" s="269">
        <f>ZN1+1</f>
        <v>72</v>
      </c>
      <c r="ZY1" s="1261" t="str">
        <f>ZP1</f>
        <v>ENTRADA DEL MES DE    DICIEMBRE    2022</v>
      </c>
      <c r="ZZ1" s="1261"/>
      <c r="AAA1" s="1261"/>
      <c r="AAB1" s="1261"/>
      <c r="AAC1" s="1261"/>
      <c r="AAD1" s="1261"/>
      <c r="AAE1" s="1261"/>
      <c r="AAF1" s="269">
        <f>ZW1+1</f>
        <v>73</v>
      </c>
      <c r="AAH1" s="1261" t="str">
        <f>ZY1</f>
        <v>ENTRADA DEL MES DE    DICIEMBRE    2022</v>
      </c>
      <c r="AAI1" s="1261"/>
      <c r="AAJ1" s="1261"/>
      <c r="AAK1" s="1261"/>
      <c r="AAL1" s="1261"/>
      <c r="AAM1" s="1261"/>
      <c r="AAN1" s="1261"/>
      <c r="AAO1" s="269">
        <f>AAF1+1</f>
        <v>74</v>
      </c>
      <c r="AAQ1" s="1261" t="str">
        <f>AAH1</f>
        <v>ENTRADA DEL MES DE    DICIEMBRE    2022</v>
      </c>
      <c r="AAR1" s="1261"/>
      <c r="AAS1" s="1261"/>
      <c r="AAT1" s="1261"/>
      <c r="AAU1" s="1261"/>
      <c r="AAV1" s="1261"/>
      <c r="AAW1" s="1261"/>
      <c r="AAX1" s="269">
        <f>AAO1+1</f>
        <v>75</v>
      </c>
      <c r="AAZ1" s="1261" t="str">
        <f>AAQ1</f>
        <v>ENTRADA DEL MES DE    DICIEMBRE    2022</v>
      </c>
      <c r="ABA1" s="1261"/>
      <c r="ABB1" s="1261"/>
      <c r="ABC1" s="1261"/>
      <c r="ABD1" s="1261"/>
      <c r="ABE1" s="1261"/>
      <c r="ABF1" s="1261"/>
      <c r="ABG1" s="269">
        <f>AAX1+1</f>
        <v>76</v>
      </c>
      <c r="ABI1" s="1261" t="str">
        <f>AAZ1</f>
        <v>ENTRADA DEL MES DE    DICIEMBRE    2022</v>
      </c>
      <c r="ABJ1" s="1261"/>
      <c r="ABK1" s="1261"/>
      <c r="ABL1" s="1261"/>
      <c r="ABM1" s="1261"/>
      <c r="ABN1" s="1261"/>
      <c r="ABO1" s="1261"/>
      <c r="ABP1" s="269">
        <f>ABG1+1</f>
        <v>77</v>
      </c>
      <c r="ABR1" s="1261" t="str">
        <f>ABI1</f>
        <v>ENTRADA DEL MES DE    DICIEMBRE    2022</v>
      </c>
      <c r="ABS1" s="1261"/>
      <c r="ABT1" s="1261"/>
      <c r="ABU1" s="1261"/>
      <c r="ABV1" s="1261"/>
      <c r="ABW1" s="1261"/>
      <c r="ABX1" s="1261"/>
      <c r="ABY1" s="269">
        <f>ABP1+1</f>
        <v>78</v>
      </c>
      <c r="ACA1" s="1261" t="str">
        <f>ABR1</f>
        <v>ENTRADA DEL MES DE    DICIEMBRE    2022</v>
      </c>
      <c r="ACB1" s="1261"/>
      <c r="ACC1" s="1261"/>
      <c r="ACD1" s="1261"/>
      <c r="ACE1" s="1261"/>
      <c r="ACF1" s="1261"/>
      <c r="ACG1" s="1261"/>
      <c r="ACH1" s="269">
        <f>ABY1+1</f>
        <v>79</v>
      </c>
      <c r="ACJ1" s="1261" t="str">
        <f>ACA1</f>
        <v>ENTRADA DEL MES DE    DICIEMBRE    2022</v>
      </c>
      <c r="ACK1" s="1261"/>
      <c r="ACL1" s="1261"/>
      <c r="ACM1" s="1261"/>
      <c r="ACN1" s="1261"/>
      <c r="ACO1" s="1261"/>
      <c r="ACP1" s="1261"/>
      <c r="ACQ1" s="269">
        <f>ACH1+1</f>
        <v>80</v>
      </c>
      <c r="ACS1" s="1261" t="str">
        <f>ACJ1</f>
        <v>ENTRADA DEL MES DE    DICIEMBRE    2022</v>
      </c>
      <c r="ACT1" s="1261"/>
      <c r="ACU1" s="1261"/>
      <c r="ACV1" s="1261"/>
      <c r="ACW1" s="1261"/>
      <c r="ACX1" s="1261"/>
      <c r="ACY1" s="1261"/>
      <c r="ACZ1" s="269">
        <f>ACQ1+1</f>
        <v>81</v>
      </c>
      <c r="ADB1" s="1261" t="str">
        <f>ACS1</f>
        <v>ENTRADA DEL MES DE    DICIEMBRE    2022</v>
      </c>
      <c r="ADC1" s="1261"/>
      <c r="ADD1" s="1261"/>
      <c r="ADE1" s="1261"/>
      <c r="ADF1" s="1261"/>
      <c r="ADG1" s="1261"/>
      <c r="ADH1" s="1261"/>
      <c r="ADI1" s="269">
        <f>ACZ1+1</f>
        <v>82</v>
      </c>
      <c r="ADK1" s="1261" t="str">
        <f>ADB1</f>
        <v>ENTRADA DEL MES DE    DICIEMBRE    2022</v>
      </c>
      <c r="ADL1" s="1261"/>
      <c r="ADM1" s="1261"/>
      <c r="ADN1" s="1261"/>
      <c r="ADO1" s="1261"/>
      <c r="ADP1" s="1261"/>
      <c r="ADQ1" s="1261"/>
      <c r="ADR1" s="269">
        <f>ADI1+1</f>
        <v>83</v>
      </c>
      <c r="ADT1" s="1261" t="str">
        <f>ADK1</f>
        <v>ENTRADA DEL MES DE    DICIEMBRE    2022</v>
      </c>
      <c r="ADU1" s="1261"/>
      <c r="ADV1" s="1261"/>
      <c r="ADW1" s="1261"/>
      <c r="ADX1" s="1261"/>
      <c r="ADY1" s="1261"/>
      <c r="ADZ1" s="1261"/>
      <c r="AEA1" s="269">
        <f>ADR1+1</f>
        <v>84</v>
      </c>
      <c r="AEC1" s="1261" t="str">
        <f>ADT1</f>
        <v>ENTRADA DEL MES DE    DICIEMBRE    2022</v>
      </c>
      <c r="AED1" s="1261"/>
      <c r="AEE1" s="1261"/>
      <c r="AEF1" s="1261"/>
      <c r="AEG1" s="1261"/>
      <c r="AEH1" s="1261"/>
      <c r="AEI1" s="1261"/>
      <c r="AEJ1" s="269">
        <f>AEA1+1</f>
        <v>85</v>
      </c>
      <c r="AEL1" s="1261" t="str">
        <f>AEC1</f>
        <v>ENTRADA DEL MES DE    DICIEMBRE    2022</v>
      </c>
      <c r="AEM1" s="1261"/>
      <c r="AEN1" s="1261"/>
      <c r="AEO1" s="1261"/>
      <c r="AEP1" s="1261"/>
      <c r="AEQ1" s="1261"/>
      <c r="AER1" s="1261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0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265" t="s">
        <v>222</v>
      </c>
      <c r="L5" s="863" t="s">
        <v>223</v>
      </c>
      <c r="M5" s="715" t="s">
        <v>228</v>
      </c>
      <c r="N5" s="716">
        <v>44895</v>
      </c>
      <c r="O5" s="717">
        <v>18729.12</v>
      </c>
      <c r="P5" s="714">
        <v>21</v>
      </c>
      <c r="Q5" s="718">
        <v>18759.599999999999</v>
      </c>
      <c r="R5" s="138">
        <f>O5-Q5</f>
        <v>-30.479999999999563</v>
      </c>
      <c r="S5" s="397"/>
      <c r="U5" s="713" t="s">
        <v>222</v>
      </c>
      <c r="V5" s="863" t="s">
        <v>223</v>
      </c>
      <c r="W5" s="715" t="s">
        <v>229</v>
      </c>
      <c r="X5" s="716">
        <v>44895</v>
      </c>
      <c r="Y5" s="717">
        <v>18857.04</v>
      </c>
      <c r="Z5" s="714">
        <v>21</v>
      </c>
      <c r="AA5" s="718">
        <v>18842.3</v>
      </c>
      <c r="AB5" s="138">
        <f>Y5-AA5</f>
        <v>14.740000000001601</v>
      </c>
      <c r="AC5" s="397"/>
      <c r="AE5" s="713" t="s">
        <v>220</v>
      </c>
      <c r="AF5" s="864" t="s">
        <v>221</v>
      </c>
      <c r="AG5" s="715" t="s">
        <v>336</v>
      </c>
      <c r="AH5" s="719">
        <v>44896</v>
      </c>
      <c r="AI5" s="717">
        <v>18857.04</v>
      </c>
      <c r="AJ5" s="714">
        <v>20</v>
      </c>
      <c r="AK5" s="718">
        <v>18935.560000000001</v>
      </c>
      <c r="AL5" s="138">
        <f>AI5-AK5</f>
        <v>-78.520000000000437</v>
      </c>
      <c r="AM5" s="397"/>
      <c r="AN5" s="75" t="s">
        <v>41</v>
      </c>
      <c r="AO5" s="720" t="s">
        <v>222</v>
      </c>
      <c r="AP5" s="863" t="s">
        <v>223</v>
      </c>
      <c r="AQ5" s="721" t="s">
        <v>337</v>
      </c>
      <c r="AR5" s="716">
        <v>44896</v>
      </c>
      <c r="AS5" s="717">
        <v>19184.009999999998</v>
      </c>
      <c r="AT5" s="714">
        <v>21</v>
      </c>
      <c r="AU5" s="718">
        <v>19169.8</v>
      </c>
      <c r="AV5" s="138">
        <f>AS5-AU5</f>
        <v>14.209999999999127</v>
      </c>
      <c r="AW5" s="397"/>
      <c r="AY5" s="720" t="s">
        <v>222</v>
      </c>
      <c r="AZ5" s="863" t="s">
        <v>223</v>
      </c>
      <c r="BA5" s="721" t="s">
        <v>338</v>
      </c>
      <c r="BB5" s="716">
        <v>44897</v>
      </c>
      <c r="BC5" s="717">
        <v>18054.09</v>
      </c>
      <c r="BD5" s="714">
        <v>20</v>
      </c>
      <c r="BE5" s="718">
        <v>18007.599999999999</v>
      </c>
      <c r="BF5" s="138">
        <f>BC5-BE5</f>
        <v>46.490000000001601</v>
      </c>
      <c r="BG5" s="397"/>
      <c r="BI5" s="1264" t="s">
        <v>220</v>
      </c>
      <c r="BJ5" s="1033" t="s">
        <v>221</v>
      </c>
      <c r="BK5" s="721" t="s">
        <v>341</v>
      </c>
      <c r="BL5" s="719">
        <v>44898</v>
      </c>
      <c r="BM5" s="717">
        <v>18435.43</v>
      </c>
      <c r="BN5" s="714">
        <v>20</v>
      </c>
      <c r="BO5" s="718">
        <v>18351.310000000001</v>
      </c>
      <c r="BP5" s="138">
        <f>BM5-BO5</f>
        <v>84.119999999998981</v>
      </c>
      <c r="BQ5" s="397"/>
      <c r="BS5" s="1263" t="s">
        <v>342</v>
      </c>
      <c r="BT5" s="1036" t="s">
        <v>343</v>
      </c>
      <c r="BU5" s="1037"/>
      <c r="BV5" s="716">
        <v>44898</v>
      </c>
      <c r="BW5" s="717">
        <v>1123</v>
      </c>
      <c r="BX5" s="714">
        <v>2</v>
      </c>
      <c r="BY5" s="718">
        <v>1123</v>
      </c>
      <c r="BZ5" s="138">
        <f>BW5-BY5</f>
        <v>0</v>
      </c>
      <c r="CA5" s="244"/>
      <c r="CB5" s="244"/>
      <c r="CC5" s="713" t="s">
        <v>222</v>
      </c>
      <c r="CD5" s="890" t="s">
        <v>223</v>
      </c>
      <c r="CE5" s="721" t="s">
        <v>344</v>
      </c>
      <c r="CF5" s="716">
        <v>44901</v>
      </c>
      <c r="CG5" s="717">
        <v>18014.7</v>
      </c>
      <c r="CH5" s="714">
        <v>20</v>
      </c>
      <c r="CI5" s="718">
        <v>18032</v>
      </c>
      <c r="CJ5" s="138">
        <f>CG5-CI5</f>
        <v>-17.299999999999272</v>
      </c>
      <c r="CK5" s="244"/>
      <c r="CL5" s="244"/>
      <c r="CM5" s="1264" t="s">
        <v>222</v>
      </c>
      <c r="CN5" s="898" t="s">
        <v>223</v>
      </c>
      <c r="CO5" s="715" t="s">
        <v>345</v>
      </c>
      <c r="CP5" s="716">
        <v>44901</v>
      </c>
      <c r="CQ5" s="717">
        <v>19221</v>
      </c>
      <c r="CR5" s="714">
        <v>21</v>
      </c>
      <c r="CS5" s="718">
        <v>19080.599999999999</v>
      </c>
      <c r="CT5" s="138">
        <f>CQ5-CS5</f>
        <v>140.40000000000146</v>
      </c>
      <c r="CU5" s="397"/>
      <c r="CW5" s="713" t="s">
        <v>220</v>
      </c>
      <c r="CX5" s="864" t="s">
        <v>221</v>
      </c>
      <c r="CY5" s="715" t="s">
        <v>346</v>
      </c>
      <c r="CZ5" s="716">
        <v>44902</v>
      </c>
      <c r="DA5" s="717">
        <v>18623.95</v>
      </c>
      <c r="DB5" s="714">
        <v>20</v>
      </c>
      <c r="DC5" s="718">
        <v>18651.62</v>
      </c>
      <c r="DD5" s="138">
        <f>DA5-DC5</f>
        <v>-27.669999999998254</v>
      </c>
      <c r="DE5" s="397"/>
      <c r="DG5" s="720" t="s">
        <v>222</v>
      </c>
      <c r="DH5" s="890" t="s">
        <v>223</v>
      </c>
      <c r="DI5" s="721" t="s">
        <v>347</v>
      </c>
      <c r="DJ5" s="716">
        <v>44903</v>
      </c>
      <c r="DK5" s="717">
        <v>18888.5</v>
      </c>
      <c r="DL5" s="714">
        <v>21</v>
      </c>
      <c r="DM5" s="718">
        <v>18798.7</v>
      </c>
      <c r="DN5" s="138">
        <f>DK5-DM5</f>
        <v>89.799999999999272</v>
      </c>
      <c r="DO5" s="397"/>
      <c r="DQ5" s="1266" t="s">
        <v>220</v>
      </c>
      <c r="DR5" s="896" t="s">
        <v>221</v>
      </c>
      <c r="DS5" s="721" t="s">
        <v>348</v>
      </c>
      <c r="DT5" s="716">
        <v>44903</v>
      </c>
      <c r="DU5" s="717">
        <v>18366.080000000002</v>
      </c>
      <c r="DV5" s="714">
        <v>20</v>
      </c>
      <c r="DW5" s="718">
        <v>18341.810000000001</v>
      </c>
      <c r="DX5" s="138">
        <f>DU5-DW5</f>
        <v>24.270000000000437</v>
      </c>
      <c r="DY5" s="244"/>
      <c r="EA5" s="720" t="s">
        <v>222</v>
      </c>
      <c r="EB5" s="863" t="s">
        <v>223</v>
      </c>
      <c r="EC5" s="721" t="s">
        <v>349</v>
      </c>
      <c r="ED5" s="716">
        <v>44904</v>
      </c>
      <c r="EE5" s="717">
        <v>18847.11</v>
      </c>
      <c r="EF5" s="714">
        <v>21</v>
      </c>
      <c r="EG5" s="718">
        <v>18871.3</v>
      </c>
      <c r="EH5" s="138">
        <f>EE5-EG5</f>
        <v>-24.18999999999869</v>
      </c>
      <c r="EI5" s="397"/>
      <c r="EJ5" s="75" t="s">
        <v>49</v>
      </c>
      <c r="EK5" s="720" t="s">
        <v>222</v>
      </c>
      <c r="EL5" s="863" t="s">
        <v>223</v>
      </c>
      <c r="EM5" s="721" t="s">
        <v>350</v>
      </c>
      <c r="EN5" s="716">
        <v>44904</v>
      </c>
      <c r="EO5" s="717">
        <v>19130.18</v>
      </c>
      <c r="EP5" s="714">
        <v>21</v>
      </c>
      <c r="EQ5" s="718">
        <v>19185.5</v>
      </c>
      <c r="ER5" s="138">
        <f>EO5-EQ5</f>
        <v>-55.319999999999709</v>
      </c>
      <c r="ES5" s="397"/>
      <c r="ET5" s="75" t="s">
        <v>49</v>
      </c>
      <c r="EU5" s="713" t="s">
        <v>222</v>
      </c>
      <c r="EV5" s="863" t="s">
        <v>223</v>
      </c>
      <c r="EW5" s="715" t="s">
        <v>396</v>
      </c>
      <c r="EX5" s="716">
        <v>44904</v>
      </c>
      <c r="EY5" s="717">
        <v>18790.439999999999</v>
      </c>
      <c r="EZ5" s="714">
        <v>21</v>
      </c>
      <c r="FA5" s="697">
        <v>18821</v>
      </c>
      <c r="FB5" s="138">
        <f>EY5-FA5</f>
        <v>-30.56000000000131</v>
      </c>
      <c r="FC5" s="397"/>
      <c r="FE5" s="720" t="s">
        <v>222</v>
      </c>
      <c r="FF5" s="863" t="s">
        <v>223</v>
      </c>
      <c r="FG5" s="721" t="s">
        <v>397</v>
      </c>
      <c r="FH5" s="716">
        <v>44905</v>
      </c>
      <c r="FI5" s="717">
        <v>18848.189999999999</v>
      </c>
      <c r="FJ5" s="714">
        <v>21</v>
      </c>
      <c r="FK5" s="697">
        <v>18826.7</v>
      </c>
      <c r="FL5" s="138">
        <f>FI5-FK5</f>
        <v>21.489999999997963</v>
      </c>
      <c r="FM5" s="397"/>
      <c r="FO5" s="729" t="s">
        <v>220</v>
      </c>
      <c r="FP5" s="864" t="s">
        <v>221</v>
      </c>
      <c r="FQ5" s="721" t="s">
        <v>398</v>
      </c>
      <c r="FR5" s="716">
        <v>44905</v>
      </c>
      <c r="FS5" s="717">
        <v>18920.68</v>
      </c>
      <c r="FT5" s="714">
        <v>20</v>
      </c>
      <c r="FU5" s="718">
        <v>18959.16</v>
      </c>
      <c r="FV5" s="138">
        <f>FS5-FU5</f>
        <v>-38.479999999999563</v>
      </c>
      <c r="FW5" s="397"/>
      <c r="FY5" s="713" t="s">
        <v>222</v>
      </c>
      <c r="FZ5" s="863" t="s">
        <v>223</v>
      </c>
      <c r="GA5" s="715" t="s">
        <v>399</v>
      </c>
      <c r="GB5" s="716">
        <v>44908</v>
      </c>
      <c r="GC5" s="717">
        <v>18992.169999999998</v>
      </c>
      <c r="GD5" s="714">
        <v>21</v>
      </c>
      <c r="GE5" s="718">
        <v>18917.400000000001</v>
      </c>
      <c r="GF5" s="138">
        <f>GC5-GE5</f>
        <v>74.769999999996799</v>
      </c>
      <c r="GG5" s="397"/>
      <c r="GI5" s="814" t="s">
        <v>222</v>
      </c>
      <c r="GJ5" s="863" t="s">
        <v>223</v>
      </c>
      <c r="GK5" s="721" t="s">
        <v>400</v>
      </c>
      <c r="GL5" s="719">
        <v>44908</v>
      </c>
      <c r="GM5" s="717">
        <v>18949.169999999998</v>
      </c>
      <c r="GN5" s="714">
        <v>21</v>
      </c>
      <c r="GO5" s="718">
        <f>GN32</f>
        <v>0</v>
      </c>
      <c r="GP5" s="138">
        <f>GM5-GO5</f>
        <v>18949.169999999998</v>
      </c>
      <c r="GQ5" s="397"/>
      <c r="GS5" s="1264" t="s">
        <v>222</v>
      </c>
      <c r="GT5" s="863" t="s">
        <v>223</v>
      </c>
      <c r="GU5" s="714" t="s">
        <v>401</v>
      </c>
      <c r="GV5" s="719">
        <v>44908</v>
      </c>
      <c r="GW5" s="717">
        <v>19166.849999999999</v>
      </c>
      <c r="GX5" s="714">
        <v>21</v>
      </c>
      <c r="GY5" s="718">
        <v>19058.7</v>
      </c>
      <c r="GZ5" s="138">
        <f>GW5-GY5</f>
        <v>108.14999999999782</v>
      </c>
      <c r="HA5" s="397"/>
      <c r="HC5" s="1263" t="s">
        <v>220</v>
      </c>
      <c r="HD5" s="864" t="s">
        <v>221</v>
      </c>
      <c r="HE5" s="721" t="s">
        <v>402</v>
      </c>
      <c r="HF5" s="719">
        <v>44909</v>
      </c>
      <c r="HG5" s="717">
        <v>18590.849999999999</v>
      </c>
      <c r="HH5" s="714">
        <v>20</v>
      </c>
      <c r="HI5" s="718">
        <v>18618.48</v>
      </c>
      <c r="HJ5" s="138">
        <f>HG5-HI5</f>
        <v>-27.630000000001019</v>
      </c>
      <c r="HK5" s="397"/>
      <c r="HM5" s="720" t="s">
        <v>403</v>
      </c>
      <c r="HN5" s="864" t="s">
        <v>221</v>
      </c>
      <c r="HO5" s="721" t="s">
        <v>404</v>
      </c>
      <c r="HP5" s="716">
        <v>44909</v>
      </c>
      <c r="HQ5" s="717">
        <v>18256.88</v>
      </c>
      <c r="HR5" s="714">
        <v>20</v>
      </c>
      <c r="HS5" s="697">
        <v>18237.5</v>
      </c>
      <c r="HT5" s="138">
        <f>HQ5-HS5</f>
        <v>19.380000000001019</v>
      </c>
      <c r="HU5" s="397"/>
      <c r="HW5" s="1264" t="s">
        <v>220</v>
      </c>
      <c r="HX5" s="864" t="s">
        <v>221</v>
      </c>
      <c r="HY5" s="721" t="s">
        <v>405</v>
      </c>
      <c r="HZ5" s="716">
        <v>44910</v>
      </c>
      <c r="IA5" s="717">
        <v>18753.78</v>
      </c>
      <c r="IB5" s="714">
        <v>20</v>
      </c>
      <c r="IC5" s="718">
        <v>18785</v>
      </c>
      <c r="ID5" s="138">
        <f>IA5-IC5</f>
        <v>-31.220000000001164</v>
      </c>
      <c r="IE5" s="397"/>
      <c r="IG5" s="1264" t="s">
        <v>222</v>
      </c>
      <c r="IH5" s="863" t="s">
        <v>223</v>
      </c>
      <c r="II5" s="721" t="s">
        <v>406</v>
      </c>
      <c r="IJ5" s="716">
        <v>44910</v>
      </c>
      <c r="IK5" s="717">
        <v>19116.189999999999</v>
      </c>
      <c r="IL5" s="714">
        <v>21</v>
      </c>
      <c r="IM5" s="718">
        <v>19114.3</v>
      </c>
      <c r="IN5" s="138">
        <f>IK5-IM5</f>
        <v>1.8899999999994179</v>
      </c>
      <c r="IO5" s="397"/>
      <c r="IQ5" s="1264" t="s">
        <v>222</v>
      </c>
      <c r="IR5" s="1066" t="s">
        <v>223</v>
      </c>
      <c r="IS5" s="715" t="s">
        <v>407</v>
      </c>
      <c r="IT5" s="719">
        <v>44911</v>
      </c>
      <c r="IU5" s="717">
        <v>19165.84</v>
      </c>
      <c r="IV5" s="714">
        <v>21</v>
      </c>
      <c r="IW5" s="718">
        <v>19125.2</v>
      </c>
      <c r="IX5" s="138">
        <f>IU5-IW5</f>
        <v>40.639999999999418</v>
      </c>
      <c r="IY5" s="397"/>
      <c r="JA5" s="720" t="s">
        <v>222</v>
      </c>
      <c r="JB5" s="863" t="s">
        <v>223</v>
      </c>
      <c r="JC5" s="715" t="s">
        <v>408</v>
      </c>
      <c r="JD5" s="716">
        <v>44911</v>
      </c>
      <c r="JE5" s="717">
        <v>19052.3</v>
      </c>
      <c r="JF5" s="714">
        <v>21</v>
      </c>
      <c r="JG5" s="718">
        <v>19018.2</v>
      </c>
      <c r="JH5" s="138">
        <f>JE5-JG5</f>
        <v>34.099999999998545</v>
      </c>
      <c r="JI5" s="397"/>
      <c r="JK5" s="1266" t="s">
        <v>222</v>
      </c>
      <c r="JL5" s="1075" t="s">
        <v>223</v>
      </c>
      <c r="JM5" s="721" t="s">
        <v>409</v>
      </c>
      <c r="JN5" s="716">
        <v>44912</v>
      </c>
      <c r="JO5" s="717">
        <v>19132.05</v>
      </c>
      <c r="JP5" s="714">
        <v>21</v>
      </c>
      <c r="JQ5" s="697">
        <v>19056.099999999999</v>
      </c>
      <c r="JR5" s="138">
        <f>JO5-JQ5</f>
        <v>75.950000000000728</v>
      </c>
      <c r="JS5" s="397"/>
      <c r="JU5" s="713" t="s">
        <v>222</v>
      </c>
      <c r="JV5" s="863" t="s">
        <v>223</v>
      </c>
      <c r="JW5" s="715" t="s">
        <v>410</v>
      </c>
      <c r="JX5" s="716">
        <v>44912</v>
      </c>
      <c r="JY5" s="717">
        <v>19022.099999999999</v>
      </c>
      <c r="JZ5" s="714">
        <v>21</v>
      </c>
      <c r="KA5" s="718">
        <v>18972.900000000001</v>
      </c>
      <c r="KB5" s="138">
        <f>JY5-KA5</f>
        <v>49.19999999999709</v>
      </c>
      <c r="KC5" s="397"/>
      <c r="KE5" s="1265" t="s">
        <v>222</v>
      </c>
      <c r="KF5" s="863" t="s">
        <v>223</v>
      </c>
      <c r="KG5" s="715" t="s">
        <v>411</v>
      </c>
      <c r="KH5" s="716">
        <v>44915</v>
      </c>
      <c r="KI5" s="717">
        <v>19011.71</v>
      </c>
      <c r="KJ5" s="714">
        <v>21</v>
      </c>
      <c r="KK5" s="718">
        <v>19014.5</v>
      </c>
      <c r="KL5" s="138">
        <f>KI5-KK5</f>
        <v>-2.7900000000008731</v>
      </c>
      <c r="KM5" s="397"/>
      <c r="KO5" s="713" t="s">
        <v>220</v>
      </c>
      <c r="KP5" s="864" t="s">
        <v>412</v>
      </c>
      <c r="KQ5" s="715" t="s">
        <v>413</v>
      </c>
      <c r="KR5" s="716">
        <v>44915</v>
      </c>
      <c r="KS5" s="717">
        <v>18789.09</v>
      </c>
      <c r="KT5" s="714">
        <v>20</v>
      </c>
      <c r="KU5" s="718">
        <v>18755.48</v>
      </c>
      <c r="KV5" s="138">
        <f>KS5-KU5</f>
        <v>33.610000000000582</v>
      </c>
      <c r="KW5" s="397"/>
      <c r="KY5" s="713" t="s">
        <v>222</v>
      </c>
      <c r="KZ5" s="863" t="s">
        <v>223</v>
      </c>
      <c r="LA5" s="715" t="s">
        <v>414</v>
      </c>
      <c r="LB5" s="719">
        <v>44916</v>
      </c>
      <c r="LC5" s="717">
        <v>19050.21</v>
      </c>
      <c r="LD5" s="714">
        <v>21</v>
      </c>
      <c r="LE5" s="718">
        <v>18981.900000000001</v>
      </c>
      <c r="LF5" s="138">
        <f>LC5-LE5</f>
        <v>68.309999999997672</v>
      </c>
      <c r="LG5" s="397"/>
      <c r="LH5" s="75" t="s">
        <v>41</v>
      </c>
      <c r="LI5" s="720" t="s">
        <v>220</v>
      </c>
      <c r="LJ5" s="864" t="s">
        <v>415</v>
      </c>
      <c r="LK5" s="721" t="s">
        <v>416</v>
      </c>
      <c r="LL5" s="716">
        <v>44916</v>
      </c>
      <c r="LM5" s="717">
        <v>18670.64</v>
      </c>
      <c r="LN5" s="714">
        <v>20</v>
      </c>
      <c r="LO5" s="718">
        <v>18728.29</v>
      </c>
      <c r="LP5" s="138">
        <f>LM5-LO5</f>
        <v>-57.650000000001455</v>
      </c>
      <c r="LQ5" s="397"/>
      <c r="LS5" s="720" t="s">
        <v>222</v>
      </c>
      <c r="LT5" s="863" t="s">
        <v>223</v>
      </c>
      <c r="LU5" s="722" t="s">
        <v>417</v>
      </c>
      <c r="LV5" s="716">
        <v>44917</v>
      </c>
      <c r="LW5" s="717">
        <v>18579.03</v>
      </c>
      <c r="LX5" s="714">
        <v>21</v>
      </c>
      <c r="LY5" s="718">
        <v>18686.400000000001</v>
      </c>
      <c r="LZ5" s="138">
        <f>LW5-LY5</f>
        <v>-107.37000000000262</v>
      </c>
      <c r="MA5" s="397"/>
      <c r="MB5" s="244"/>
      <c r="MC5" s="75" t="s">
        <v>222</v>
      </c>
      <c r="MD5" s="863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64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63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63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Q5" s="75" t="s">
        <v>222</v>
      </c>
      <c r="NR5" s="863" t="s">
        <v>223</v>
      </c>
      <c r="NS5" s="102" t="s">
        <v>502</v>
      </c>
      <c r="NT5" s="135">
        <v>44918</v>
      </c>
      <c r="NU5" s="86">
        <v>19184.419999999998</v>
      </c>
      <c r="NV5" s="73">
        <v>21</v>
      </c>
      <c r="NW5" s="48">
        <v>19224.099999999999</v>
      </c>
      <c r="NX5" s="138">
        <f>NU5-NW5</f>
        <v>-39.680000000000291</v>
      </c>
      <c r="NY5" s="138"/>
      <c r="OA5" s="75" t="s">
        <v>222</v>
      </c>
      <c r="OB5" s="863" t="s">
        <v>223</v>
      </c>
      <c r="OC5" s="225" t="s">
        <v>503</v>
      </c>
      <c r="OD5" s="135">
        <v>44919</v>
      </c>
      <c r="OE5" s="86">
        <v>19113.990000000002</v>
      </c>
      <c r="OF5" s="73">
        <v>21</v>
      </c>
      <c r="OG5" s="48">
        <v>19033.599999999999</v>
      </c>
      <c r="OH5" s="138">
        <f>OE5-OG5</f>
        <v>80.390000000003056</v>
      </c>
      <c r="OI5" s="138"/>
      <c r="OK5" s="75" t="s">
        <v>222</v>
      </c>
      <c r="OL5" s="863" t="s">
        <v>223</v>
      </c>
      <c r="OM5" s="102" t="s">
        <v>504</v>
      </c>
      <c r="ON5" s="135">
        <v>44919</v>
      </c>
      <c r="OO5" s="86">
        <v>19299.72</v>
      </c>
      <c r="OP5" s="73">
        <v>21</v>
      </c>
      <c r="OQ5" s="48">
        <v>19242.3</v>
      </c>
      <c r="OR5" s="138">
        <f>OO5-OQ5</f>
        <v>57.420000000001892</v>
      </c>
      <c r="OS5" s="138"/>
      <c r="OU5" s="75" t="s">
        <v>222</v>
      </c>
      <c r="OV5" s="863" t="s">
        <v>223</v>
      </c>
      <c r="OW5" s="102" t="s">
        <v>506</v>
      </c>
      <c r="OX5" s="134">
        <v>44921</v>
      </c>
      <c r="OY5" s="86">
        <v>19182.900000000001</v>
      </c>
      <c r="OZ5" s="73">
        <v>21</v>
      </c>
      <c r="PA5" s="48">
        <v>19238</v>
      </c>
      <c r="PB5" s="138">
        <f>OY5-PA5</f>
        <v>-55.099999999998545</v>
      </c>
      <c r="PC5" s="138"/>
      <c r="PE5" s="75" t="s">
        <v>222</v>
      </c>
      <c r="PF5" s="863" t="s">
        <v>223</v>
      </c>
      <c r="PG5" s="225" t="s">
        <v>511</v>
      </c>
      <c r="PH5" s="135">
        <v>44924</v>
      </c>
      <c r="PI5" s="86">
        <v>18823.7</v>
      </c>
      <c r="PJ5" s="73">
        <v>21</v>
      </c>
      <c r="PK5" s="48">
        <v>18878.87</v>
      </c>
      <c r="PL5" s="138">
        <f>PI5-PK5</f>
        <v>-55.169999999998254</v>
      </c>
      <c r="PM5" s="138"/>
      <c r="PO5" s="75" t="s">
        <v>222</v>
      </c>
      <c r="PP5" s="863" t="s">
        <v>223</v>
      </c>
      <c r="PQ5" s="102" t="s">
        <v>512</v>
      </c>
      <c r="PR5" s="134">
        <v>44924</v>
      </c>
      <c r="PS5" s="86">
        <v>19110.349999999999</v>
      </c>
      <c r="PT5" s="73">
        <v>21</v>
      </c>
      <c r="PU5" s="48">
        <v>19235.099999999999</v>
      </c>
      <c r="PV5" s="138">
        <f>PS5-PU5</f>
        <v>-124.75</v>
      </c>
      <c r="PX5" s="75" t="s">
        <v>220</v>
      </c>
      <c r="PY5" s="864" t="s">
        <v>221</v>
      </c>
      <c r="PZ5" s="102" t="s">
        <v>513</v>
      </c>
      <c r="QA5" s="135">
        <v>44924</v>
      </c>
      <c r="QB5" s="86">
        <v>18781.439999999999</v>
      </c>
      <c r="QC5" s="73">
        <v>20</v>
      </c>
      <c r="QD5" s="48">
        <v>18793.14</v>
      </c>
      <c r="QE5" s="138">
        <f>QB5-QD5</f>
        <v>-11.700000000000728</v>
      </c>
      <c r="QG5" s="75" t="s">
        <v>222</v>
      </c>
      <c r="QH5" s="863" t="s">
        <v>223</v>
      </c>
      <c r="QI5" s="102" t="s">
        <v>539</v>
      </c>
      <c r="QJ5" s="134">
        <v>44925</v>
      </c>
      <c r="QK5" s="86">
        <v>17876.36</v>
      </c>
      <c r="QL5" s="73">
        <v>20</v>
      </c>
      <c r="QM5" s="48">
        <v>17920.8</v>
      </c>
      <c r="QN5" s="138">
        <f>QK5-QM5</f>
        <v>-44.43999999999869</v>
      </c>
      <c r="QP5" s="75" t="s">
        <v>222</v>
      </c>
      <c r="QQ5" s="863" t="s">
        <v>223</v>
      </c>
      <c r="QR5" s="225" t="s">
        <v>540</v>
      </c>
      <c r="QS5" s="134">
        <v>44926</v>
      </c>
      <c r="QT5" s="86">
        <v>18047.189999999999</v>
      </c>
      <c r="QU5" s="73">
        <v>20</v>
      </c>
      <c r="QV5" s="48">
        <v>18100.400000000001</v>
      </c>
      <c r="QW5" s="138">
        <f>QT5-QV5</f>
        <v>-53.210000000002765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265"/>
      <c r="L6" s="724"/>
      <c r="M6" s="720"/>
      <c r="N6" s="720"/>
      <c r="O6" s="720"/>
      <c r="P6" s="720"/>
      <c r="Q6" s="714"/>
      <c r="S6" s="244"/>
      <c r="U6" s="713"/>
      <c r="V6" s="724"/>
      <c r="W6" s="720"/>
      <c r="X6" s="720"/>
      <c r="Y6" s="720"/>
      <c r="Z6" s="720"/>
      <c r="AA6" s="714"/>
      <c r="AC6" s="244"/>
      <c r="AE6" s="226"/>
      <c r="AF6" s="280"/>
      <c r="AK6" s="73"/>
      <c r="AM6" s="244"/>
      <c r="AP6" s="228"/>
      <c r="AU6" s="73"/>
      <c r="AZ6" s="228"/>
      <c r="BE6" s="73"/>
      <c r="BI6" s="1264"/>
      <c r="BJ6" s="723"/>
      <c r="BK6" s="720"/>
      <c r="BL6" s="720"/>
      <c r="BM6" s="720"/>
      <c r="BN6" s="720"/>
      <c r="BO6" s="714"/>
      <c r="BQ6" s="244"/>
      <c r="BS6" s="1263"/>
      <c r="BT6" s="724"/>
      <c r="BU6" s="720"/>
      <c r="BV6" s="720"/>
      <c r="BW6" s="720"/>
      <c r="BX6" s="720"/>
      <c r="BY6" s="714"/>
      <c r="CA6" s="244"/>
      <c r="CB6" s="244"/>
      <c r="CC6" s="713"/>
      <c r="CD6" s="724"/>
      <c r="CE6" s="720"/>
      <c r="CF6" s="720"/>
      <c r="CG6" s="720"/>
      <c r="CH6" s="720"/>
      <c r="CI6" s="714"/>
      <c r="CK6" s="244"/>
      <c r="CL6" s="244"/>
      <c r="CM6" s="1264"/>
      <c r="CN6" s="725"/>
      <c r="CO6" s="720"/>
      <c r="CP6" s="720"/>
      <c r="CQ6" s="720"/>
      <c r="CR6" s="720"/>
      <c r="CS6" s="714"/>
      <c r="CU6" s="244"/>
      <c r="CW6" s="226"/>
      <c r="CX6" s="228"/>
      <c r="DC6" s="73"/>
      <c r="DE6" s="244"/>
      <c r="DG6" s="62"/>
      <c r="DH6" s="228"/>
      <c r="DM6" s="73"/>
      <c r="DO6" s="244"/>
      <c r="DQ6" s="1266"/>
      <c r="DR6" s="724"/>
      <c r="DS6" s="720"/>
      <c r="DT6" s="720"/>
      <c r="DU6" s="720"/>
      <c r="DV6" s="720"/>
      <c r="DW6" s="714"/>
      <c r="DY6" s="244"/>
      <c r="EA6" s="720"/>
      <c r="EB6" s="724"/>
      <c r="EC6" s="720"/>
      <c r="ED6" s="720"/>
      <c r="EE6" s="720"/>
      <c r="EF6" s="720"/>
      <c r="EG6" s="714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15"/>
      <c r="GJ6" s="816"/>
      <c r="GK6" s="720"/>
      <c r="GL6" s="720"/>
      <c r="GM6" s="720"/>
      <c r="GN6" s="720"/>
      <c r="GO6" s="714"/>
      <c r="GQ6" s="244"/>
      <c r="GS6" s="1264"/>
      <c r="GT6" s="730"/>
      <c r="GU6" s="720"/>
      <c r="GV6" s="720"/>
      <c r="GW6" s="720"/>
      <c r="GX6" s="720"/>
      <c r="GY6" s="714"/>
      <c r="HA6" s="244"/>
      <c r="HC6" s="1263"/>
      <c r="HD6" s="724"/>
      <c r="HE6" s="720"/>
      <c r="HF6" s="720"/>
      <c r="HG6" s="720"/>
      <c r="HH6" s="720"/>
      <c r="HI6" s="714"/>
      <c r="HK6" s="244"/>
      <c r="HM6" s="176"/>
      <c r="HN6" s="228"/>
      <c r="HS6" s="73"/>
      <c r="HU6" s="244"/>
      <c r="HW6" s="1264"/>
      <c r="HX6" s="720"/>
      <c r="HY6" s="720"/>
      <c r="HZ6" s="720"/>
      <c r="IA6" s="720"/>
      <c r="IB6" s="720"/>
      <c r="IC6" s="714"/>
      <c r="IE6" s="244"/>
      <c r="IG6" s="1264"/>
      <c r="IH6" s="720"/>
      <c r="II6" s="720"/>
      <c r="IJ6" s="720"/>
      <c r="IK6" s="720"/>
      <c r="IL6" s="720"/>
      <c r="IM6" s="714"/>
      <c r="IO6" s="244"/>
      <c r="IQ6" s="1264"/>
      <c r="IR6" s="724"/>
      <c r="IS6" s="720"/>
      <c r="IT6" s="720"/>
      <c r="IU6" s="720"/>
      <c r="IV6" s="720"/>
      <c r="IW6" s="714"/>
      <c r="IY6" s="244"/>
      <c r="JA6" s="720"/>
      <c r="JB6" s="720"/>
      <c r="JC6" s="720"/>
      <c r="JD6" s="720"/>
      <c r="JE6" s="720"/>
      <c r="JF6" s="720"/>
      <c r="JG6" s="714"/>
      <c r="JI6" s="244"/>
      <c r="JK6" s="1266"/>
      <c r="JL6" s="724"/>
      <c r="JM6" s="720"/>
      <c r="JN6" s="720"/>
      <c r="JO6" s="720"/>
      <c r="JP6" s="720"/>
      <c r="JQ6" s="714"/>
      <c r="JS6" s="244"/>
      <c r="JU6" s="713"/>
      <c r="JV6" s="724"/>
      <c r="JW6" s="720"/>
      <c r="JX6" s="720"/>
      <c r="JY6" s="720"/>
      <c r="JZ6" s="720"/>
      <c r="KA6" s="714"/>
      <c r="KC6" s="244"/>
      <c r="KE6" s="1265"/>
      <c r="KF6" s="724"/>
      <c r="KG6" s="720"/>
      <c r="KH6" s="720"/>
      <c r="KI6" s="720"/>
      <c r="KJ6" s="720"/>
      <c r="KK6" s="714"/>
      <c r="KM6" s="244"/>
      <c r="KO6" s="713"/>
      <c r="KP6" s="724"/>
      <c r="KQ6" s="720"/>
      <c r="KR6" s="720"/>
      <c r="KS6" s="720"/>
      <c r="KT6" s="720"/>
      <c r="KU6" s="714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699"/>
      <c r="AA8" s="700"/>
      <c r="AB8" s="701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0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699">
        <v>886.3</v>
      </c>
      <c r="DK8" s="726"/>
      <c r="DL8" s="699"/>
      <c r="DM8" s="727"/>
      <c r="DN8" s="728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868.2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881.8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944.37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699"/>
      <c r="KU8" s="700"/>
      <c r="KV8" s="701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>
        <v>919.9</v>
      </c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>
        <v>922.6</v>
      </c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>
        <v>926.2</v>
      </c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>
        <v>891.8</v>
      </c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>
        <v>879.5</v>
      </c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>
        <v>911.7</v>
      </c>
      <c r="PS8" s="245"/>
      <c r="PT8" s="92"/>
      <c r="PU8" s="95"/>
      <c r="PV8" s="71"/>
      <c r="PX8" s="61"/>
      <c r="PY8" s="106"/>
      <c r="PZ8" s="15">
        <v>1</v>
      </c>
      <c r="QA8" s="92">
        <v>944.37</v>
      </c>
      <c r="QB8" s="135"/>
      <c r="QC8" s="92"/>
      <c r="QD8" s="95"/>
      <c r="QE8" s="71"/>
      <c r="QG8" s="61"/>
      <c r="QH8" s="106"/>
      <c r="QI8" s="15">
        <v>1</v>
      </c>
      <c r="QJ8" s="92">
        <v>914.4</v>
      </c>
      <c r="QK8" s="245"/>
      <c r="QL8" s="92"/>
      <c r="QM8" s="95"/>
      <c r="QN8" s="71"/>
      <c r="QP8" s="61"/>
      <c r="QQ8" s="106"/>
      <c r="QR8" s="15">
        <v>1</v>
      </c>
      <c r="QS8" s="92">
        <v>883.1</v>
      </c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2"/>
      <c r="AA9" s="700"/>
      <c r="AB9" s="701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0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699">
        <v>894.5</v>
      </c>
      <c r="DK9" s="726"/>
      <c r="DL9" s="699"/>
      <c r="DM9" s="727"/>
      <c r="DN9" s="728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897.2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892.7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946.19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2"/>
      <c r="KU9" s="700"/>
      <c r="KV9" s="701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>
        <v>868.2</v>
      </c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>
        <v>939.8</v>
      </c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>
        <v>911.7</v>
      </c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>
        <v>919</v>
      </c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>
        <v>886.8</v>
      </c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>
        <v>941.2</v>
      </c>
      <c r="PS9" s="245"/>
      <c r="PT9" s="92"/>
      <c r="PU9" s="95"/>
      <c r="PV9" s="71"/>
      <c r="PY9" s="106"/>
      <c r="PZ9" s="15">
        <v>2</v>
      </c>
      <c r="QA9" s="92">
        <v>950.72</v>
      </c>
      <c r="QB9" s="135"/>
      <c r="QC9" s="92"/>
      <c r="QD9" s="95"/>
      <c r="QE9" s="71"/>
      <c r="QH9" s="106"/>
      <c r="QI9" s="15">
        <v>2</v>
      </c>
      <c r="QJ9" s="92">
        <v>892.7</v>
      </c>
      <c r="QK9" s="245"/>
      <c r="QL9" s="92"/>
      <c r="QM9" s="95"/>
      <c r="QN9" s="71"/>
      <c r="QQ9" s="106"/>
      <c r="QR9" s="15">
        <v>2</v>
      </c>
      <c r="QS9" s="92">
        <v>876.3</v>
      </c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2"/>
      <c r="AA10" s="700"/>
      <c r="AB10" s="701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0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699">
        <v>871.8</v>
      </c>
      <c r="DK10" s="726"/>
      <c r="DL10" s="699"/>
      <c r="DM10" s="727"/>
      <c r="DN10" s="728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889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907.2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950.72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699"/>
      <c r="HI10" s="955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2"/>
      <c r="KU10" s="700"/>
      <c r="KV10" s="701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>
        <v>881.8</v>
      </c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>
        <v>879.1</v>
      </c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>
        <v>880.9</v>
      </c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>
        <v>922.6</v>
      </c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>
        <v>907.6</v>
      </c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>
        <v>935.8</v>
      </c>
      <c r="PS10" s="245"/>
      <c r="PT10" s="92"/>
      <c r="PU10" s="95"/>
      <c r="PV10" s="71"/>
      <c r="PY10" s="106"/>
      <c r="PZ10" s="15">
        <v>3</v>
      </c>
      <c r="QA10" s="92">
        <v>928.95</v>
      </c>
      <c r="QB10" s="135"/>
      <c r="QC10" s="92"/>
      <c r="QD10" s="95"/>
      <c r="QE10" s="71"/>
      <c r="QH10" s="106"/>
      <c r="QI10" s="15">
        <v>3</v>
      </c>
      <c r="QJ10" s="92">
        <v>904</v>
      </c>
      <c r="QK10" s="245"/>
      <c r="QL10" s="92"/>
      <c r="QM10" s="95"/>
      <c r="QN10" s="71"/>
      <c r="QQ10" s="106"/>
      <c r="QR10" s="15">
        <v>3</v>
      </c>
      <c r="QS10" s="92">
        <v>895.4</v>
      </c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2"/>
      <c r="AA11" s="700"/>
      <c r="AB11" s="701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0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699">
        <v>913.5</v>
      </c>
      <c r="DK11" s="726"/>
      <c r="DL11" s="699"/>
      <c r="DM11" s="727"/>
      <c r="DN11" s="728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>
        <v>914.4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899.9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952.54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699"/>
      <c r="HI11" s="955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2"/>
      <c r="KU11" s="700"/>
      <c r="KV11" s="701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>
        <v>927.1</v>
      </c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>
        <v>910.8</v>
      </c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>
        <v>875.4</v>
      </c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>
        <v>918.1</v>
      </c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>
        <v>890.9</v>
      </c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>
        <v>906.3</v>
      </c>
      <c r="PS11" s="245"/>
      <c r="PT11" s="92"/>
      <c r="PU11" s="95"/>
      <c r="PV11" s="71"/>
      <c r="PX11" s="61"/>
      <c r="PY11" s="106"/>
      <c r="PZ11" s="15">
        <v>4</v>
      </c>
      <c r="QA11" s="92">
        <v>963.88</v>
      </c>
      <c r="QB11" s="135"/>
      <c r="QC11" s="92"/>
      <c r="QD11" s="95"/>
      <c r="QE11" s="71"/>
      <c r="QG11" s="61"/>
      <c r="QH11" s="106"/>
      <c r="QI11" s="15">
        <v>4</v>
      </c>
      <c r="QJ11" s="92">
        <v>888.6</v>
      </c>
      <c r="QK11" s="245"/>
      <c r="QL11" s="92"/>
      <c r="QM11" s="95"/>
      <c r="QN11" s="71"/>
      <c r="QP11" s="61"/>
      <c r="QQ11" s="106"/>
      <c r="QR11" s="15">
        <v>4</v>
      </c>
      <c r="QS11" s="92">
        <v>934.8</v>
      </c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2"/>
      <c r="AA12" s="700"/>
      <c r="AB12" s="701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0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699">
        <v>899.9</v>
      </c>
      <c r="DK12" s="726"/>
      <c r="DL12" s="699"/>
      <c r="DM12" s="727"/>
      <c r="DN12" s="728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891.8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914.4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964.33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699"/>
      <c r="HI12" s="955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2"/>
      <c r="KU12" s="700"/>
      <c r="KV12" s="701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>
        <v>929.9</v>
      </c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>
        <v>898.1</v>
      </c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>
        <v>936.2</v>
      </c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>
        <v>912.6</v>
      </c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>
        <v>896.87</v>
      </c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>
        <v>919.4</v>
      </c>
      <c r="PS12" s="245"/>
      <c r="PT12" s="92"/>
      <c r="PU12" s="95"/>
      <c r="PV12" s="71"/>
      <c r="PY12" s="106"/>
      <c r="PZ12" s="15">
        <v>5</v>
      </c>
      <c r="QA12" s="92">
        <v>968.87</v>
      </c>
      <c r="QB12" s="135"/>
      <c r="QC12" s="92"/>
      <c r="QD12" s="95"/>
      <c r="QE12" s="71"/>
      <c r="QH12" s="106"/>
      <c r="QI12" s="15">
        <v>5</v>
      </c>
      <c r="QJ12" s="92">
        <v>889</v>
      </c>
      <c r="QK12" s="245"/>
      <c r="QL12" s="92"/>
      <c r="QM12" s="95"/>
      <c r="QN12" s="71"/>
      <c r="QQ12" s="106"/>
      <c r="QR12" s="15">
        <v>5</v>
      </c>
      <c r="QS12" s="92">
        <v>915.3</v>
      </c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2"/>
      <c r="AA13" s="700"/>
      <c r="AB13" s="701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0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699">
        <v>929.9</v>
      </c>
      <c r="DK13" s="726"/>
      <c r="DL13" s="699"/>
      <c r="DM13" s="727"/>
      <c r="DN13" s="728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863.6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889.9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906.27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699"/>
      <c r="HI13" s="955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2"/>
      <c r="KU13" s="700"/>
      <c r="KV13" s="701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>
        <v>930.8</v>
      </c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>
        <v>916.3</v>
      </c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>
        <v>918.1</v>
      </c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>
        <v>911.7</v>
      </c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>
        <v>879.1</v>
      </c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>
        <v>899.5</v>
      </c>
      <c r="PS13" s="245"/>
      <c r="PT13" s="92"/>
      <c r="PU13" s="95"/>
      <c r="PV13" s="71"/>
      <c r="PY13" s="106"/>
      <c r="PZ13" s="15">
        <v>6</v>
      </c>
      <c r="QA13" s="92">
        <v>931.22</v>
      </c>
      <c r="QB13" s="135"/>
      <c r="QC13" s="92"/>
      <c r="QD13" s="95"/>
      <c r="QE13" s="71"/>
      <c r="QH13" s="106"/>
      <c r="QI13" s="15">
        <v>6</v>
      </c>
      <c r="QJ13" s="92">
        <v>890.9</v>
      </c>
      <c r="QK13" s="245"/>
      <c r="QL13" s="92"/>
      <c r="QM13" s="95"/>
      <c r="QN13" s="71"/>
      <c r="QQ13" s="106"/>
      <c r="QR13" s="15">
        <v>6</v>
      </c>
      <c r="QS13" s="92">
        <v>919</v>
      </c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2"/>
      <c r="AA14" s="700"/>
      <c r="AB14" s="701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0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0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699">
        <v>902.6</v>
      </c>
      <c r="DK14" s="726"/>
      <c r="DL14" s="699"/>
      <c r="DM14" s="727"/>
      <c r="DN14" s="728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863.6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913.5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941.65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699"/>
      <c r="HI14" s="955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2"/>
      <c r="KU14" s="700"/>
      <c r="KV14" s="701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>
        <v>920.8</v>
      </c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>
        <v>901.7</v>
      </c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>
        <v>936.2</v>
      </c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>
        <v>927.1</v>
      </c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>
        <v>874.5</v>
      </c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>
        <v>941.2</v>
      </c>
      <c r="PS14" s="245"/>
      <c r="PT14" s="92"/>
      <c r="PU14" s="95"/>
      <c r="PV14" s="71"/>
      <c r="PY14" s="106"/>
      <c r="PZ14" s="15">
        <v>7</v>
      </c>
      <c r="QA14" s="92">
        <v>927.59</v>
      </c>
      <c r="QB14" s="135"/>
      <c r="QC14" s="92"/>
      <c r="QD14" s="95"/>
      <c r="QE14" s="71"/>
      <c r="QH14" s="106"/>
      <c r="QI14" s="15">
        <v>7</v>
      </c>
      <c r="QJ14" s="92">
        <v>870.9</v>
      </c>
      <c r="QK14" s="245"/>
      <c r="QL14" s="92"/>
      <c r="QM14" s="95"/>
      <c r="QN14" s="71"/>
      <c r="QQ14" s="106"/>
      <c r="QR14" s="15">
        <v>7</v>
      </c>
      <c r="QS14" s="92">
        <v>907.2</v>
      </c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2"/>
      <c r="AA15" s="700"/>
      <c r="AB15" s="701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0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0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699">
        <v>919.9</v>
      </c>
      <c r="DK15" s="726"/>
      <c r="DL15" s="699"/>
      <c r="DM15" s="727"/>
      <c r="DN15" s="728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889.9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899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949.82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699"/>
      <c r="HI15" s="955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2"/>
      <c r="KU15" s="700"/>
      <c r="KV15" s="701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>
        <v>914.4</v>
      </c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>
        <v>880.9</v>
      </c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>
        <v>926.2</v>
      </c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>
        <v>933.5</v>
      </c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>
        <v>936.7</v>
      </c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>
        <v>920.8</v>
      </c>
      <c r="PS15" s="245"/>
      <c r="PT15" s="92"/>
      <c r="PU15" s="95"/>
      <c r="PV15" s="71"/>
      <c r="PY15" s="106"/>
      <c r="PZ15" s="15">
        <v>8</v>
      </c>
      <c r="QA15" s="92">
        <v>923.51</v>
      </c>
      <c r="QB15" s="135"/>
      <c r="QC15" s="92"/>
      <c r="QD15" s="95"/>
      <c r="QE15" s="71"/>
      <c r="QH15" s="106"/>
      <c r="QI15" s="15">
        <v>8</v>
      </c>
      <c r="QJ15" s="92">
        <v>909.9</v>
      </c>
      <c r="QK15" s="245"/>
      <c r="QL15" s="92"/>
      <c r="QM15" s="95"/>
      <c r="QN15" s="71"/>
      <c r="QQ15" s="106"/>
      <c r="QR15" s="15">
        <v>8</v>
      </c>
      <c r="QS15" s="92">
        <v>916.7</v>
      </c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2"/>
      <c r="AA16" s="700"/>
      <c r="AB16" s="701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0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0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699">
        <v>916.3</v>
      </c>
      <c r="DK16" s="726"/>
      <c r="DL16" s="699"/>
      <c r="DM16" s="727"/>
      <c r="DN16" s="728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896.3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887.2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937.12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699"/>
      <c r="HI16" s="955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2"/>
      <c r="KU16" s="700"/>
      <c r="KV16" s="701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>
        <v>895.4</v>
      </c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>
        <v>932.6</v>
      </c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>
        <v>918.1</v>
      </c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>
        <v>935.3</v>
      </c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>
        <v>937.1</v>
      </c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>
        <v>941.2</v>
      </c>
      <c r="PS16" s="245"/>
      <c r="PT16" s="92"/>
      <c r="PU16" s="95"/>
      <c r="PV16" s="71"/>
      <c r="PY16" s="106"/>
      <c r="PZ16" s="15">
        <v>9</v>
      </c>
      <c r="QA16" s="92">
        <v>933.03</v>
      </c>
      <c r="QB16" s="135"/>
      <c r="QC16" s="92"/>
      <c r="QD16" s="95"/>
      <c r="QE16" s="71"/>
      <c r="QH16" s="106"/>
      <c r="QI16" s="15">
        <v>9</v>
      </c>
      <c r="QJ16" s="92">
        <v>888.1</v>
      </c>
      <c r="QK16" s="245"/>
      <c r="QL16" s="92"/>
      <c r="QM16" s="95"/>
      <c r="QN16" s="71"/>
      <c r="QQ16" s="106"/>
      <c r="QR16" s="15">
        <v>9</v>
      </c>
      <c r="QS16" s="92">
        <v>917.6</v>
      </c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2"/>
      <c r="AA17" s="700"/>
      <c r="AB17" s="701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0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0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2">
        <v>861.8</v>
      </c>
      <c r="DK17" s="726"/>
      <c r="DL17" s="702"/>
      <c r="DM17" s="727"/>
      <c r="DN17" s="728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920.8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911.7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969.78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699"/>
      <c r="HI17" s="955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2"/>
      <c r="KU17" s="700"/>
      <c r="KV17" s="701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>
        <v>939.8</v>
      </c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>
        <v>921.7</v>
      </c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>
        <v>935.3</v>
      </c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>
        <v>904.5</v>
      </c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>
        <v>870.4</v>
      </c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>
        <v>880.9</v>
      </c>
      <c r="PS17" s="245"/>
      <c r="PT17" s="69"/>
      <c r="PU17" s="95"/>
      <c r="PV17" s="71"/>
      <c r="PY17" s="106"/>
      <c r="PZ17" s="15">
        <v>10</v>
      </c>
      <c r="QA17" s="69">
        <v>935.76</v>
      </c>
      <c r="QB17" s="135"/>
      <c r="QC17" s="69"/>
      <c r="QD17" s="95"/>
      <c r="QE17" s="71"/>
      <c r="QH17" s="106"/>
      <c r="QI17" s="15">
        <v>10</v>
      </c>
      <c r="QJ17" s="69">
        <v>884</v>
      </c>
      <c r="QK17" s="245"/>
      <c r="QL17" s="92"/>
      <c r="QM17" s="95"/>
      <c r="QN17" s="71"/>
      <c r="QQ17" s="106"/>
      <c r="QR17" s="15">
        <v>10</v>
      </c>
      <c r="QS17" s="69">
        <v>871.3</v>
      </c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2"/>
      <c r="AA18" s="700"/>
      <c r="AB18" s="701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0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0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699">
        <v>877.2</v>
      </c>
      <c r="DK18" s="726"/>
      <c r="DL18" s="699"/>
      <c r="DM18" s="727"/>
      <c r="DN18" s="728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900.8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878.2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948.91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699"/>
      <c r="HI18" s="955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2"/>
      <c r="KU18" s="700"/>
      <c r="KV18" s="701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>
        <v>906.3</v>
      </c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>
        <v>870</v>
      </c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>
        <v>904.5</v>
      </c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>
        <v>930.8</v>
      </c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>
        <v>928</v>
      </c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>
        <v>931.2</v>
      </c>
      <c r="PS18" s="245"/>
      <c r="PT18" s="92"/>
      <c r="PU18" s="95"/>
      <c r="PV18" s="71"/>
      <c r="PY18" s="106"/>
      <c r="PZ18" s="15">
        <v>11</v>
      </c>
      <c r="QA18" s="92">
        <v>938.02</v>
      </c>
      <c r="QB18" s="135"/>
      <c r="QC18" s="92"/>
      <c r="QD18" s="95"/>
      <c r="QE18" s="71"/>
      <c r="QH18" s="106"/>
      <c r="QI18" s="15">
        <v>11</v>
      </c>
      <c r="QJ18" s="92">
        <v>881.3</v>
      </c>
      <c r="QK18" s="245"/>
      <c r="QL18" s="92"/>
      <c r="QM18" s="95"/>
      <c r="QN18" s="71"/>
      <c r="QQ18" s="106"/>
      <c r="QR18" s="15">
        <v>11</v>
      </c>
      <c r="QS18" s="92">
        <v>893.1</v>
      </c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2"/>
      <c r="AA19" s="700"/>
      <c r="AB19" s="701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0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0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699">
        <v>909</v>
      </c>
      <c r="DK19" s="726"/>
      <c r="DL19" s="699"/>
      <c r="DM19" s="727"/>
      <c r="DN19" s="728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915.3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886.3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970.68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699"/>
      <c r="HI19" s="955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2"/>
      <c r="KU19" s="700"/>
      <c r="KV19" s="701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>
        <v>940.7</v>
      </c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>
        <v>898.1</v>
      </c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>
        <v>916.3</v>
      </c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>
        <v>916.3</v>
      </c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>
        <v>899</v>
      </c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>
        <v>890.4</v>
      </c>
      <c r="PS19" s="245"/>
      <c r="PT19" s="92"/>
      <c r="PU19" s="95"/>
      <c r="PV19" s="71"/>
      <c r="PY19" s="106"/>
      <c r="PZ19" s="15">
        <v>12</v>
      </c>
      <c r="QA19" s="92">
        <v>975.22</v>
      </c>
      <c r="QB19" s="135"/>
      <c r="QC19" s="92"/>
      <c r="QD19" s="95"/>
      <c r="QE19" s="71"/>
      <c r="QH19" s="106"/>
      <c r="QI19" s="15">
        <v>12</v>
      </c>
      <c r="QJ19" s="92">
        <v>919.4</v>
      </c>
      <c r="QK19" s="245"/>
      <c r="QL19" s="92"/>
      <c r="QM19" s="95"/>
      <c r="QN19" s="71"/>
      <c r="QQ19" s="106"/>
      <c r="QR19" s="15">
        <v>12</v>
      </c>
      <c r="QS19" s="92">
        <v>933.5</v>
      </c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2"/>
      <c r="AA20" s="700"/>
      <c r="AB20" s="701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0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0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699">
        <v>890.9</v>
      </c>
      <c r="DK20" s="726"/>
      <c r="DL20" s="699"/>
      <c r="DM20" s="727"/>
      <c r="DN20" s="728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888.1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916.3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957.07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699"/>
      <c r="HI20" s="955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2"/>
      <c r="KU20" s="700"/>
      <c r="KV20" s="701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>
        <v>868.2</v>
      </c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>
        <v>921.7</v>
      </c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>
        <v>912.6</v>
      </c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>
        <v>905.4</v>
      </c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>
        <v>889</v>
      </c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>
        <v>893.6</v>
      </c>
      <c r="PS20" s="245"/>
      <c r="PT20" s="92"/>
      <c r="PU20" s="95"/>
      <c r="PV20" s="71"/>
      <c r="PY20" s="106"/>
      <c r="PZ20" s="15">
        <v>13</v>
      </c>
      <c r="QA20" s="92">
        <v>910.81</v>
      </c>
      <c r="QB20" s="135"/>
      <c r="QC20" s="92"/>
      <c r="QD20" s="95"/>
      <c r="QE20" s="71"/>
      <c r="QH20" s="106"/>
      <c r="QI20" s="15">
        <v>13</v>
      </c>
      <c r="QJ20" s="92">
        <v>927.1</v>
      </c>
      <c r="QK20" s="245"/>
      <c r="QL20" s="92"/>
      <c r="QM20" s="95"/>
      <c r="QN20" s="71"/>
      <c r="QQ20" s="106"/>
      <c r="QR20" s="15">
        <v>13</v>
      </c>
      <c r="QS20" s="92">
        <v>919</v>
      </c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2"/>
      <c r="AA21" s="700"/>
      <c r="AB21" s="701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0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0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699">
        <v>878.2</v>
      </c>
      <c r="DK21" s="726"/>
      <c r="DL21" s="699"/>
      <c r="DM21" s="727"/>
      <c r="DN21" s="728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889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897.2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940.75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699"/>
      <c r="HI21" s="955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2"/>
      <c r="KU21" s="700"/>
      <c r="KV21" s="701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>
        <v>940.7</v>
      </c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>
        <v>929</v>
      </c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>
        <v>927.1</v>
      </c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>
        <v>931.7</v>
      </c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>
        <v>894</v>
      </c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>
        <v>921.2</v>
      </c>
      <c r="PS21" s="245"/>
      <c r="PT21" s="92"/>
      <c r="PU21" s="95"/>
      <c r="PV21" s="71"/>
      <c r="PY21" s="106"/>
      <c r="PZ21" s="15">
        <v>14</v>
      </c>
      <c r="QA21" s="92">
        <v>914.44</v>
      </c>
      <c r="QB21" s="135"/>
      <c r="QC21" s="92"/>
      <c r="QD21" s="95"/>
      <c r="QE21" s="71"/>
      <c r="QH21" s="106"/>
      <c r="QI21" s="15">
        <v>14</v>
      </c>
      <c r="QJ21" s="92">
        <v>886.8</v>
      </c>
      <c r="QK21" s="245"/>
      <c r="QL21" s="92"/>
      <c r="QM21" s="95"/>
      <c r="QN21" s="71"/>
      <c r="QQ21" s="106"/>
      <c r="QR21" s="15">
        <v>14</v>
      </c>
      <c r="QS21" s="92">
        <v>870.9</v>
      </c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2"/>
      <c r="AA22" s="700"/>
      <c r="AB22" s="701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0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0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699">
        <v>909</v>
      </c>
      <c r="DK22" s="726"/>
      <c r="DL22" s="699"/>
      <c r="DM22" s="727"/>
      <c r="DN22" s="728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924.4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890.9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952.54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699"/>
      <c r="HI22" s="955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2"/>
      <c r="KU22" s="700"/>
      <c r="KV22" s="701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>
        <v>938.9</v>
      </c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>
        <v>912.6</v>
      </c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>
        <v>916.3</v>
      </c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>
        <v>921.7</v>
      </c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>
        <v>895.8</v>
      </c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>
        <v>939.4</v>
      </c>
      <c r="PS22" s="245"/>
      <c r="PT22" s="92"/>
      <c r="PU22" s="95"/>
      <c r="PV22" s="71"/>
      <c r="PY22" s="106"/>
      <c r="PZ22" s="15">
        <v>15</v>
      </c>
      <c r="QA22" s="92">
        <v>947.1</v>
      </c>
      <c r="QB22" s="135"/>
      <c r="QC22" s="92"/>
      <c r="QD22" s="95"/>
      <c r="QE22" s="71"/>
      <c r="QH22" s="106"/>
      <c r="QI22" s="15">
        <v>15</v>
      </c>
      <c r="QJ22" s="92">
        <v>889.9</v>
      </c>
      <c r="QK22" s="245"/>
      <c r="QL22" s="92"/>
      <c r="QM22" s="95"/>
      <c r="QN22" s="71"/>
      <c r="QQ22" s="106"/>
      <c r="QR22" s="15">
        <v>15</v>
      </c>
      <c r="QS22" s="92">
        <v>888.6</v>
      </c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2"/>
      <c r="AA23" s="700"/>
      <c r="AB23" s="701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0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0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699">
        <v>889.9</v>
      </c>
      <c r="DK23" s="726"/>
      <c r="DL23" s="699"/>
      <c r="DM23" s="727"/>
      <c r="DN23" s="728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916.3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865.4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959.8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699"/>
      <c r="HI23" s="955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2"/>
      <c r="KU23" s="700"/>
      <c r="KV23" s="701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>
        <v>884.5</v>
      </c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>
        <v>907.2</v>
      </c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>
        <v>919.9</v>
      </c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>
        <v>931.7</v>
      </c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>
        <v>896.3</v>
      </c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>
        <v>897.7</v>
      </c>
      <c r="PS23" s="245"/>
      <c r="PT23" s="92"/>
      <c r="PU23" s="95"/>
      <c r="PV23" s="71"/>
      <c r="PY23" s="106"/>
      <c r="PZ23" s="15">
        <v>16</v>
      </c>
      <c r="QA23" s="92">
        <v>925.78</v>
      </c>
      <c r="QB23" s="135"/>
      <c r="QC23" s="92"/>
      <c r="QD23" s="95"/>
      <c r="QE23" s="71"/>
      <c r="QH23" s="106"/>
      <c r="QI23" s="15">
        <v>16</v>
      </c>
      <c r="QJ23" s="92">
        <v>902.2</v>
      </c>
      <c r="QK23" s="245"/>
      <c r="QL23" s="92"/>
      <c r="QM23" s="95"/>
      <c r="QN23" s="71"/>
      <c r="QQ23" s="106"/>
      <c r="QR23" s="15">
        <v>16</v>
      </c>
      <c r="QS23" s="92">
        <v>928.5</v>
      </c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2"/>
      <c r="AA24" s="700"/>
      <c r="AB24" s="701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1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0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699">
        <v>903.6</v>
      </c>
      <c r="DK24" s="726"/>
      <c r="DL24" s="699"/>
      <c r="DM24" s="727"/>
      <c r="DN24" s="728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867.3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938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905.37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699"/>
      <c r="HI24" s="955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2"/>
      <c r="KU24" s="700"/>
      <c r="KV24" s="701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>
        <v>920.8</v>
      </c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>
        <v>919</v>
      </c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>
        <v>938</v>
      </c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>
        <v>919.9</v>
      </c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>
        <v>890.9</v>
      </c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>
        <v>904.9</v>
      </c>
      <c r="PS24" s="245"/>
      <c r="PT24" s="92"/>
      <c r="PU24" s="95"/>
      <c r="PV24" s="71"/>
      <c r="PY24" s="106"/>
      <c r="PZ24" s="15">
        <v>17</v>
      </c>
      <c r="QA24" s="92">
        <v>947.1</v>
      </c>
      <c r="QB24" s="135"/>
      <c r="QC24" s="92"/>
      <c r="QD24" s="95"/>
      <c r="QE24" s="71"/>
      <c r="QH24" s="106"/>
      <c r="QI24" s="15">
        <v>17</v>
      </c>
      <c r="QJ24" s="92">
        <v>891.8</v>
      </c>
      <c r="QK24" s="245"/>
      <c r="QL24" s="92"/>
      <c r="QM24" s="95"/>
      <c r="QN24" s="71"/>
      <c r="QQ24" s="106"/>
      <c r="QR24" s="15">
        <v>17</v>
      </c>
      <c r="QS24" s="92">
        <v>895.8</v>
      </c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2"/>
      <c r="AA25" s="700"/>
      <c r="AB25" s="701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0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699">
        <v>885.4</v>
      </c>
      <c r="DK25" s="726"/>
      <c r="DL25" s="699"/>
      <c r="DM25" s="727"/>
      <c r="DN25" s="728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915.3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863.6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961.61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699"/>
      <c r="HI25" s="955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2"/>
      <c r="KU25" s="700"/>
      <c r="KV25" s="701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>
        <v>931.7</v>
      </c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>
        <v>900.8</v>
      </c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>
        <v>877.2</v>
      </c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>
        <v>909</v>
      </c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>
        <v>877.2</v>
      </c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>
        <v>875.9</v>
      </c>
      <c r="PS25" s="245"/>
      <c r="PT25" s="92"/>
      <c r="PU25" s="95"/>
      <c r="PV25" s="71"/>
      <c r="PY25" s="106"/>
      <c r="PZ25" s="15">
        <v>18</v>
      </c>
      <c r="QA25" s="92">
        <v>963.88</v>
      </c>
      <c r="QB25" s="135"/>
      <c r="QC25" s="92"/>
      <c r="QD25" s="95"/>
      <c r="QE25" s="71"/>
      <c r="QH25" s="106"/>
      <c r="QI25" s="15">
        <v>18</v>
      </c>
      <c r="QJ25" s="92">
        <v>894</v>
      </c>
      <c r="QK25" s="245"/>
      <c r="QL25" s="92"/>
      <c r="QM25" s="95"/>
      <c r="QN25" s="71"/>
      <c r="QQ25" s="106"/>
      <c r="QR25" s="15">
        <v>18</v>
      </c>
      <c r="QS25" s="92">
        <v>930.8</v>
      </c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2"/>
      <c r="AA26" s="700"/>
      <c r="AB26" s="701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0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699">
        <v>918.1</v>
      </c>
      <c r="DK26" s="726"/>
      <c r="DL26" s="699"/>
      <c r="DM26" s="727"/>
      <c r="DN26" s="728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920.8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894.5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933.49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699"/>
      <c r="HI26" s="955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2"/>
      <c r="KU26" s="700"/>
      <c r="KV26" s="701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>
        <v>925.3</v>
      </c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>
        <v>875.4</v>
      </c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>
        <v>918.1</v>
      </c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>
        <v>912.6</v>
      </c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>
        <v>908.5</v>
      </c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>
        <v>937.1</v>
      </c>
      <c r="PS26" s="245"/>
      <c r="PT26" s="92"/>
      <c r="PU26" s="95"/>
      <c r="PV26" s="71"/>
      <c r="PY26" s="106"/>
      <c r="PZ26" s="15">
        <v>19</v>
      </c>
      <c r="QA26" s="92">
        <v>914.89</v>
      </c>
      <c r="QB26" s="135"/>
      <c r="QC26" s="92"/>
      <c r="QD26" s="95"/>
      <c r="QE26" s="71"/>
      <c r="QH26" s="106"/>
      <c r="QI26" s="15">
        <v>19</v>
      </c>
      <c r="QJ26" s="92">
        <v>909.9</v>
      </c>
      <c r="QK26" s="245"/>
      <c r="QL26" s="92"/>
      <c r="QM26" s="95"/>
      <c r="QN26" s="71"/>
      <c r="QQ26" s="106"/>
      <c r="QR26" s="15">
        <v>19</v>
      </c>
      <c r="QS26" s="92">
        <v>901.3</v>
      </c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2"/>
      <c r="AA27" s="700"/>
      <c r="AB27" s="701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0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699">
        <v>869.1</v>
      </c>
      <c r="DK27" s="726"/>
      <c r="DL27" s="699"/>
      <c r="DM27" s="727"/>
      <c r="DN27" s="728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900.8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895.4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966.15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699"/>
      <c r="HI27" s="955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2"/>
      <c r="KU27" s="700"/>
      <c r="KV27" s="701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>
        <v>916.3</v>
      </c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>
        <v>898.1</v>
      </c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>
        <v>916.3</v>
      </c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>
        <v>890.9</v>
      </c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>
        <v>922.6</v>
      </c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>
        <v>929.4</v>
      </c>
      <c r="PS27" s="245"/>
      <c r="PT27" s="92"/>
      <c r="PU27" s="95"/>
      <c r="PV27" s="71"/>
      <c r="PY27" s="106"/>
      <c r="PZ27" s="15">
        <v>20</v>
      </c>
      <c r="QA27" s="92">
        <v>948</v>
      </c>
      <c r="QB27" s="135"/>
      <c r="QC27" s="92"/>
      <c r="QD27" s="95"/>
      <c r="QE27" s="71"/>
      <c r="QH27" s="106"/>
      <c r="QI27" s="15">
        <v>20</v>
      </c>
      <c r="QJ27" s="92">
        <v>885.9</v>
      </c>
      <c r="QK27" s="245"/>
      <c r="QL27" s="92"/>
      <c r="QM27" s="95"/>
      <c r="QN27" s="71"/>
      <c r="QQ27" s="106"/>
      <c r="QR27" s="15">
        <v>20</v>
      </c>
      <c r="QS27" s="92">
        <v>902.2</v>
      </c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2"/>
      <c r="AA28" s="700"/>
      <c r="AB28" s="70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0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699">
        <v>871.8</v>
      </c>
      <c r="DK28" s="726"/>
      <c r="DL28" s="699"/>
      <c r="DM28" s="727"/>
      <c r="DN28" s="728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>
        <v>888.1</v>
      </c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903.6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699"/>
      <c r="HI28" s="955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2"/>
      <c r="KU28" s="700"/>
      <c r="KV28" s="701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>
        <v>922.6</v>
      </c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>
        <v>898.1</v>
      </c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>
        <v>931.7</v>
      </c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>
        <v>891.8</v>
      </c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>
        <v>918.1</v>
      </c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>
        <v>916.3</v>
      </c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2"/>
      <c r="AA29" s="700"/>
      <c r="AB29" s="70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699"/>
      <c r="HI29" s="955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2"/>
      <c r="KU29" s="700"/>
      <c r="KV29" s="701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18820.999999999996</v>
      </c>
      <c r="EZ32" s="105">
        <f>SUM(EZ8:EZ31)</f>
        <v>0</v>
      </c>
      <c r="FH32" s="132">
        <f>SUM(FH8:FH31)</f>
        <v>18826.699999999997</v>
      </c>
      <c r="FJ32" s="105">
        <f>SUM(FJ8:FJ31)</f>
        <v>0</v>
      </c>
      <c r="FR32" s="105">
        <f>SUM(FR8:FR31)</f>
        <v>18959.160000000003</v>
      </c>
      <c r="FS32" s="105"/>
      <c r="FT32" s="105">
        <f>SUM(FT8:FT31)</f>
        <v>0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19224.099999999995</v>
      </c>
      <c r="NV32" s="86">
        <f>SUM(NV8:NV31)</f>
        <v>0</v>
      </c>
      <c r="OD32" s="105">
        <f>SUM(OD8:OD31)</f>
        <v>19033.599999999999</v>
      </c>
      <c r="OF32" s="105">
        <f>SUM(OF8:OF31)</f>
        <v>0</v>
      </c>
      <c r="ON32" s="105">
        <f>SUM(ON8:ON31)</f>
        <v>19242.299999999996</v>
      </c>
      <c r="OO32" s="105"/>
      <c r="OP32" s="105">
        <f>SUM(OP8:OP31)</f>
        <v>0</v>
      </c>
      <c r="OX32" s="105">
        <f>SUM(OX8:OX31)</f>
        <v>19238</v>
      </c>
      <c r="OZ32" s="105">
        <f>SUM(OZ8:OZ31)</f>
        <v>0</v>
      </c>
      <c r="PH32" s="105">
        <f>SUM(PH8:PH31)</f>
        <v>18878.869999999995</v>
      </c>
      <c r="PJ32" s="105">
        <f>SUM(PJ8:PJ31)</f>
        <v>0</v>
      </c>
      <c r="PR32" s="105">
        <f>SUM(PR8:PR31)</f>
        <v>19235.100000000002</v>
      </c>
      <c r="PS32" s="105"/>
      <c r="PT32" s="105">
        <f>SUM(PT8:PT31)</f>
        <v>0</v>
      </c>
      <c r="QA32" s="105">
        <f>SUM(QA8:QA31)</f>
        <v>18793.140000000003</v>
      </c>
      <c r="QC32" s="105">
        <f>SUM(QC8:QC31)</f>
        <v>0</v>
      </c>
      <c r="QJ32" s="105">
        <f>SUM(QJ8:QJ31)</f>
        <v>17920.8</v>
      </c>
      <c r="QL32" s="105">
        <f>SUM(QL8:QL31)</f>
        <v>0</v>
      </c>
      <c r="QS32" s="105">
        <f>SUM(QS8:QS31)</f>
        <v>18100.400000000001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65" t="s">
        <v>21</v>
      </c>
      <c r="O33" s="966"/>
      <c r="P33" s="141">
        <f>Q5-P32</f>
        <v>18759.599999999999</v>
      </c>
      <c r="S33" s="394"/>
      <c r="X33" s="965" t="s">
        <v>21</v>
      </c>
      <c r="Y33" s="966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18820.999999999996</v>
      </c>
      <c r="FH33" s="261" t="s">
        <v>21</v>
      </c>
      <c r="FI33" s="262"/>
      <c r="FJ33" s="141">
        <f>FH32-FJ32</f>
        <v>18826.699999999997</v>
      </c>
      <c r="FR33" s="261" t="s">
        <v>21</v>
      </c>
      <c r="FS33" s="262"/>
      <c r="FT33" s="141">
        <f>FR32-FT32</f>
        <v>18959.160000000003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19224.099999999999</v>
      </c>
      <c r="OD33" s="261" t="s">
        <v>21</v>
      </c>
      <c r="OE33" s="262"/>
      <c r="OF33" s="141">
        <f>OG5-OF32</f>
        <v>19033.599999999999</v>
      </c>
      <c r="ON33" s="261" t="s">
        <v>21</v>
      </c>
      <c r="OO33" s="262"/>
      <c r="OP33" s="141">
        <f>OQ5-OP32</f>
        <v>19242.3</v>
      </c>
      <c r="OX33" s="261" t="s">
        <v>21</v>
      </c>
      <c r="OY33" s="262"/>
      <c r="OZ33" s="141">
        <f>PA5-OZ32</f>
        <v>19238</v>
      </c>
      <c r="PH33" s="261" t="s">
        <v>21</v>
      </c>
      <c r="PI33" s="262"/>
      <c r="PJ33" s="141">
        <f>PJ32-PH32</f>
        <v>-18878.869999999995</v>
      </c>
      <c r="PR33" s="261" t="s">
        <v>21</v>
      </c>
      <c r="PS33" s="262"/>
      <c r="PT33" s="141">
        <f>PU5-PT32</f>
        <v>19235.099999999999</v>
      </c>
      <c r="QA33" s="261" t="s">
        <v>21</v>
      </c>
      <c r="QB33" s="262"/>
      <c r="QC33" s="141">
        <f>QD5-QC32</f>
        <v>18793.14</v>
      </c>
      <c r="QJ33" s="261" t="s">
        <v>21</v>
      </c>
      <c r="QK33" s="262"/>
      <c r="QL33" s="141">
        <f>QM5-QL32</f>
        <v>17920.8</v>
      </c>
      <c r="QS33" s="261" t="s">
        <v>21</v>
      </c>
      <c r="QT33" s="262"/>
      <c r="QU33" s="141">
        <f>QV5-QU32</f>
        <v>18100.400000000001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257" t="s">
        <v>21</v>
      </c>
      <c r="RU33" s="1258"/>
      <c r="RV33" s="141">
        <f>SUM(RW5-RV32)</f>
        <v>0</v>
      </c>
      <c r="SC33" s="1257" t="s">
        <v>21</v>
      </c>
      <c r="SD33" s="1258"/>
      <c r="SE33" s="141">
        <f>SUM(SF5-SE32)</f>
        <v>0</v>
      </c>
      <c r="SL33" s="1257" t="s">
        <v>21</v>
      </c>
      <c r="SM33" s="1258"/>
      <c r="SN33" s="217">
        <f>SUM(SO5-SN32)</f>
        <v>0</v>
      </c>
      <c r="SU33" s="1257" t="s">
        <v>21</v>
      </c>
      <c r="SV33" s="1258"/>
      <c r="SW33" s="141">
        <f>SUM(SX5-SW32)</f>
        <v>0</v>
      </c>
      <c r="TD33" s="1257" t="s">
        <v>21</v>
      </c>
      <c r="TE33" s="1258"/>
      <c r="TF33" s="141">
        <f>SUM(TG5-TF32)</f>
        <v>0</v>
      </c>
      <c r="TM33" s="1257" t="s">
        <v>21</v>
      </c>
      <c r="TN33" s="1258"/>
      <c r="TO33" s="141">
        <f>SUM(TP5-TO32)</f>
        <v>0</v>
      </c>
      <c r="TV33" s="1257" t="s">
        <v>21</v>
      </c>
      <c r="TW33" s="1258"/>
      <c r="TX33" s="141">
        <f>SUM(TY5-TX32)</f>
        <v>0</v>
      </c>
      <c r="UE33" s="1257" t="s">
        <v>21</v>
      </c>
      <c r="UF33" s="1258"/>
      <c r="UG33" s="141">
        <f>SUM(UH5-UG32)</f>
        <v>0</v>
      </c>
      <c r="UN33" s="1257" t="s">
        <v>21</v>
      </c>
      <c r="UO33" s="1258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257" t="s">
        <v>21</v>
      </c>
      <c r="VP33" s="1258"/>
      <c r="VQ33" s="141">
        <f>VR5-VQ32</f>
        <v>-22</v>
      </c>
      <c r="VX33" s="1257" t="s">
        <v>21</v>
      </c>
      <c r="VY33" s="1258"/>
      <c r="VZ33" s="141">
        <f>WA5-VZ32</f>
        <v>-22</v>
      </c>
      <c r="WG33" s="1257" t="s">
        <v>21</v>
      </c>
      <c r="WH33" s="1258"/>
      <c r="WI33" s="141">
        <f>WJ5-WI32</f>
        <v>-22</v>
      </c>
      <c r="WP33" s="1257" t="s">
        <v>21</v>
      </c>
      <c r="WQ33" s="1258"/>
      <c r="WR33" s="141">
        <f>WS5-WR32</f>
        <v>-22</v>
      </c>
      <c r="WY33" s="1257" t="s">
        <v>21</v>
      </c>
      <c r="WZ33" s="1258"/>
      <c r="XA33" s="141">
        <f>XB5-XA32</f>
        <v>-22</v>
      </c>
      <c r="XH33" s="1257" t="s">
        <v>21</v>
      </c>
      <c r="XI33" s="1258"/>
      <c r="XJ33" s="141">
        <f>XK5-XJ32</f>
        <v>-22</v>
      </c>
      <c r="XQ33" s="1257" t="s">
        <v>21</v>
      </c>
      <c r="XR33" s="1258"/>
      <c r="XS33" s="141">
        <f>XT5-XS32</f>
        <v>-22</v>
      </c>
      <c r="XZ33" s="1257" t="s">
        <v>21</v>
      </c>
      <c r="YA33" s="1258"/>
      <c r="YB33" s="141">
        <f>YC5-YB32</f>
        <v>-22</v>
      </c>
      <c r="YI33" s="1257" t="s">
        <v>21</v>
      </c>
      <c r="YJ33" s="1258"/>
      <c r="YK33" s="141">
        <f>YL5-YK32</f>
        <v>-22</v>
      </c>
      <c r="YR33" s="1257" t="s">
        <v>21</v>
      </c>
      <c r="YS33" s="1258"/>
      <c r="YT33" s="141">
        <f>YU5-YT32</f>
        <v>-22</v>
      </c>
      <c r="ZA33" s="1257" t="s">
        <v>21</v>
      </c>
      <c r="ZB33" s="1258"/>
      <c r="ZC33" s="141">
        <f>ZD5-ZC32</f>
        <v>-22</v>
      </c>
      <c r="ZJ33" s="1257" t="s">
        <v>21</v>
      </c>
      <c r="ZK33" s="1258"/>
      <c r="ZL33" s="141">
        <f>ZM5-ZL32</f>
        <v>-22</v>
      </c>
      <c r="ZS33" s="1257" t="s">
        <v>21</v>
      </c>
      <c r="ZT33" s="1258"/>
      <c r="ZU33" s="141">
        <f>ZV5-ZU32</f>
        <v>-22</v>
      </c>
      <c r="AAB33" s="1257" t="s">
        <v>21</v>
      </c>
      <c r="AAC33" s="1258"/>
      <c r="AAD33" s="141">
        <f>AAE5-AAD32</f>
        <v>-22</v>
      </c>
      <c r="AAK33" s="1257" t="s">
        <v>21</v>
      </c>
      <c r="AAL33" s="1258"/>
      <c r="AAM33" s="141">
        <f>AAN5-AAM32</f>
        <v>-22</v>
      </c>
      <c r="AAT33" s="1257" t="s">
        <v>21</v>
      </c>
      <c r="AAU33" s="1258"/>
      <c r="AAV33" s="141">
        <f>AAV32-AAT32</f>
        <v>22</v>
      </c>
      <c r="ABC33" s="1257" t="s">
        <v>21</v>
      </c>
      <c r="ABD33" s="1258"/>
      <c r="ABE33" s="141">
        <f>ABF5-ABE32</f>
        <v>-22</v>
      </c>
      <c r="ABL33" s="1257" t="s">
        <v>21</v>
      </c>
      <c r="ABM33" s="1258"/>
      <c r="ABN33" s="141">
        <f>ABO5-ABN32</f>
        <v>-22</v>
      </c>
      <c r="ABU33" s="1257" t="s">
        <v>21</v>
      </c>
      <c r="ABV33" s="1258"/>
      <c r="ABW33" s="141">
        <f>ABX5-ABW32</f>
        <v>-22</v>
      </c>
      <c r="ACD33" s="1257" t="s">
        <v>21</v>
      </c>
      <c r="ACE33" s="1258"/>
      <c r="ACF33" s="141">
        <f>ACG5-ACF32</f>
        <v>-22</v>
      </c>
      <c r="ACM33" s="1257" t="s">
        <v>21</v>
      </c>
      <c r="ACN33" s="1258"/>
      <c r="ACO33" s="141">
        <f>ACP5-ACO32</f>
        <v>-22</v>
      </c>
      <c r="ACV33" s="1257" t="s">
        <v>21</v>
      </c>
      <c r="ACW33" s="1258"/>
      <c r="ACX33" s="141">
        <f>ACY5-ACX32</f>
        <v>-22</v>
      </c>
      <c r="ADE33" s="1257" t="s">
        <v>21</v>
      </c>
      <c r="ADF33" s="1258"/>
      <c r="ADG33" s="141">
        <f>ADH5-ADG32</f>
        <v>-22</v>
      </c>
      <c r="ADN33" s="1257" t="s">
        <v>21</v>
      </c>
      <c r="ADO33" s="1258"/>
      <c r="ADP33" s="141">
        <f>ADQ5-ADP32</f>
        <v>-22</v>
      </c>
      <c r="ADW33" s="1257" t="s">
        <v>21</v>
      </c>
      <c r="ADX33" s="1258"/>
      <c r="ADY33" s="141">
        <f>ADZ5-ADY32</f>
        <v>-22</v>
      </c>
      <c r="AEF33" s="1257" t="s">
        <v>21</v>
      </c>
      <c r="AEG33" s="1258"/>
      <c r="AEH33" s="141">
        <f>AEI5-AEH32</f>
        <v>-22</v>
      </c>
      <c r="AEO33" s="1257" t="s">
        <v>21</v>
      </c>
      <c r="AEP33" s="1258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67" t="s">
        <v>4</v>
      </c>
      <c r="O34" s="968"/>
      <c r="P34" s="49"/>
      <c r="S34" s="394"/>
      <c r="X34" s="967" t="s">
        <v>4</v>
      </c>
      <c r="Y34" s="968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259" t="s">
        <v>4</v>
      </c>
      <c r="RU34" s="1260"/>
      <c r="RV34" s="49"/>
      <c r="SC34" s="1259" t="s">
        <v>4</v>
      </c>
      <c r="SD34" s="1260"/>
      <c r="SE34" s="49"/>
      <c r="SL34" s="1259" t="s">
        <v>4</v>
      </c>
      <c r="SM34" s="1260"/>
      <c r="SN34" s="49"/>
      <c r="SU34" s="1259" t="s">
        <v>4</v>
      </c>
      <c r="SV34" s="1260"/>
      <c r="SW34" s="49"/>
      <c r="TD34" s="1259" t="s">
        <v>4</v>
      </c>
      <c r="TE34" s="1260"/>
      <c r="TF34" s="49"/>
      <c r="TM34" s="1259" t="s">
        <v>4</v>
      </c>
      <c r="TN34" s="1260"/>
      <c r="TO34" s="49"/>
      <c r="TV34" s="1259" t="s">
        <v>4</v>
      </c>
      <c r="TW34" s="1260"/>
      <c r="TX34" s="49"/>
      <c r="UE34" s="1259" t="s">
        <v>4</v>
      </c>
      <c r="UF34" s="1260"/>
      <c r="UG34" s="49"/>
      <c r="UN34" s="1259" t="s">
        <v>4</v>
      </c>
      <c r="UO34" s="1260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259" t="s">
        <v>4</v>
      </c>
      <c r="VP34" s="1260"/>
      <c r="VQ34" s="49"/>
      <c r="VX34" s="1259" t="s">
        <v>4</v>
      </c>
      <c r="VY34" s="1260"/>
      <c r="VZ34" s="49"/>
      <c r="WG34" s="1259" t="s">
        <v>4</v>
      </c>
      <c r="WH34" s="1260"/>
      <c r="WI34" s="49"/>
      <c r="WP34" s="1259" t="s">
        <v>4</v>
      </c>
      <c r="WQ34" s="1260"/>
      <c r="WR34" s="49"/>
      <c r="WY34" s="1259" t="s">
        <v>4</v>
      </c>
      <c r="WZ34" s="1260"/>
      <c r="XA34" s="49"/>
      <c r="XH34" s="1259" t="s">
        <v>4</v>
      </c>
      <c r="XI34" s="1260"/>
      <c r="XJ34" s="49"/>
      <c r="XQ34" s="1259" t="s">
        <v>4</v>
      </c>
      <c r="XR34" s="1260"/>
      <c r="XS34" s="49"/>
      <c r="XZ34" s="1259" t="s">
        <v>4</v>
      </c>
      <c r="YA34" s="1260"/>
      <c r="YB34" s="49"/>
      <c r="YI34" s="1259" t="s">
        <v>4</v>
      </c>
      <c r="YJ34" s="1260"/>
      <c r="YK34" s="49"/>
      <c r="YR34" s="1259" t="s">
        <v>4</v>
      </c>
      <c r="YS34" s="1260"/>
      <c r="YT34" s="49"/>
      <c r="ZA34" s="1259" t="s">
        <v>4</v>
      </c>
      <c r="ZB34" s="1260"/>
      <c r="ZC34" s="49"/>
      <c r="ZJ34" s="1259" t="s">
        <v>4</v>
      </c>
      <c r="ZK34" s="1260"/>
      <c r="ZL34" s="49"/>
      <c r="ZS34" s="1259" t="s">
        <v>4</v>
      </c>
      <c r="ZT34" s="1260"/>
      <c r="ZU34" s="49"/>
      <c r="AAB34" s="1259" t="s">
        <v>4</v>
      </c>
      <c r="AAC34" s="1260"/>
      <c r="AAD34" s="49"/>
      <c r="AAK34" s="1259" t="s">
        <v>4</v>
      </c>
      <c r="AAL34" s="1260"/>
      <c r="AAM34" s="49"/>
      <c r="AAT34" s="1259" t="s">
        <v>4</v>
      </c>
      <c r="AAU34" s="1260"/>
      <c r="AAV34" s="49"/>
      <c r="ABC34" s="1259" t="s">
        <v>4</v>
      </c>
      <c r="ABD34" s="1260"/>
      <c r="ABE34" s="49"/>
      <c r="ABL34" s="1259" t="s">
        <v>4</v>
      </c>
      <c r="ABM34" s="1260"/>
      <c r="ABN34" s="49"/>
      <c r="ABU34" s="1259" t="s">
        <v>4</v>
      </c>
      <c r="ABV34" s="1260"/>
      <c r="ABW34" s="49"/>
      <c r="ACD34" s="1259" t="s">
        <v>4</v>
      </c>
      <c r="ACE34" s="1260"/>
      <c r="ACF34" s="49"/>
      <c r="ACM34" s="1259" t="s">
        <v>4</v>
      </c>
      <c r="ACN34" s="1260"/>
      <c r="ACO34" s="49"/>
      <c r="ACV34" s="1259" t="s">
        <v>4</v>
      </c>
      <c r="ACW34" s="1260"/>
      <c r="ACX34" s="49"/>
      <c r="ADE34" s="1259" t="s">
        <v>4</v>
      </c>
      <c r="ADF34" s="1260"/>
      <c r="ADG34" s="49"/>
      <c r="ADN34" s="1259" t="s">
        <v>4</v>
      </c>
      <c r="ADO34" s="1260"/>
      <c r="ADP34" s="49"/>
      <c r="ADW34" s="1259" t="s">
        <v>4</v>
      </c>
      <c r="ADX34" s="1260"/>
      <c r="ADY34" s="49"/>
      <c r="AEF34" s="1259" t="s">
        <v>4</v>
      </c>
      <c r="AEG34" s="1260"/>
      <c r="AEH34" s="49"/>
      <c r="AEO34" s="1259" t="s">
        <v>4</v>
      </c>
      <c r="AEP34" s="1260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 t="str">
        <f t="shared" ref="B41:H41" si="80">NQ5</f>
        <v>SEABOARD FOODS</v>
      </c>
      <c r="C41" s="75" t="str">
        <f t="shared" si="80"/>
        <v>Seaboard</v>
      </c>
      <c r="D41" s="71" t="str">
        <f t="shared" si="80"/>
        <v>PED. 91443107</v>
      </c>
      <c r="E41" s="135">
        <f t="shared" si="80"/>
        <v>44918</v>
      </c>
      <c r="F41" s="105">
        <f t="shared" si="80"/>
        <v>19184.419999999998</v>
      </c>
      <c r="G41" s="73">
        <f t="shared" si="80"/>
        <v>21</v>
      </c>
      <c r="H41" s="132">
        <f t="shared" si="80"/>
        <v>19224.099999999999</v>
      </c>
      <c r="I41" s="105">
        <f t="shared" si="70"/>
        <v>-39.680000000000291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 t="str">
        <f t="shared" ref="B42:H42" si="81">OA5</f>
        <v>SEABOARD FOODS</v>
      </c>
      <c r="C42" s="75" t="str">
        <f t="shared" si="81"/>
        <v>Seaboard</v>
      </c>
      <c r="D42" s="71" t="str">
        <f t="shared" si="81"/>
        <v>PED. 91548649</v>
      </c>
      <c r="E42" s="135">
        <f t="shared" si="81"/>
        <v>44919</v>
      </c>
      <c r="F42" s="105">
        <f t="shared" si="81"/>
        <v>19113.990000000002</v>
      </c>
      <c r="G42" s="73">
        <f t="shared" si="81"/>
        <v>21</v>
      </c>
      <c r="H42" s="132">
        <f t="shared" si="81"/>
        <v>19033.599999999999</v>
      </c>
      <c r="I42" s="105">
        <f t="shared" si="70"/>
        <v>80.390000000003056</v>
      </c>
      <c r="AZ42" s="75"/>
      <c r="MA42" s="394"/>
      <c r="MB42" s="394"/>
    </row>
    <row r="43" spans="1:823" x14ac:dyDescent="0.25">
      <c r="A43" s="137">
        <v>40</v>
      </c>
      <c r="B43" s="75" t="str">
        <f t="shared" ref="B43:H43" si="82">OK5</f>
        <v>SEABOARD FOODS</v>
      </c>
      <c r="C43" s="75" t="str">
        <f t="shared" si="82"/>
        <v>Seaboard</v>
      </c>
      <c r="D43" s="71" t="str">
        <f t="shared" si="82"/>
        <v>PED. 91534162</v>
      </c>
      <c r="E43" s="135">
        <f t="shared" si="82"/>
        <v>44919</v>
      </c>
      <c r="F43" s="105">
        <f t="shared" si="82"/>
        <v>19299.72</v>
      </c>
      <c r="G43" s="73">
        <f t="shared" si="82"/>
        <v>21</v>
      </c>
      <c r="H43" s="132">
        <f t="shared" si="82"/>
        <v>19242.3</v>
      </c>
      <c r="I43" s="105">
        <f t="shared" si="70"/>
        <v>57.420000000001892</v>
      </c>
      <c r="AZ43" s="75"/>
      <c r="MA43" s="394"/>
      <c r="MB43" s="394"/>
    </row>
    <row r="44" spans="1:823" x14ac:dyDescent="0.25">
      <c r="A44" s="137">
        <v>41</v>
      </c>
      <c r="B44" s="75" t="str">
        <f t="shared" ref="B44:H44" si="83">OU5</f>
        <v>SEABOARD FOODS</v>
      </c>
      <c r="C44" s="75" t="str">
        <f t="shared" si="83"/>
        <v>Seaboard</v>
      </c>
      <c r="D44" s="71" t="str">
        <f t="shared" si="83"/>
        <v>PED. 91509926</v>
      </c>
      <c r="E44" s="135">
        <f t="shared" si="83"/>
        <v>44921</v>
      </c>
      <c r="F44" s="105">
        <f t="shared" si="83"/>
        <v>19182.900000000001</v>
      </c>
      <c r="G44" s="73">
        <f t="shared" si="83"/>
        <v>21</v>
      </c>
      <c r="H44" s="132">
        <f t="shared" si="83"/>
        <v>19238</v>
      </c>
      <c r="I44" s="105">
        <f t="shared" si="70"/>
        <v>-55.099999999998545</v>
      </c>
      <c r="BJ44" s="95"/>
      <c r="MA44" s="394"/>
      <c r="MB44" s="394"/>
    </row>
    <row r="45" spans="1:823" x14ac:dyDescent="0.25">
      <c r="A45" s="137">
        <v>42</v>
      </c>
      <c r="B45" s="75" t="str">
        <f t="shared" ref="B45:H45" si="84">PE5</f>
        <v>SEABOARD FOODS</v>
      </c>
      <c r="C45" s="75" t="str">
        <f t="shared" si="84"/>
        <v>Seaboard</v>
      </c>
      <c r="D45" s="71" t="str">
        <f t="shared" si="84"/>
        <v>PED. 91773391</v>
      </c>
      <c r="E45" s="135">
        <f t="shared" si="84"/>
        <v>44924</v>
      </c>
      <c r="F45" s="105">
        <f t="shared" si="84"/>
        <v>18823.7</v>
      </c>
      <c r="G45" s="73">
        <f t="shared" si="84"/>
        <v>21</v>
      </c>
      <c r="H45" s="132">
        <f t="shared" si="84"/>
        <v>18878.87</v>
      </c>
      <c r="I45" s="105">
        <f t="shared" si="70"/>
        <v>-55.169999999998254</v>
      </c>
      <c r="BJ45" s="95"/>
    </row>
    <row r="46" spans="1:823" x14ac:dyDescent="0.25">
      <c r="A46" s="137">
        <v>43</v>
      </c>
      <c r="B46" s="75" t="str">
        <f t="shared" ref="B46:H46" si="85">PO5</f>
        <v>SEABOARD FOODS</v>
      </c>
      <c r="C46" s="75" t="str">
        <f t="shared" si="85"/>
        <v>Seaboard</v>
      </c>
      <c r="D46" s="71" t="str">
        <f t="shared" si="85"/>
        <v>PED. 91773084</v>
      </c>
      <c r="E46" s="135">
        <f t="shared" si="85"/>
        <v>44924</v>
      </c>
      <c r="F46" s="105">
        <f t="shared" si="85"/>
        <v>19110.349999999999</v>
      </c>
      <c r="G46" s="73">
        <f t="shared" si="85"/>
        <v>21</v>
      </c>
      <c r="H46" s="132">
        <f t="shared" si="85"/>
        <v>19235.099999999999</v>
      </c>
      <c r="I46" s="105">
        <f t="shared" si="70"/>
        <v>-124.75</v>
      </c>
      <c r="BJ46" s="95"/>
    </row>
    <row r="47" spans="1:823" x14ac:dyDescent="0.25">
      <c r="A47" s="137">
        <v>44</v>
      </c>
      <c r="B47" s="75" t="str">
        <f t="shared" ref="B47:H47" si="86">PX5</f>
        <v>TYSON FRESH MEAT</v>
      </c>
      <c r="C47" s="75" t="str">
        <f t="shared" si="86"/>
        <v xml:space="preserve">I B P </v>
      </c>
      <c r="D47" s="71" t="str">
        <f t="shared" si="86"/>
        <v>PED. 91773083</v>
      </c>
      <c r="E47" s="135">
        <f t="shared" si="86"/>
        <v>44924</v>
      </c>
      <c r="F47" s="105">
        <f t="shared" si="86"/>
        <v>18781.439999999999</v>
      </c>
      <c r="G47" s="73">
        <f t="shared" si="86"/>
        <v>20</v>
      </c>
      <c r="H47" s="132">
        <f t="shared" si="86"/>
        <v>18793.14</v>
      </c>
      <c r="I47" s="105">
        <f t="shared" si="70"/>
        <v>-11.700000000000728</v>
      </c>
      <c r="BJ47" s="95"/>
    </row>
    <row r="48" spans="1:823" x14ac:dyDescent="0.25">
      <c r="A48" s="137">
        <v>45</v>
      </c>
      <c r="B48" s="148" t="str">
        <f t="shared" ref="B48:H48" si="87">QG5</f>
        <v>SEABOARD FOODS</v>
      </c>
      <c r="C48" s="148" t="str">
        <f t="shared" si="87"/>
        <v>Seaboard</v>
      </c>
      <c r="D48" s="71" t="str">
        <f t="shared" si="87"/>
        <v>PED. 91898611</v>
      </c>
      <c r="E48" s="135">
        <f t="shared" si="87"/>
        <v>44925</v>
      </c>
      <c r="F48" s="105">
        <f t="shared" si="87"/>
        <v>17876.36</v>
      </c>
      <c r="G48" s="73">
        <f t="shared" si="87"/>
        <v>20</v>
      </c>
      <c r="H48" s="132">
        <f t="shared" si="87"/>
        <v>17920.8</v>
      </c>
      <c r="I48" s="105">
        <f t="shared" si="70"/>
        <v>-44.43999999999869</v>
      </c>
      <c r="BJ48" s="95"/>
    </row>
    <row r="49" spans="1:265" x14ac:dyDescent="0.25">
      <c r="A49" s="137">
        <v>46</v>
      </c>
      <c r="B49" s="148" t="str">
        <f t="shared" ref="B49:H49" si="88">QP5</f>
        <v>SEABOARD FOODS</v>
      </c>
      <c r="C49" s="148" t="str">
        <f t="shared" si="88"/>
        <v>Seaboard</v>
      </c>
      <c r="D49" s="71" t="str">
        <f t="shared" si="88"/>
        <v>PED. 91934532</v>
      </c>
      <c r="E49" s="135">
        <f t="shared" si="88"/>
        <v>44926</v>
      </c>
      <c r="F49" s="105">
        <f t="shared" si="88"/>
        <v>18047.189999999999</v>
      </c>
      <c r="G49" s="73">
        <f t="shared" si="88"/>
        <v>20</v>
      </c>
      <c r="H49" s="132">
        <f t="shared" si="88"/>
        <v>18100.400000000001</v>
      </c>
      <c r="I49" s="105">
        <f t="shared" si="70"/>
        <v>-53.210000000002765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61"/>
      <c r="B1" s="1261"/>
      <c r="C1" s="1261"/>
      <c r="D1" s="1261"/>
      <c r="E1" s="1261"/>
      <c r="F1" s="1261"/>
      <c r="G1" s="126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80"/>
      <c r="B5" s="129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80"/>
      <c r="B6" s="129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57" t="s">
        <v>21</v>
      </c>
      <c r="E32" s="1258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57" t="s">
        <v>21</v>
      </c>
      <c r="E29" s="1258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500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0</v>
      </c>
      <c r="H5" s="154">
        <f>E5-G5+E6</f>
        <v>7642.1</v>
      </c>
    </row>
    <row r="6" spans="1:10" ht="15.75" x14ac:dyDescent="0.25">
      <c r="A6" s="226" t="s">
        <v>501</v>
      </c>
      <c r="B6" s="432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7642.1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7642.1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7642.1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0">
        <f t="shared" si="1"/>
        <v>0</v>
      </c>
      <c r="G12" s="700"/>
      <c r="H12" s="701"/>
      <c r="I12" s="697">
        <f t="shared" si="2"/>
        <v>7642.1</v>
      </c>
      <c r="J12" s="736">
        <f t="shared" si="0"/>
        <v>0</v>
      </c>
    </row>
    <row r="13" spans="1:10" x14ac:dyDescent="0.25">
      <c r="B13" s="89"/>
      <c r="C13" s="337"/>
      <c r="D13" s="338"/>
      <c r="E13" s="350"/>
      <c r="F13" s="740">
        <f t="shared" si="1"/>
        <v>0</v>
      </c>
      <c r="G13" s="700"/>
      <c r="H13" s="701"/>
      <c r="I13" s="697">
        <f t="shared" si="2"/>
        <v>7642.1</v>
      </c>
      <c r="J13" s="736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0">
        <f t="shared" si="1"/>
        <v>0</v>
      </c>
      <c r="G14" s="700"/>
      <c r="H14" s="701"/>
      <c r="I14" s="697">
        <f t="shared" si="2"/>
        <v>7642.1</v>
      </c>
      <c r="J14" s="736">
        <f t="shared" si="0"/>
        <v>0</v>
      </c>
    </row>
    <row r="15" spans="1:10" x14ac:dyDescent="0.25">
      <c r="B15" s="89"/>
      <c r="C15" s="337"/>
      <c r="D15" s="338"/>
      <c r="E15" s="350"/>
      <c r="F15" s="740">
        <f t="shared" si="1"/>
        <v>0</v>
      </c>
      <c r="G15" s="700"/>
      <c r="H15" s="701"/>
      <c r="I15" s="697">
        <f t="shared" si="2"/>
        <v>7642.1</v>
      </c>
      <c r="J15" s="736">
        <f t="shared" si="0"/>
        <v>0</v>
      </c>
    </row>
    <row r="16" spans="1:10" x14ac:dyDescent="0.25">
      <c r="B16" s="89"/>
      <c r="C16" s="337"/>
      <c r="D16" s="338"/>
      <c r="E16" s="350"/>
      <c r="F16" s="740">
        <f t="shared" si="1"/>
        <v>0</v>
      </c>
      <c r="G16" s="700"/>
      <c r="H16" s="701"/>
      <c r="I16" s="697">
        <f t="shared" si="2"/>
        <v>7642.1</v>
      </c>
      <c r="J16" s="736">
        <f t="shared" si="0"/>
        <v>0</v>
      </c>
    </row>
    <row r="17" spans="1:10" x14ac:dyDescent="0.25">
      <c r="B17" s="89"/>
      <c r="C17" s="337"/>
      <c r="D17" s="338"/>
      <c r="E17" s="350"/>
      <c r="F17" s="740">
        <f t="shared" si="1"/>
        <v>0</v>
      </c>
      <c r="G17" s="700"/>
      <c r="H17" s="701"/>
      <c r="I17" s="697">
        <f t="shared" si="2"/>
        <v>7642.1</v>
      </c>
      <c r="J17" s="736">
        <f t="shared" si="0"/>
        <v>0</v>
      </c>
    </row>
    <row r="18" spans="1:10" x14ac:dyDescent="0.25">
      <c r="B18" s="89"/>
      <c r="C18" s="337"/>
      <c r="D18" s="338"/>
      <c r="E18" s="350"/>
      <c r="F18" s="740">
        <f t="shared" si="1"/>
        <v>0</v>
      </c>
      <c r="G18" s="700"/>
      <c r="H18" s="701"/>
      <c r="I18" s="697">
        <f t="shared" si="2"/>
        <v>7642.1</v>
      </c>
      <c r="J18" s="736">
        <f t="shared" si="0"/>
        <v>0</v>
      </c>
    </row>
    <row r="19" spans="1:10" x14ac:dyDescent="0.25">
      <c r="B19" s="89"/>
      <c r="C19" s="337"/>
      <c r="D19" s="338"/>
      <c r="E19" s="350"/>
      <c r="F19" s="740">
        <f t="shared" si="1"/>
        <v>0</v>
      </c>
      <c r="G19" s="700"/>
      <c r="H19" s="701"/>
      <c r="I19" s="697">
        <f t="shared" si="2"/>
        <v>7642.1</v>
      </c>
      <c r="J19" s="736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7642.1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7642.1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7642.1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7642.1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7642.1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7642.1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7642.1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7642.1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7642.1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57" t="s">
        <v>21</v>
      </c>
      <c r="E32" s="1258"/>
      <c r="F32" s="141">
        <f>E5-F30+E6+E7</f>
        <v>7642.1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H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68" t="s">
        <v>219</v>
      </c>
      <c r="B1" s="1268"/>
      <c r="C1" s="1268"/>
      <c r="D1" s="1268"/>
      <c r="E1" s="1268"/>
      <c r="F1" s="1268"/>
      <c r="G1" s="1268"/>
      <c r="H1" s="11">
        <v>1</v>
      </c>
      <c r="K1" s="1272" t="s">
        <v>340</v>
      </c>
      <c r="L1" s="1272"/>
      <c r="M1" s="1272"/>
      <c r="N1" s="1272"/>
      <c r="O1" s="1272"/>
      <c r="P1" s="1272"/>
      <c r="Q1" s="1272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280" t="s">
        <v>97</v>
      </c>
      <c r="B5" s="1282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  <c r="K5" s="1280" t="s">
        <v>97</v>
      </c>
      <c r="L5" s="1282" t="s">
        <v>98</v>
      </c>
      <c r="M5" s="66">
        <v>85</v>
      </c>
      <c r="N5" s="134">
        <v>44916</v>
      </c>
      <c r="O5" s="86">
        <v>524.9</v>
      </c>
      <c r="P5" s="73">
        <v>17</v>
      </c>
      <c r="Q5" s="1129"/>
    </row>
    <row r="6" spans="1:19" ht="15.75" customHeight="1" x14ac:dyDescent="0.25">
      <c r="A6" s="1280"/>
      <c r="B6" s="1282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  <c r="K6" s="1280"/>
      <c r="L6" s="1282"/>
      <c r="M6" s="66">
        <v>85</v>
      </c>
      <c r="N6" s="134">
        <v>44919</v>
      </c>
      <c r="O6" s="105">
        <v>495.17</v>
      </c>
      <c r="P6" s="73">
        <v>17</v>
      </c>
      <c r="Q6" s="88">
        <f>P27</f>
        <v>0</v>
      </c>
      <c r="R6" s="7">
        <f>O6-Q6+O5+O7+O4</f>
        <v>2048.75</v>
      </c>
    </row>
    <row r="7" spans="1:19" ht="15.75" thickBot="1" x14ac:dyDescent="0.3">
      <c r="B7" s="178"/>
      <c r="C7" s="66"/>
      <c r="D7" s="134"/>
      <c r="E7" s="86"/>
      <c r="F7" s="73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  <c r="L8" s="287" t="s">
        <v>7</v>
      </c>
      <c r="M8" s="282" t="s">
        <v>8</v>
      </c>
      <c r="N8" s="548" t="s">
        <v>17</v>
      </c>
      <c r="O8" s="284" t="s">
        <v>2</v>
      </c>
      <c r="P8" s="277" t="s">
        <v>18</v>
      </c>
      <c r="Q8" s="285" t="s">
        <v>15</v>
      </c>
      <c r="R8" s="24"/>
    </row>
    <row r="9" spans="1:1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  <c r="K9" s="55" t="s">
        <v>32</v>
      </c>
      <c r="L9" s="417">
        <f>P5+P6+P7-M9+P4</f>
        <v>69</v>
      </c>
      <c r="M9" s="73"/>
      <c r="N9" s="69"/>
      <c r="O9" s="245"/>
      <c r="P9" s="105">
        <f t="shared" ref="P9:P26" si="1">N9</f>
        <v>0</v>
      </c>
      <c r="Q9" s="70"/>
      <c r="R9" s="71"/>
      <c r="S9" s="132">
        <f>O5+O6+O7-P9+O4</f>
        <v>2048.75</v>
      </c>
    </row>
    <row r="10" spans="1:1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  <c r="L10" s="417">
        <f>L9-M10</f>
        <v>69</v>
      </c>
      <c r="M10" s="73"/>
      <c r="N10" s="69"/>
      <c r="O10" s="245"/>
      <c r="P10" s="105">
        <f t="shared" si="1"/>
        <v>0</v>
      </c>
      <c r="Q10" s="70"/>
      <c r="R10" s="71"/>
      <c r="S10" s="132">
        <f>S9-P10</f>
        <v>2048.75</v>
      </c>
    </row>
    <row r="11" spans="1:1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2">I10-F11</f>
        <v>756.96999999999991</v>
      </c>
      <c r="L11" s="417">
        <f>L10-M11</f>
        <v>69</v>
      </c>
      <c r="M11" s="73"/>
      <c r="N11" s="69"/>
      <c r="O11" s="245"/>
      <c r="P11" s="105">
        <f t="shared" si="1"/>
        <v>0</v>
      </c>
      <c r="Q11" s="70"/>
      <c r="R11" s="380"/>
      <c r="S11" s="132">
        <f t="shared" ref="S11:S26" si="3">S10-P11</f>
        <v>2048.75</v>
      </c>
    </row>
    <row r="12" spans="1:19" x14ac:dyDescent="0.25">
      <c r="A12" s="55" t="s">
        <v>33</v>
      </c>
      <c r="B12" s="417">
        <f t="shared" ref="B12:B14" si="4">B11-C12</f>
        <v>23</v>
      </c>
      <c r="C12" s="73">
        <v>1</v>
      </c>
      <c r="D12" s="629">
        <v>34.119999999999997</v>
      </c>
      <c r="E12" s="631">
        <v>44807</v>
      </c>
      <c r="F12" s="632">
        <f t="shared" si="0"/>
        <v>34.119999999999997</v>
      </c>
      <c r="G12" s="630" t="s">
        <v>152</v>
      </c>
      <c r="H12" s="380">
        <v>61</v>
      </c>
      <c r="I12" s="132">
        <f t="shared" si="2"/>
        <v>722.84999999999991</v>
      </c>
      <c r="K12" s="55" t="s">
        <v>33</v>
      </c>
      <c r="L12" s="1132">
        <f t="shared" ref="L12:L14" si="5">L11-M12</f>
        <v>69</v>
      </c>
      <c r="M12" s="714"/>
      <c r="N12" s="702"/>
      <c r="O12" s="846"/>
      <c r="P12" s="737">
        <f t="shared" si="1"/>
        <v>0</v>
      </c>
      <c r="Q12" s="700"/>
      <c r="R12" s="1133"/>
      <c r="S12" s="697">
        <f t="shared" si="3"/>
        <v>2048.75</v>
      </c>
    </row>
    <row r="13" spans="1:19" x14ac:dyDescent="0.25">
      <c r="B13" s="417">
        <f t="shared" si="4"/>
        <v>22</v>
      </c>
      <c r="C13" s="73">
        <v>1</v>
      </c>
      <c r="D13" s="629">
        <v>32.950000000000003</v>
      </c>
      <c r="E13" s="631">
        <v>44818</v>
      </c>
      <c r="F13" s="632">
        <f t="shared" si="0"/>
        <v>32.950000000000003</v>
      </c>
      <c r="G13" s="630" t="s">
        <v>159</v>
      </c>
      <c r="H13" s="380">
        <v>62</v>
      </c>
      <c r="I13" s="132">
        <f t="shared" si="2"/>
        <v>689.89999999999986</v>
      </c>
      <c r="L13" s="1132">
        <f t="shared" si="5"/>
        <v>69</v>
      </c>
      <c r="M13" s="714"/>
      <c r="N13" s="702"/>
      <c r="O13" s="846"/>
      <c r="P13" s="737">
        <f t="shared" si="1"/>
        <v>0</v>
      </c>
      <c r="Q13" s="700"/>
      <c r="R13" s="1133"/>
      <c r="S13" s="697">
        <f t="shared" si="3"/>
        <v>2048.75</v>
      </c>
    </row>
    <row r="14" spans="1:19" x14ac:dyDescent="0.25">
      <c r="A14" s="19"/>
      <c r="B14" s="417">
        <f t="shared" si="4"/>
        <v>21</v>
      </c>
      <c r="C14" s="73">
        <v>1</v>
      </c>
      <c r="D14" s="629">
        <v>32.700000000000003</v>
      </c>
      <c r="E14" s="631">
        <v>44819</v>
      </c>
      <c r="F14" s="632">
        <f t="shared" si="0"/>
        <v>32.700000000000003</v>
      </c>
      <c r="G14" s="630" t="s">
        <v>160</v>
      </c>
      <c r="H14" s="380">
        <v>61</v>
      </c>
      <c r="I14" s="132">
        <f t="shared" si="2"/>
        <v>657.19999999999982</v>
      </c>
      <c r="K14" s="19"/>
      <c r="L14" s="1132">
        <f t="shared" si="5"/>
        <v>69</v>
      </c>
      <c r="M14" s="714"/>
      <c r="N14" s="702"/>
      <c r="O14" s="846"/>
      <c r="P14" s="737">
        <f t="shared" si="1"/>
        <v>0</v>
      </c>
      <c r="Q14" s="700"/>
      <c r="R14" s="1133"/>
      <c r="S14" s="697">
        <f t="shared" si="3"/>
        <v>2048.75</v>
      </c>
    </row>
    <row r="15" spans="1:19" x14ac:dyDescent="0.25">
      <c r="B15" s="822">
        <f>B14-C15</f>
        <v>20</v>
      </c>
      <c r="C15" s="73">
        <v>1</v>
      </c>
      <c r="D15" s="629">
        <v>32.630000000000003</v>
      </c>
      <c r="E15" s="631">
        <v>44819</v>
      </c>
      <c r="F15" s="632">
        <f t="shared" si="0"/>
        <v>32.630000000000003</v>
      </c>
      <c r="G15" s="630" t="s">
        <v>162</v>
      </c>
      <c r="H15" s="380">
        <v>61</v>
      </c>
      <c r="I15" s="321">
        <f t="shared" si="2"/>
        <v>624.56999999999982</v>
      </c>
      <c r="L15" s="1132">
        <f>L14-M15</f>
        <v>69</v>
      </c>
      <c r="M15" s="714"/>
      <c r="N15" s="702"/>
      <c r="O15" s="846"/>
      <c r="P15" s="737">
        <f t="shared" si="1"/>
        <v>0</v>
      </c>
      <c r="Q15" s="700"/>
      <c r="R15" s="1133"/>
      <c r="S15" s="697">
        <f t="shared" si="3"/>
        <v>2048.75</v>
      </c>
    </row>
    <row r="16" spans="1:19" x14ac:dyDescent="0.25">
      <c r="B16" s="417">
        <f t="shared" ref="B16:B26" si="6">B15-C16</f>
        <v>17</v>
      </c>
      <c r="C16" s="73">
        <v>3</v>
      </c>
      <c r="D16" s="537">
        <v>88.2</v>
      </c>
      <c r="E16" s="741">
        <v>44837</v>
      </c>
      <c r="F16" s="742">
        <f t="shared" si="0"/>
        <v>88.2</v>
      </c>
      <c r="G16" s="330" t="s">
        <v>182</v>
      </c>
      <c r="H16" s="331">
        <v>61</v>
      </c>
      <c r="I16" s="132">
        <f t="shared" si="2"/>
        <v>536.36999999999978</v>
      </c>
      <c r="L16" s="1132">
        <f t="shared" ref="L16:L26" si="7">L15-M16</f>
        <v>69</v>
      </c>
      <c r="M16" s="714"/>
      <c r="N16" s="702"/>
      <c r="O16" s="846"/>
      <c r="P16" s="737">
        <f t="shared" si="1"/>
        <v>0</v>
      </c>
      <c r="Q16" s="700"/>
      <c r="R16" s="997"/>
      <c r="S16" s="697">
        <f t="shared" si="3"/>
        <v>2048.75</v>
      </c>
    </row>
    <row r="17" spans="1:19" x14ac:dyDescent="0.25">
      <c r="B17" s="417">
        <f t="shared" si="6"/>
        <v>16</v>
      </c>
      <c r="C17" s="73">
        <v>1</v>
      </c>
      <c r="D17" s="537">
        <v>32.49</v>
      </c>
      <c r="E17" s="741">
        <v>44844</v>
      </c>
      <c r="F17" s="742">
        <f t="shared" si="0"/>
        <v>32.49</v>
      </c>
      <c r="G17" s="330" t="s">
        <v>189</v>
      </c>
      <c r="H17" s="331">
        <v>61</v>
      </c>
      <c r="I17" s="132">
        <f t="shared" si="2"/>
        <v>503.87999999999977</v>
      </c>
      <c r="L17" s="1132">
        <f t="shared" si="7"/>
        <v>69</v>
      </c>
      <c r="M17" s="714"/>
      <c r="N17" s="702"/>
      <c r="O17" s="846"/>
      <c r="P17" s="737">
        <f t="shared" si="1"/>
        <v>0</v>
      </c>
      <c r="Q17" s="700"/>
      <c r="R17" s="997"/>
      <c r="S17" s="697">
        <f t="shared" si="3"/>
        <v>2048.75</v>
      </c>
    </row>
    <row r="18" spans="1:19" x14ac:dyDescent="0.25">
      <c r="B18" s="850">
        <f t="shared" si="6"/>
        <v>15</v>
      </c>
      <c r="C18" s="73">
        <v>1</v>
      </c>
      <c r="D18" s="537">
        <v>29.94</v>
      </c>
      <c r="E18" s="741">
        <v>44858</v>
      </c>
      <c r="F18" s="742">
        <f t="shared" si="0"/>
        <v>29.94</v>
      </c>
      <c r="G18" s="330" t="s">
        <v>209</v>
      </c>
      <c r="H18" s="331">
        <v>61</v>
      </c>
      <c r="I18" s="829">
        <f t="shared" si="2"/>
        <v>473.93999999999977</v>
      </c>
      <c r="L18" s="1132">
        <f t="shared" si="7"/>
        <v>69</v>
      </c>
      <c r="M18" s="714"/>
      <c r="N18" s="702"/>
      <c r="O18" s="846"/>
      <c r="P18" s="737">
        <f t="shared" si="1"/>
        <v>0</v>
      </c>
      <c r="Q18" s="700"/>
      <c r="R18" s="997"/>
      <c r="S18" s="697">
        <f t="shared" si="3"/>
        <v>2048.75</v>
      </c>
    </row>
    <row r="19" spans="1:19" x14ac:dyDescent="0.25">
      <c r="B19" s="417">
        <f t="shared" si="6"/>
        <v>14</v>
      </c>
      <c r="C19" s="73">
        <v>1</v>
      </c>
      <c r="D19" s="839">
        <v>31.74</v>
      </c>
      <c r="E19" s="848">
        <v>44870</v>
      </c>
      <c r="F19" s="849">
        <f t="shared" si="0"/>
        <v>31.74</v>
      </c>
      <c r="G19" s="841" t="s">
        <v>243</v>
      </c>
      <c r="H19" s="842">
        <v>61</v>
      </c>
      <c r="I19" s="132">
        <f t="shared" si="2"/>
        <v>442.19999999999976</v>
      </c>
      <c r="L19" s="1132">
        <f t="shared" si="7"/>
        <v>69</v>
      </c>
      <c r="M19" s="714"/>
      <c r="N19" s="702"/>
      <c r="O19" s="846"/>
      <c r="P19" s="737">
        <f t="shared" si="1"/>
        <v>0</v>
      </c>
      <c r="Q19" s="700"/>
      <c r="R19" s="1134"/>
      <c r="S19" s="697">
        <f t="shared" si="3"/>
        <v>2048.75</v>
      </c>
    </row>
    <row r="20" spans="1:19" x14ac:dyDescent="0.25">
      <c r="B20" s="417">
        <f t="shared" si="6"/>
        <v>13</v>
      </c>
      <c r="C20" s="73">
        <v>1</v>
      </c>
      <c r="D20" s="839">
        <v>31.36</v>
      </c>
      <c r="E20" s="848">
        <v>44877</v>
      </c>
      <c r="F20" s="849">
        <f t="shared" si="0"/>
        <v>31.36</v>
      </c>
      <c r="G20" s="841" t="s">
        <v>266</v>
      </c>
      <c r="H20" s="842">
        <v>61</v>
      </c>
      <c r="I20" s="132">
        <f t="shared" si="2"/>
        <v>410.83999999999975</v>
      </c>
      <c r="L20" s="1132">
        <f t="shared" si="7"/>
        <v>69</v>
      </c>
      <c r="M20" s="714"/>
      <c r="N20" s="702"/>
      <c r="O20" s="846"/>
      <c r="P20" s="737">
        <f t="shared" si="1"/>
        <v>0</v>
      </c>
      <c r="Q20" s="700"/>
      <c r="R20" s="1134"/>
      <c r="S20" s="697">
        <f t="shared" si="3"/>
        <v>2048.75</v>
      </c>
    </row>
    <row r="21" spans="1:19" x14ac:dyDescent="0.25">
      <c r="B21" s="850">
        <f t="shared" si="6"/>
        <v>12</v>
      </c>
      <c r="C21" s="73">
        <v>1</v>
      </c>
      <c r="D21" s="839">
        <v>26.53</v>
      </c>
      <c r="E21" s="848">
        <v>44881</v>
      </c>
      <c r="F21" s="849">
        <f t="shared" si="0"/>
        <v>26.53</v>
      </c>
      <c r="G21" s="841" t="s">
        <v>280</v>
      </c>
      <c r="H21" s="842">
        <v>61</v>
      </c>
      <c r="I21" s="829">
        <f t="shared" si="2"/>
        <v>384.30999999999972</v>
      </c>
      <c r="L21" s="1132">
        <f t="shared" si="7"/>
        <v>69</v>
      </c>
      <c r="M21" s="714"/>
      <c r="N21" s="702"/>
      <c r="O21" s="846"/>
      <c r="P21" s="737">
        <f t="shared" si="1"/>
        <v>0</v>
      </c>
      <c r="Q21" s="700"/>
      <c r="R21" s="1134"/>
      <c r="S21" s="697">
        <f t="shared" si="3"/>
        <v>2048.75</v>
      </c>
    </row>
    <row r="22" spans="1:19" x14ac:dyDescent="0.25">
      <c r="B22" s="417">
        <f t="shared" si="6"/>
        <v>12</v>
      </c>
      <c r="C22" s="73"/>
      <c r="D22" s="537">
        <v>0</v>
      </c>
      <c r="E22" s="741"/>
      <c r="F22" s="742">
        <f t="shared" si="0"/>
        <v>0</v>
      </c>
      <c r="G22" s="330"/>
      <c r="H22" s="331"/>
      <c r="I22" s="132">
        <f t="shared" si="2"/>
        <v>384.30999999999972</v>
      </c>
      <c r="L22" s="1132">
        <f t="shared" si="7"/>
        <v>69</v>
      </c>
      <c r="M22" s="714"/>
      <c r="N22" s="702">
        <v>0</v>
      </c>
      <c r="O22" s="846"/>
      <c r="P22" s="737">
        <f t="shared" si="1"/>
        <v>0</v>
      </c>
      <c r="Q22" s="700"/>
      <c r="R22" s="997"/>
      <c r="S22" s="697">
        <f t="shared" si="3"/>
        <v>2048.75</v>
      </c>
    </row>
    <row r="23" spans="1:19" x14ac:dyDescent="0.25">
      <c r="B23" s="417">
        <f t="shared" si="6"/>
        <v>12</v>
      </c>
      <c r="C23" s="15"/>
      <c r="D23" s="537">
        <v>0</v>
      </c>
      <c r="E23" s="741"/>
      <c r="F23" s="742">
        <f t="shared" si="0"/>
        <v>0</v>
      </c>
      <c r="G23" s="330"/>
      <c r="H23" s="331"/>
      <c r="I23" s="132">
        <f t="shared" si="2"/>
        <v>384.30999999999972</v>
      </c>
      <c r="L23" s="1132">
        <f t="shared" si="7"/>
        <v>69</v>
      </c>
      <c r="M23" s="821"/>
      <c r="N23" s="702">
        <v>0</v>
      </c>
      <c r="O23" s="846"/>
      <c r="P23" s="737">
        <f t="shared" si="1"/>
        <v>0</v>
      </c>
      <c r="Q23" s="700"/>
      <c r="R23" s="997"/>
      <c r="S23" s="697">
        <f t="shared" si="3"/>
        <v>2048.75</v>
      </c>
    </row>
    <row r="24" spans="1:19" x14ac:dyDescent="0.25">
      <c r="B24" s="417">
        <f t="shared" si="6"/>
        <v>12</v>
      </c>
      <c r="C24" s="15"/>
      <c r="D24" s="537">
        <v>0</v>
      </c>
      <c r="E24" s="741"/>
      <c r="F24" s="742">
        <f t="shared" si="0"/>
        <v>0</v>
      </c>
      <c r="G24" s="330"/>
      <c r="H24" s="331"/>
      <c r="I24" s="132">
        <f t="shared" si="2"/>
        <v>384.30999999999972</v>
      </c>
      <c r="L24" s="1132">
        <f t="shared" si="7"/>
        <v>69</v>
      </c>
      <c r="M24" s="821"/>
      <c r="N24" s="702">
        <v>0</v>
      </c>
      <c r="O24" s="846"/>
      <c r="P24" s="737">
        <f t="shared" si="1"/>
        <v>0</v>
      </c>
      <c r="Q24" s="700"/>
      <c r="R24" s="997"/>
      <c r="S24" s="697">
        <f t="shared" si="3"/>
        <v>2048.75</v>
      </c>
    </row>
    <row r="25" spans="1:19" x14ac:dyDescent="0.25">
      <c r="B25" s="417">
        <f t="shared" si="6"/>
        <v>12</v>
      </c>
      <c r="C25" s="15"/>
      <c r="D25" s="537">
        <v>0</v>
      </c>
      <c r="E25" s="741"/>
      <c r="F25" s="742">
        <f t="shared" si="0"/>
        <v>0</v>
      </c>
      <c r="G25" s="330"/>
      <c r="H25" s="331"/>
      <c r="I25" s="132">
        <f t="shared" si="2"/>
        <v>384.30999999999972</v>
      </c>
      <c r="L25" s="417">
        <f t="shared" si="7"/>
        <v>69</v>
      </c>
      <c r="M25" s="15"/>
      <c r="N25" s="69">
        <v>0</v>
      </c>
      <c r="O25" s="245"/>
      <c r="P25" s="105">
        <f t="shared" si="1"/>
        <v>0</v>
      </c>
      <c r="Q25" s="70"/>
      <c r="R25" s="331"/>
      <c r="S25" s="132">
        <f t="shared" si="3"/>
        <v>2048.75</v>
      </c>
    </row>
    <row r="26" spans="1:19" ht="15.75" thickBot="1" x14ac:dyDescent="0.3">
      <c r="A26" s="121"/>
      <c r="B26" s="417">
        <f t="shared" si="6"/>
        <v>12</v>
      </c>
      <c r="C26" s="37"/>
      <c r="D26" s="537">
        <v>0</v>
      </c>
      <c r="E26" s="1002"/>
      <c r="F26" s="742">
        <f t="shared" si="0"/>
        <v>0</v>
      </c>
      <c r="G26" s="1003"/>
      <c r="H26" s="1004"/>
      <c r="I26" s="132">
        <f t="shared" si="2"/>
        <v>384.30999999999972</v>
      </c>
      <c r="K26" s="121"/>
      <c r="L26" s="417">
        <f t="shared" si="7"/>
        <v>69</v>
      </c>
      <c r="M26" s="37"/>
      <c r="N26" s="69">
        <v>0</v>
      </c>
      <c r="O26" s="203"/>
      <c r="P26" s="105">
        <f t="shared" si="1"/>
        <v>0</v>
      </c>
      <c r="Q26" s="139"/>
      <c r="R26" s="1004"/>
      <c r="S26" s="132">
        <f t="shared" si="3"/>
        <v>2048.75</v>
      </c>
    </row>
    <row r="27" spans="1:1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57" t="s">
        <v>21</v>
      </c>
      <c r="E29" s="1258"/>
      <c r="F29" s="141">
        <f>E5+E6-F27+E7+E4</f>
        <v>384.30999999999995</v>
      </c>
      <c r="L29" s="5"/>
      <c r="N29" s="1257" t="s">
        <v>21</v>
      </c>
      <c r="O29" s="1258"/>
      <c r="P29" s="141">
        <f>O5+O6-P27+O7+O4</f>
        <v>2048.75</v>
      </c>
    </row>
    <row r="30" spans="1:19" ht="15.75" thickBot="1" x14ac:dyDescent="0.3">
      <c r="A30" s="125"/>
      <c r="D30" s="263" t="s">
        <v>4</v>
      </c>
      <c r="E30" s="264"/>
      <c r="F30" s="49">
        <f>F5+F6-C27+F7+F4</f>
        <v>12</v>
      </c>
      <c r="K30" s="125"/>
      <c r="N30" s="1126" t="s">
        <v>4</v>
      </c>
      <c r="O30" s="1127"/>
      <c r="P30" s="49">
        <f>P5+P6-M27+P7+P4</f>
        <v>69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273"/>
      <c r="B6" s="1293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73"/>
      <c r="B7" s="1294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49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0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0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3"/>
      <c r="F16" s="105">
        <f t="shared" si="1"/>
        <v>20</v>
      </c>
      <c r="G16" s="630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3"/>
      <c r="F17" s="105">
        <f t="shared" si="1"/>
        <v>20</v>
      </c>
      <c r="G17" s="630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3"/>
      <c r="F18" s="105">
        <f t="shared" si="1"/>
        <v>20</v>
      </c>
      <c r="G18" s="630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3"/>
      <c r="F19" s="105">
        <f t="shared" si="1"/>
        <v>20</v>
      </c>
      <c r="G19" s="630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3"/>
      <c r="F20" s="105">
        <f t="shared" si="1"/>
        <v>20</v>
      </c>
      <c r="G20" s="630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3"/>
      <c r="F21" s="105">
        <f t="shared" si="1"/>
        <v>20</v>
      </c>
      <c r="G21" s="630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3"/>
      <c r="F22" s="105">
        <f t="shared" si="1"/>
        <v>20</v>
      </c>
      <c r="G22" s="630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3"/>
      <c r="F23" s="105">
        <f t="shared" si="1"/>
        <v>20</v>
      </c>
      <c r="G23" s="630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3"/>
      <c r="F24" s="105">
        <f t="shared" si="1"/>
        <v>20</v>
      </c>
      <c r="G24" s="630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3"/>
      <c r="F25" s="105">
        <f t="shared" si="1"/>
        <v>20</v>
      </c>
      <c r="G25" s="630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57" t="s">
        <v>21</v>
      </c>
      <c r="E30" s="1258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95" t="s">
        <v>325</v>
      </c>
      <c r="B1" s="1295"/>
      <c r="C1" s="1295"/>
      <c r="D1" s="1295"/>
      <c r="E1" s="1295"/>
      <c r="F1" s="1295"/>
      <c r="G1" s="1295"/>
      <c r="H1" s="1295"/>
      <c r="I1" s="1295"/>
      <c r="J1" s="1295"/>
      <c r="K1" s="479">
        <v>1</v>
      </c>
      <c r="M1" s="1298" t="s">
        <v>340</v>
      </c>
      <c r="N1" s="1298"/>
      <c r="O1" s="1298"/>
      <c r="P1" s="1298"/>
      <c r="Q1" s="1298"/>
      <c r="R1" s="1298"/>
      <c r="S1" s="1298"/>
      <c r="T1" s="1298"/>
      <c r="U1" s="1298"/>
      <c r="V1" s="1298"/>
      <c r="W1" s="479">
        <v>2</v>
      </c>
      <c r="Y1" s="1298" t="s">
        <v>340</v>
      </c>
      <c r="Z1" s="1298"/>
      <c r="AA1" s="1298"/>
      <c r="AB1" s="1298"/>
      <c r="AC1" s="1298"/>
      <c r="AD1" s="1298"/>
      <c r="AE1" s="1298"/>
      <c r="AF1" s="1298"/>
      <c r="AG1" s="1298"/>
      <c r="AH1" s="1298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296" t="s">
        <v>97</v>
      </c>
      <c r="B5" s="73" t="s">
        <v>48</v>
      </c>
      <c r="C5" s="881">
        <v>92</v>
      </c>
      <c r="D5" s="719">
        <v>44870</v>
      </c>
      <c r="E5" s="697">
        <v>5008.4799999999996</v>
      </c>
      <c r="F5" s="714">
        <v>184</v>
      </c>
      <c r="G5" s="47">
        <f>F115</f>
        <v>544.4</v>
      </c>
      <c r="H5" s="154">
        <f>E5+E6-G5+E4</f>
        <v>4469.07</v>
      </c>
      <c r="M5" s="1296" t="s">
        <v>97</v>
      </c>
      <c r="N5" s="73" t="s">
        <v>48</v>
      </c>
      <c r="O5" s="881">
        <v>88.5</v>
      </c>
      <c r="P5" s="719">
        <v>44898</v>
      </c>
      <c r="Q5" s="697">
        <v>5008.4799999999996</v>
      </c>
      <c r="R5" s="714">
        <v>184</v>
      </c>
      <c r="S5" s="47">
        <f>R115</f>
        <v>0</v>
      </c>
      <c r="T5" s="154">
        <f>Q5+Q6-S5+Q4</f>
        <v>5008.4799999999996</v>
      </c>
      <c r="Y5" s="1296" t="s">
        <v>52</v>
      </c>
      <c r="Z5" s="73" t="s">
        <v>48</v>
      </c>
      <c r="AA5" s="881">
        <v>86</v>
      </c>
      <c r="AB5" s="719">
        <v>44900</v>
      </c>
      <c r="AC5" s="697">
        <v>9016.44</v>
      </c>
      <c r="AD5" s="714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297"/>
      <c r="B6" s="668" t="s">
        <v>143</v>
      </c>
      <c r="C6" s="882"/>
      <c r="D6" s="719"/>
      <c r="E6" s="853"/>
      <c r="F6" s="883"/>
      <c r="M6" s="1297"/>
      <c r="N6" s="668" t="s">
        <v>143</v>
      </c>
      <c r="O6" s="882"/>
      <c r="P6" s="719"/>
      <c r="Q6" s="853"/>
      <c r="R6" s="883"/>
      <c r="Y6" s="1297"/>
      <c r="Z6" s="668" t="s">
        <v>143</v>
      </c>
      <c r="AA6" s="882"/>
      <c r="AB6" s="719"/>
      <c r="AC6" s="853"/>
      <c r="AD6" s="883"/>
    </row>
    <row r="7" spans="1:35" ht="15.75" customHeight="1" thickBot="1" x14ac:dyDescent="0.3">
      <c r="A7" s="552"/>
      <c r="B7" s="158"/>
      <c r="C7" s="519"/>
      <c r="D7" s="520"/>
      <c r="E7" s="521"/>
      <c r="F7" s="481"/>
      <c r="M7" s="552"/>
      <c r="N7" s="158"/>
      <c r="O7" s="519"/>
      <c r="P7" s="520"/>
      <c r="Q7" s="521"/>
      <c r="R7" s="481"/>
      <c r="Y7" s="552"/>
      <c r="Z7" s="158"/>
      <c r="AA7" s="519"/>
      <c r="AB7" s="520"/>
      <c r="AC7" s="521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1" t="s">
        <v>59</v>
      </c>
      <c r="J8" s="861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66" t="s">
        <v>59</v>
      </c>
      <c r="V8" s="96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66" t="s">
        <v>59</v>
      </c>
      <c r="AH8" s="966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89">
        <f>E5-F9+E4+E6+E7</f>
        <v>4469.07</v>
      </c>
      <c r="J9" s="990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34">
        <f>Q5-R9+Q4+Q6+Q7</f>
        <v>5008.4799999999996</v>
      </c>
      <c r="V9" s="1035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34">
        <f>AC5-AD9+AC4+AC6+AC7</f>
        <v>9016.44</v>
      </c>
      <c r="AH9" s="1035">
        <f>AD5-AA9+AD4+AD6+AD7</f>
        <v>331</v>
      </c>
      <c r="AI9" s="435">
        <f>AD9*AF9</f>
        <v>0</v>
      </c>
    </row>
    <row r="10" spans="1:35" x14ac:dyDescent="0.25">
      <c r="A10" s="553"/>
      <c r="B10">
        <v>27.22</v>
      </c>
      <c r="C10" s="15"/>
      <c r="D10" s="1005">
        <f>C10*B10</f>
        <v>0</v>
      </c>
      <c r="E10" s="573"/>
      <c r="F10" s="537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3"/>
      <c r="N10">
        <v>27.22</v>
      </c>
      <c r="O10" s="15"/>
      <c r="P10" s="712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3"/>
      <c r="Z10">
        <v>27.22</v>
      </c>
      <c r="AA10" s="15"/>
      <c r="AB10" s="712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4"/>
      <c r="B11">
        <v>27.22</v>
      </c>
      <c r="C11" s="15"/>
      <c r="D11" s="743">
        <f t="shared" ref="D11:D74" si="9">C11*B11</f>
        <v>0</v>
      </c>
      <c r="E11" s="741"/>
      <c r="F11" s="537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4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4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3">
        <f t="shared" si="9"/>
        <v>0</v>
      </c>
      <c r="E12" s="741"/>
      <c r="F12" s="537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3">
        <f t="shared" si="9"/>
        <v>0</v>
      </c>
      <c r="E13" s="741"/>
      <c r="F13" s="537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3">
        <f t="shared" si="9"/>
        <v>0</v>
      </c>
      <c r="E14" s="741"/>
      <c r="F14" s="537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3">
        <f t="shared" si="9"/>
        <v>0</v>
      </c>
      <c r="E15" s="741"/>
      <c r="F15" s="537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3">
        <f t="shared" si="9"/>
        <v>0</v>
      </c>
      <c r="E16" s="741"/>
      <c r="F16" s="537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3">
        <f t="shared" si="9"/>
        <v>0</v>
      </c>
      <c r="E17" s="741"/>
      <c r="F17" s="537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3">
        <f t="shared" si="9"/>
        <v>0</v>
      </c>
      <c r="E18" s="741"/>
      <c r="F18" s="537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3">
        <f t="shared" si="9"/>
        <v>0</v>
      </c>
      <c r="E19" s="741"/>
      <c r="F19" s="537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3">
        <f t="shared" si="9"/>
        <v>0</v>
      </c>
      <c r="E20" s="741"/>
      <c r="F20" s="537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3">
        <f t="shared" si="9"/>
        <v>0</v>
      </c>
      <c r="E21" s="741"/>
      <c r="F21" s="537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3">
        <f t="shared" si="9"/>
        <v>0</v>
      </c>
      <c r="E22" s="741"/>
      <c r="F22" s="537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3">
        <f t="shared" si="9"/>
        <v>0</v>
      </c>
      <c r="E23" s="741"/>
      <c r="F23" s="537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3">
        <f t="shared" si="9"/>
        <v>0</v>
      </c>
      <c r="E24" s="741"/>
      <c r="F24" s="537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3">
        <f t="shared" si="9"/>
        <v>0</v>
      </c>
      <c r="E25" s="741"/>
      <c r="F25" s="537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3">
        <f t="shared" si="9"/>
        <v>0</v>
      </c>
      <c r="E26" s="741"/>
      <c r="F26" s="537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3">
        <f t="shared" si="9"/>
        <v>0</v>
      </c>
      <c r="E27" s="741"/>
      <c r="F27" s="537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3">
        <f t="shared" si="9"/>
        <v>0</v>
      </c>
      <c r="E28" s="741"/>
      <c r="F28" s="537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3">
        <f t="shared" si="9"/>
        <v>0</v>
      </c>
      <c r="E29" s="741"/>
      <c r="F29" s="537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3">
        <f t="shared" si="9"/>
        <v>0</v>
      </c>
      <c r="E30" s="741"/>
      <c r="F30" s="537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3">
        <f t="shared" si="9"/>
        <v>0</v>
      </c>
      <c r="E31" s="741"/>
      <c r="F31" s="537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3">
        <f t="shared" si="9"/>
        <v>0</v>
      </c>
      <c r="E32" s="741"/>
      <c r="F32" s="537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3">
        <f t="shared" si="9"/>
        <v>0</v>
      </c>
      <c r="E33" s="741"/>
      <c r="F33" s="537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98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98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98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270" t="s">
        <v>11</v>
      </c>
      <c r="D120" s="1271"/>
      <c r="E120" s="57">
        <f>E4+E5+E6-F115</f>
        <v>4469.07</v>
      </c>
      <c r="G120" s="47"/>
      <c r="H120" s="91"/>
      <c r="O120" s="1270" t="s">
        <v>11</v>
      </c>
      <c r="P120" s="1271"/>
      <c r="Q120" s="57">
        <f>Q4+Q5+Q6-R115</f>
        <v>5008.4799999999996</v>
      </c>
      <c r="S120" s="47"/>
      <c r="T120" s="91"/>
      <c r="AA120" s="1270" t="s">
        <v>11</v>
      </c>
      <c r="AB120" s="1271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selection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8" t="s">
        <v>326</v>
      </c>
      <c r="B1" s="1268"/>
      <c r="C1" s="1268"/>
      <c r="D1" s="1268"/>
      <c r="E1" s="1268"/>
      <c r="F1" s="1268"/>
      <c r="G1" s="1268"/>
      <c r="H1" s="11">
        <v>1</v>
      </c>
      <c r="K1" s="1272" t="s">
        <v>499</v>
      </c>
      <c r="L1" s="1272"/>
      <c r="M1" s="1272"/>
      <c r="N1" s="1272"/>
      <c r="O1" s="1272"/>
      <c r="P1" s="1272"/>
      <c r="Q1" s="12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91"/>
      <c r="D4" s="892"/>
      <c r="E4" s="954">
        <v>111.09</v>
      </c>
      <c r="F4" s="883">
        <v>6</v>
      </c>
      <c r="G4" s="73"/>
      <c r="L4" s="83"/>
      <c r="M4" s="891"/>
      <c r="N4" s="892"/>
      <c r="O4" s="954"/>
      <c r="P4" s="883"/>
      <c r="Q4" s="73"/>
    </row>
    <row r="5" spans="1:19" ht="15.75" customHeight="1" x14ac:dyDescent="0.25">
      <c r="A5" s="1273" t="s">
        <v>224</v>
      </c>
      <c r="B5" s="351" t="s">
        <v>66</v>
      </c>
      <c r="C5" s="715">
        <v>144</v>
      </c>
      <c r="D5" s="716">
        <v>44874</v>
      </c>
      <c r="E5" s="702">
        <v>2545.4699999999998</v>
      </c>
      <c r="F5" s="714">
        <v>128</v>
      </c>
      <c r="G5" s="47">
        <f>F68</f>
        <v>459.41999999999996</v>
      </c>
      <c r="H5" s="7">
        <f>E5-G5+E4+E6+E7</f>
        <v>2197.14</v>
      </c>
      <c r="K5" s="1273" t="s">
        <v>224</v>
      </c>
      <c r="L5" s="351" t="s">
        <v>66</v>
      </c>
      <c r="M5" s="715">
        <v>142</v>
      </c>
      <c r="N5" s="716">
        <v>44915</v>
      </c>
      <c r="O5" s="702">
        <v>1085.3399999999999</v>
      </c>
      <c r="P5" s="714">
        <v>52</v>
      </c>
      <c r="Q5" s="47">
        <f>P68</f>
        <v>0</v>
      </c>
      <c r="R5" s="7">
        <f>O5-Q5+O4+O6+O7</f>
        <v>1085.3399999999999</v>
      </c>
    </row>
    <row r="6" spans="1:19" ht="15" customHeight="1" x14ac:dyDescent="0.25">
      <c r="A6" s="1273"/>
      <c r="B6" s="862" t="s">
        <v>67</v>
      </c>
      <c r="C6" s="894"/>
      <c r="D6" s="894"/>
      <c r="E6" s="894"/>
      <c r="F6" s="893"/>
      <c r="K6" s="1273"/>
      <c r="L6" s="1128" t="s">
        <v>67</v>
      </c>
      <c r="M6" s="894"/>
      <c r="N6" s="894"/>
      <c r="O6" s="894"/>
      <c r="P6" s="893"/>
    </row>
    <row r="7" spans="1:19" ht="15.75" thickBot="1" x14ac:dyDescent="0.3">
      <c r="B7" s="73"/>
      <c r="C7" s="895"/>
      <c r="D7" s="895"/>
      <c r="E7" s="895"/>
      <c r="F7" s="893"/>
      <c r="L7" s="73"/>
      <c r="M7" s="895"/>
      <c r="N7" s="895"/>
      <c r="O7" s="895"/>
      <c r="P7" s="893"/>
    </row>
    <row r="8" spans="1:19" ht="16.5" thickTop="1" thickBot="1" x14ac:dyDescent="0.3">
      <c r="B8" s="64" t="s">
        <v>7</v>
      </c>
      <c r="C8" s="831" t="s">
        <v>8</v>
      </c>
      <c r="D8" s="832" t="s">
        <v>3</v>
      </c>
      <c r="E8" s="833" t="s">
        <v>2</v>
      </c>
      <c r="F8" s="9" t="s">
        <v>9</v>
      </c>
      <c r="G8" s="10" t="s">
        <v>15</v>
      </c>
      <c r="H8" s="24"/>
      <c r="L8" s="64" t="s">
        <v>7</v>
      </c>
      <c r="M8" s="831" t="s">
        <v>8</v>
      </c>
      <c r="N8" s="832" t="s">
        <v>3</v>
      </c>
      <c r="O8" s="8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53">
        <f>E6+E5+E4-F9+E7</f>
        <v>2509.61</v>
      </c>
      <c r="K9" s="55" t="s">
        <v>32</v>
      </c>
      <c r="L9" s="417">
        <f>P4+P5+P6+P7-M9</f>
        <v>52</v>
      </c>
      <c r="M9" s="127"/>
      <c r="N9" s="69"/>
      <c r="O9" s="246"/>
      <c r="P9" s="69">
        <f t="shared" ref="P9:P52" si="1">N9</f>
        <v>0</v>
      </c>
      <c r="Q9" s="70"/>
      <c r="R9" s="71"/>
      <c r="S9" s="853">
        <f>O6+O5+O4-P9+O7</f>
        <v>1085.3399999999999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52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5">S9-P10</f>
        <v>1085.3399999999999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3"/>
        <v>2280.4800000000005</v>
      </c>
      <c r="K11" s="12"/>
      <c r="L11" s="182">
        <f t="shared" si="4"/>
        <v>52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5"/>
        <v>1085.3399999999999</v>
      </c>
    </row>
    <row r="12" spans="1:19" x14ac:dyDescent="0.25">
      <c r="A12" s="55" t="s">
        <v>33</v>
      </c>
      <c r="B12" s="827">
        <f t="shared" si="2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30">
        <f t="shared" si="3"/>
        <v>2197.1400000000003</v>
      </c>
      <c r="K12" s="55" t="s">
        <v>33</v>
      </c>
      <c r="L12" s="889">
        <f t="shared" si="4"/>
        <v>52</v>
      </c>
      <c r="M12" s="1131"/>
      <c r="N12" s="702"/>
      <c r="O12" s="852"/>
      <c r="P12" s="702">
        <f t="shared" si="1"/>
        <v>0</v>
      </c>
      <c r="Q12" s="700"/>
      <c r="R12" s="701"/>
      <c r="S12" s="853">
        <f t="shared" si="5"/>
        <v>1085.3399999999999</v>
      </c>
    </row>
    <row r="13" spans="1:19" x14ac:dyDescent="0.25">
      <c r="A13" s="77"/>
      <c r="B13" s="182">
        <f t="shared" si="2"/>
        <v>110</v>
      </c>
      <c r="C13" s="127"/>
      <c r="D13" s="537"/>
      <c r="E13" s="573"/>
      <c r="F13" s="537">
        <f t="shared" si="0"/>
        <v>0</v>
      </c>
      <c r="G13" s="330"/>
      <c r="H13" s="331"/>
      <c r="I13" s="78">
        <f t="shared" si="3"/>
        <v>2197.1400000000003</v>
      </c>
      <c r="K13" s="77"/>
      <c r="L13" s="889">
        <f t="shared" si="4"/>
        <v>52</v>
      </c>
      <c r="M13" s="1131"/>
      <c r="N13" s="702"/>
      <c r="O13" s="852"/>
      <c r="P13" s="702">
        <f t="shared" si="1"/>
        <v>0</v>
      </c>
      <c r="Q13" s="700"/>
      <c r="R13" s="701"/>
      <c r="S13" s="853">
        <f t="shared" si="5"/>
        <v>1085.3399999999999</v>
      </c>
    </row>
    <row r="14" spans="1:19" x14ac:dyDescent="0.25">
      <c r="A14" s="12"/>
      <c r="B14" s="182">
        <f t="shared" si="2"/>
        <v>110</v>
      </c>
      <c r="C14" s="127"/>
      <c r="D14" s="537"/>
      <c r="E14" s="573"/>
      <c r="F14" s="537">
        <f t="shared" si="0"/>
        <v>0</v>
      </c>
      <c r="G14" s="330"/>
      <c r="H14" s="331"/>
      <c r="I14" s="78">
        <f t="shared" si="3"/>
        <v>2197.1400000000003</v>
      </c>
      <c r="K14" s="12"/>
      <c r="L14" s="182">
        <f t="shared" si="4"/>
        <v>52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5"/>
        <v>1085.3399999999999</v>
      </c>
    </row>
    <row r="15" spans="1:19" x14ac:dyDescent="0.25">
      <c r="B15" s="182">
        <f t="shared" si="2"/>
        <v>110</v>
      </c>
      <c r="C15" s="127"/>
      <c r="D15" s="537"/>
      <c r="E15" s="573"/>
      <c r="F15" s="537">
        <f t="shared" si="0"/>
        <v>0</v>
      </c>
      <c r="G15" s="330"/>
      <c r="H15" s="331"/>
      <c r="I15" s="78">
        <f t="shared" si="3"/>
        <v>2197.1400000000003</v>
      </c>
      <c r="L15" s="182">
        <f t="shared" si="4"/>
        <v>52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5"/>
        <v>1085.3399999999999</v>
      </c>
    </row>
    <row r="16" spans="1:19" x14ac:dyDescent="0.25">
      <c r="B16" s="182">
        <f t="shared" si="2"/>
        <v>110</v>
      </c>
      <c r="C16" s="127"/>
      <c r="D16" s="537"/>
      <c r="E16" s="573"/>
      <c r="F16" s="537">
        <f t="shared" si="0"/>
        <v>0</v>
      </c>
      <c r="G16" s="330"/>
      <c r="H16" s="331"/>
      <c r="I16" s="78">
        <f t="shared" si="3"/>
        <v>2197.1400000000003</v>
      </c>
      <c r="L16" s="182">
        <f t="shared" si="4"/>
        <v>52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5"/>
        <v>1085.3399999999999</v>
      </c>
    </row>
    <row r="17" spans="2:19" x14ac:dyDescent="0.25">
      <c r="B17" s="182">
        <f t="shared" si="2"/>
        <v>110</v>
      </c>
      <c r="C17" s="127"/>
      <c r="D17" s="537"/>
      <c r="E17" s="573"/>
      <c r="F17" s="537">
        <f t="shared" si="0"/>
        <v>0</v>
      </c>
      <c r="G17" s="330"/>
      <c r="H17" s="331"/>
      <c r="I17" s="78">
        <f t="shared" si="3"/>
        <v>2197.1400000000003</v>
      </c>
      <c r="L17" s="182">
        <f t="shared" si="4"/>
        <v>52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5"/>
        <v>1085.3399999999999</v>
      </c>
    </row>
    <row r="18" spans="2:19" x14ac:dyDescent="0.25">
      <c r="B18" s="182">
        <f t="shared" si="2"/>
        <v>110</v>
      </c>
      <c r="C18" s="127"/>
      <c r="D18" s="537"/>
      <c r="E18" s="573"/>
      <c r="F18" s="537">
        <f t="shared" si="0"/>
        <v>0</v>
      </c>
      <c r="G18" s="330"/>
      <c r="H18" s="331"/>
      <c r="I18" s="78">
        <f t="shared" si="3"/>
        <v>2197.1400000000003</v>
      </c>
      <c r="L18" s="182">
        <f t="shared" si="4"/>
        <v>52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5"/>
        <v>1085.3399999999999</v>
      </c>
    </row>
    <row r="19" spans="2:19" x14ac:dyDescent="0.25">
      <c r="B19" s="182">
        <f t="shared" si="2"/>
        <v>110</v>
      </c>
      <c r="C19" s="127"/>
      <c r="D19" s="537"/>
      <c r="E19" s="573"/>
      <c r="F19" s="537">
        <f t="shared" si="0"/>
        <v>0</v>
      </c>
      <c r="G19" s="330"/>
      <c r="H19" s="331"/>
      <c r="I19" s="78">
        <f t="shared" si="3"/>
        <v>2197.1400000000003</v>
      </c>
      <c r="L19" s="182">
        <f t="shared" si="4"/>
        <v>52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5"/>
        <v>1085.3399999999999</v>
      </c>
    </row>
    <row r="20" spans="2:19" x14ac:dyDescent="0.25">
      <c r="B20" s="182">
        <f t="shared" si="2"/>
        <v>110</v>
      </c>
      <c r="C20" s="127"/>
      <c r="D20" s="537"/>
      <c r="E20" s="573"/>
      <c r="F20" s="537">
        <f t="shared" si="0"/>
        <v>0</v>
      </c>
      <c r="G20" s="330"/>
      <c r="H20" s="331"/>
      <c r="I20" s="78">
        <f t="shared" si="3"/>
        <v>2197.1400000000003</v>
      </c>
      <c r="L20" s="182">
        <f t="shared" si="4"/>
        <v>52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5"/>
        <v>1085.3399999999999</v>
      </c>
    </row>
    <row r="21" spans="2:19" x14ac:dyDescent="0.25">
      <c r="B21" s="182">
        <f t="shared" si="2"/>
        <v>110</v>
      </c>
      <c r="C21" s="127"/>
      <c r="D21" s="537"/>
      <c r="E21" s="573"/>
      <c r="F21" s="537">
        <f t="shared" si="0"/>
        <v>0</v>
      </c>
      <c r="G21" s="330"/>
      <c r="H21" s="331"/>
      <c r="I21" s="78">
        <f t="shared" si="3"/>
        <v>2197.1400000000003</v>
      </c>
      <c r="L21" s="182">
        <f t="shared" si="4"/>
        <v>52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5"/>
        <v>1085.3399999999999</v>
      </c>
    </row>
    <row r="22" spans="2:19" x14ac:dyDescent="0.25">
      <c r="B22" s="182">
        <f t="shared" si="2"/>
        <v>110</v>
      </c>
      <c r="C22" s="127"/>
      <c r="D22" s="537"/>
      <c r="E22" s="573"/>
      <c r="F22" s="537">
        <f t="shared" si="0"/>
        <v>0</v>
      </c>
      <c r="G22" s="330"/>
      <c r="H22" s="331"/>
      <c r="I22" s="78">
        <f t="shared" si="3"/>
        <v>2197.1400000000003</v>
      </c>
      <c r="L22" s="182">
        <f t="shared" si="4"/>
        <v>52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5"/>
        <v>1085.3399999999999</v>
      </c>
    </row>
    <row r="23" spans="2:19" x14ac:dyDescent="0.25">
      <c r="B23" s="182">
        <f t="shared" si="2"/>
        <v>110</v>
      </c>
      <c r="C23" s="127"/>
      <c r="D23" s="537"/>
      <c r="E23" s="573"/>
      <c r="F23" s="537">
        <f t="shared" si="0"/>
        <v>0</v>
      </c>
      <c r="G23" s="330"/>
      <c r="H23" s="331"/>
      <c r="I23" s="78">
        <f t="shared" si="3"/>
        <v>2197.1400000000003</v>
      </c>
      <c r="L23" s="182">
        <f t="shared" si="4"/>
        <v>52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5"/>
        <v>1085.3399999999999</v>
      </c>
    </row>
    <row r="24" spans="2:19" x14ac:dyDescent="0.25">
      <c r="B24" s="182">
        <f t="shared" si="2"/>
        <v>110</v>
      </c>
      <c r="C24" s="127"/>
      <c r="D24" s="537"/>
      <c r="E24" s="573"/>
      <c r="F24" s="537">
        <f t="shared" si="0"/>
        <v>0</v>
      </c>
      <c r="G24" s="330"/>
      <c r="H24" s="331"/>
      <c r="I24" s="78">
        <f t="shared" si="3"/>
        <v>2197.1400000000003</v>
      </c>
      <c r="L24" s="182">
        <f t="shared" si="4"/>
        <v>52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5"/>
        <v>1085.3399999999999</v>
      </c>
    </row>
    <row r="25" spans="2:19" x14ac:dyDescent="0.25">
      <c r="B25" s="182">
        <f t="shared" si="2"/>
        <v>110</v>
      </c>
      <c r="C25" s="127"/>
      <c r="D25" s="537"/>
      <c r="E25" s="573"/>
      <c r="F25" s="537">
        <f t="shared" si="0"/>
        <v>0</v>
      </c>
      <c r="G25" s="330"/>
      <c r="H25" s="331"/>
      <c r="I25" s="78">
        <f t="shared" si="3"/>
        <v>2197.1400000000003</v>
      </c>
      <c r="L25" s="182">
        <f t="shared" si="4"/>
        <v>52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5"/>
        <v>1085.3399999999999</v>
      </c>
    </row>
    <row r="26" spans="2:19" x14ac:dyDescent="0.25">
      <c r="B26" s="182">
        <f t="shared" si="2"/>
        <v>110</v>
      </c>
      <c r="C26" s="127"/>
      <c r="D26" s="537"/>
      <c r="E26" s="573"/>
      <c r="F26" s="537">
        <f t="shared" si="0"/>
        <v>0</v>
      </c>
      <c r="G26" s="330"/>
      <c r="H26" s="331"/>
      <c r="I26" s="78">
        <f t="shared" si="3"/>
        <v>2197.1400000000003</v>
      </c>
      <c r="L26" s="182">
        <f t="shared" si="4"/>
        <v>52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5"/>
        <v>1085.3399999999999</v>
      </c>
    </row>
    <row r="27" spans="2:19" x14ac:dyDescent="0.25">
      <c r="B27" s="182">
        <f t="shared" si="2"/>
        <v>110</v>
      </c>
      <c r="C27" s="127"/>
      <c r="D27" s="537"/>
      <c r="E27" s="573"/>
      <c r="F27" s="537">
        <f t="shared" si="0"/>
        <v>0</v>
      </c>
      <c r="G27" s="330"/>
      <c r="H27" s="331"/>
      <c r="I27" s="78">
        <f t="shared" si="3"/>
        <v>2197.1400000000003</v>
      </c>
      <c r="L27" s="182">
        <f t="shared" si="4"/>
        <v>52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5"/>
        <v>1085.3399999999999</v>
      </c>
    </row>
    <row r="28" spans="2:19" x14ac:dyDescent="0.25">
      <c r="B28" s="182">
        <f t="shared" si="2"/>
        <v>110</v>
      </c>
      <c r="C28" s="127"/>
      <c r="D28" s="537"/>
      <c r="E28" s="573"/>
      <c r="F28" s="537">
        <f t="shared" si="0"/>
        <v>0</v>
      </c>
      <c r="G28" s="330"/>
      <c r="H28" s="331"/>
      <c r="I28" s="78">
        <f t="shared" si="3"/>
        <v>2197.1400000000003</v>
      </c>
      <c r="L28" s="182">
        <f t="shared" si="4"/>
        <v>52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5"/>
        <v>1085.3399999999999</v>
      </c>
    </row>
    <row r="29" spans="2:19" x14ac:dyDescent="0.25">
      <c r="B29" s="182">
        <f t="shared" si="2"/>
        <v>110</v>
      </c>
      <c r="C29" s="127"/>
      <c r="D29" s="537"/>
      <c r="E29" s="573"/>
      <c r="F29" s="537">
        <f t="shared" si="0"/>
        <v>0</v>
      </c>
      <c r="G29" s="330"/>
      <c r="H29" s="331"/>
      <c r="I29" s="78">
        <f t="shared" si="3"/>
        <v>2197.1400000000003</v>
      </c>
      <c r="L29" s="182">
        <f t="shared" si="4"/>
        <v>52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5"/>
        <v>1085.3399999999999</v>
      </c>
    </row>
    <row r="30" spans="2:19" x14ac:dyDescent="0.25">
      <c r="B30" s="182">
        <f t="shared" si="2"/>
        <v>110</v>
      </c>
      <c r="C30" s="127"/>
      <c r="D30" s="537"/>
      <c r="E30" s="573"/>
      <c r="F30" s="537">
        <f t="shared" si="0"/>
        <v>0</v>
      </c>
      <c r="G30" s="330"/>
      <c r="H30" s="331"/>
      <c r="I30" s="78">
        <f t="shared" si="3"/>
        <v>2197.1400000000003</v>
      </c>
      <c r="L30" s="182">
        <f t="shared" si="4"/>
        <v>52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5"/>
        <v>1085.3399999999999</v>
      </c>
    </row>
    <row r="31" spans="2:19" x14ac:dyDescent="0.25">
      <c r="B31" s="182">
        <f t="shared" si="2"/>
        <v>110</v>
      </c>
      <c r="C31" s="73"/>
      <c r="D31" s="537"/>
      <c r="E31" s="573"/>
      <c r="F31" s="537">
        <f t="shared" si="0"/>
        <v>0</v>
      </c>
      <c r="G31" s="330"/>
      <c r="H31" s="331"/>
      <c r="I31" s="78">
        <f t="shared" si="3"/>
        <v>2197.1400000000003</v>
      </c>
      <c r="L31" s="182">
        <f t="shared" si="4"/>
        <v>52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5"/>
        <v>1085.3399999999999</v>
      </c>
    </row>
    <row r="32" spans="2:19" x14ac:dyDescent="0.25">
      <c r="B32" s="182">
        <f t="shared" si="2"/>
        <v>110</v>
      </c>
      <c r="C32" s="73"/>
      <c r="D32" s="537"/>
      <c r="E32" s="573"/>
      <c r="F32" s="537">
        <f t="shared" si="0"/>
        <v>0</v>
      </c>
      <c r="G32" s="330"/>
      <c r="H32" s="331"/>
      <c r="I32" s="78">
        <f t="shared" si="3"/>
        <v>2197.1400000000003</v>
      </c>
      <c r="L32" s="182">
        <f t="shared" si="4"/>
        <v>52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5"/>
        <v>1085.3399999999999</v>
      </c>
    </row>
    <row r="33" spans="2:19" x14ac:dyDescent="0.25">
      <c r="B33" s="182">
        <f t="shared" si="2"/>
        <v>110</v>
      </c>
      <c r="C33" s="73"/>
      <c r="D33" s="537"/>
      <c r="E33" s="573"/>
      <c r="F33" s="537">
        <f t="shared" si="0"/>
        <v>0</v>
      </c>
      <c r="G33" s="330"/>
      <c r="H33" s="331"/>
      <c r="I33" s="78">
        <f t="shared" si="3"/>
        <v>2197.1400000000003</v>
      </c>
      <c r="L33" s="182">
        <f t="shared" si="4"/>
        <v>52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5"/>
        <v>1085.3399999999999</v>
      </c>
    </row>
    <row r="34" spans="2:19" x14ac:dyDescent="0.25">
      <c r="B34" s="182">
        <f t="shared" si="2"/>
        <v>110</v>
      </c>
      <c r="C34" s="73"/>
      <c r="D34" s="537"/>
      <c r="E34" s="573"/>
      <c r="F34" s="537">
        <f t="shared" si="0"/>
        <v>0</v>
      </c>
      <c r="G34" s="330"/>
      <c r="H34" s="331"/>
      <c r="I34" s="78">
        <f t="shared" si="3"/>
        <v>2197.1400000000003</v>
      </c>
      <c r="L34" s="182">
        <f t="shared" si="4"/>
        <v>52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5"/>
        <v>1085.3399999999999</v>
      </c>
    </row>
    <row r="35" spans="2:19" x14ac:dyDescent="0.25">
      <c r="B35" s="182">
        <f t="shared" si="2"/>
        <v>110</v>
      </c>
      <c r="C35" s="73"/>
      <c r="D35" s="537"/>
      <c r="E35" s="573"/>
      <c r="F35" s="537">
        <f t="shared" si="0"/>
        <v>0</v>
      </c>
      <c r="G35" s="330"/>
      <c r="H35" s="331"/>
      <c r="I35" s="78">
        <f t="shared" si="3"/>
        <v>2197.1400000000003</v>
      </c>
      <c r="L35" s="182">
        <f t="shared" si="4"/>
        <v>52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5"/>
        <v>1085.3399999999999</v>
      </c>
    </row>
    <row r="36" spans="2:19" x14ac:dyDescent="0.25">
      <c r="B36" s="182">
        <f t="shared" si="2"/>
        <v>110</v>
      </c>
      <c r="C36" s="73"/>
      <c r="D36" s="537"/>
      <c r="E36" s="573"/>
      <c r="F36" s="537">
        <f t="shared" si="0"/>
        <v>0</v>
      </c>
      <c r="G36" s="330"/>
      <c r="H36" s="331"/>
      <c r="I36" s="78">
        <f t="shared" si="3"/>
        <v>2197.1400000000003</v>
      </c>
      <c r="L36" s="182">
        <f t="shared" si="4"/>
        <v>52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5"/>
        <v>1085.3399999999999</v>
      </c>
    </row>
    <row r="37" spans="2:19" x14ac:dyDescent="0.25">
      <c r="B37" s="182">
        <f t="shared" si="2"/>
        <v>110</v>
      </c>
      <c r="C37" s="73"/>
      <c r="D37" s="537"/>
      <c r="E37" s="573"/>
      <c r="F37" s="537">
        <f t="shared" si="0"/>
        <v>0</v>
      </c>
      <c r="G37" s="330"/>
      <c r="H37" s="331"/>
      <c r="I37" s="78">
        <f t="shared" si="3"/>
        <v>2197.1400000000003</v>
      </c>
      <c r="L37" s="182">
        <f t="shared" si="4"/>
        <v>52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5"/>
        <v>1085.3399999999999</v>
      </c>
    </row>
    <row r="38" spans="2:19" x14ac:dyDescent="0.25">
      <c r="B38" s="182">
        <f t="shared" si="2"/>
        <v>110</v>
      </c>
      <c r="C38" s="15"/>
      <c r="D38" s="537"/>
      <c r="E38" s="573"/>
      <c r="F38" s="537">
        <f t="shared" si="0"/>
        <v>0</v>
      </c>
      <c r="G38" s="330"/>
      <c r="H38" s="331"/>
      <c r="I38" s="78">
        <f t="shared" si="3"/>
        <v>2197.1400000000003</v>
      </c>
      <c r="L38" s="182">
        <f t="shared" si="4"/>
        <v>52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1085.3399999999999</v>
      </c>
    </row>
    <row r="39" spans="2:19" x14ac:dyDescent="0.25">
      <c r="B39" s="182">
        <f t="shared" si="2"/>
        <v>110</v>
      </c>
      <c r="C39" s="15"/>
      <c r="D39" s="537"/>
      <c r="E39" s="573"/>
      <c r="F39" s="537">
        <f t="shared" si="0"/>
        <v>0</v>
      </c>
      <c r="G39" s="330"/>
      <c r="H39" s="331"/>
      <c r="I39" s="78">
        <f t="shared" si="3"/>
        <v>2197.1400000000003</v>
      </c>
      <c r="L39" s="182">
        <f t="shared" si="4"/>
        <v>52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1085.3399999999999</v>
      </c>
    </row>
    <row r="40" spans="2:19" x14ac:dyDescent="0.25">
      <c r="B40" s="182">
        <f t="shared" si="2"/>
        <v>110</v>
      </c>
      <c r="C40" s="15"/>
      <c r="D40" s="537"/>
      <c r="E40" s="573"/>
      <c r="F40" s="537">
        <f t="shared" si="0"/>
        <v>0</v>
      </c>
      <c r="G40" s="330"/>
      <c r="H40" s="331"/>
      <c r="I40" s="78">
        <f t="shared" si="3"/>
        <v>2197.1400000000003</v>
      </c>
      <c r="L40" s="182">
        <f t="shared" si="4"/>
        <v>52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1085.3399999999999</v>
      </c>
    </row>
    <row r="41" spans="2:19" x14ac:dyDescent="0.25">
      <c r="B41" s="182">
        <f t="shared" si="2"/>
        <v>110</v>
      </c>
      <c r="C41" s="15"/>
      <c r="D41" s="537"/>
      <c r="E41" s="573"/>
      <c r="F41" s="537">
        <f t="shared" si="0"/>
        <v>0</v>
      </c>
      <c r="G41" s="330"/>
      <c r="H41" s="331"/>
      <c r="I41" s="78">
        <f t="shared" si="3"/>
        <v>2197.1400000000003</v>
      </c>
      <c r="L41" s="182">
        <f t="shared" si="4"/>
        <v>52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1085.3399999999999</v>
      </c>
    </row>
    <row r="42" spans="2:19" x14ac:dyDescent="0.25">
      <c r="B42" s="182">
        <f t="shared" si="2"/>
        <v>110</v>
      </c>
      <c r="C42" s="15"/>
      <c r="D42" s="537"/>
      <c r="E42" s="573"/>
      <c r="F42" s="537">
        <f t="shared" si="0"/>
        <v>0</v>
      </c>
      <c r="G42" s="330"/>
      <c r="H42" s="331"/>
      <c r="I42" s="78">
        <f t="shared" si="3"/>
        <v>2197.1400000000003</v>
      </c>
      <c r="L42" s="182">
        <f t="shared" si="4"/>
        <v>52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1085.3399999999999</v>
      </c>
    </row>
    <row r="43" spans="2:19" x14ac:dyDescent="0.25">
      <c r="B43" s="182">
        <f t="shared" si="2"/>
        <v>110</v>
      </c>
      <c r="C43" s="15"/>
      <c r="D43" s="537"/>
      <c r="E43" s="573"/>
      <c r="F43" s="537">
        <f t="shared" si="0"/>
        <v>0</v>
      </c>
      <c r="G43" s="330"/>
      <c r="H43" s="331"/>
      <c r="I43" s="78">
        <f t="shared" si="3"/>
        <v>2197.1400000000003</v>
      </c>
      <c r="L43" s="182">
        <f t="shared" si="4"/>
        <v>52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1085.3399999999999</v>
      </c>
    </row>
    <row r="44" spans="2:19" x14ac:dyDescent="0.25">
      <c r="B44" s="182">
        <f t="shared" si="2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3"/>
        <v>2197.1400000000003</v>
      </c>
      <c r="L44" s="182">
        <f t="shared" si="4"/>
        <v>52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1085.3399999999999</v>
      </c>
    </row>
    <row r="45" spans="2:19" x14ac:dyDescent="0.25">
      <c r="B45" s="182">
        <f t="shared" si="2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3"/>
        <v>2197.1400000000003</v>
      </c>
      <c r="L45" s="182">
        <f t="shared" si="4"/>
        <v>52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1085.3399999999999</v>
      </c>
    </row>
    <row r="46" spans="2:19" x14ac:dyDescent="0.25">
      <c r="B46" s="182">
        <f t="shared" si="2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3"/>
        <v>2197.1400000000003</v>
      </c>
      <c r="L46" s="182">
        <f t="shared" si="4"/>
        <v>52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1085.3399999999999</v>
      </c>
    </row>
    <row r="47" spans="2:19" x14ac:dyDescent="0.25">
      <c r="B47" s="182">
        <f t="shared" si="2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3"/>
        <v>2197.1400000000003</v>
      </c>
      <c r="L47" s="182">
        <f t="shared" si="4"/>
        <v>52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1085.3399999999999</v>
      </c>
    </row>
    <row r="48" spans="2:19" x14ac:dyDescent="0.25">
      <c r="B48" s="182">
        <f t="shared" si="2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3"/>
        <v>2197.1400000000003</v>
      </c>
      <c r="L48" s="182">
        <f t="shared" si="4"/>
        <v>52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1085.3399999999999</v>
      </c>
    </row>
    <row r="49" spans="2:19" x14ac:dyDescent="0.25">
      <c r="B49" s="182">
        <f t="shared" si="2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3"/>
        <v>2197.1400000000003</v>
      </c>
      <c r="L49" s="182">
        <f t="shared" si="4"/>
        <v>52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1085.3399999999999</v>
      </c>
    </row>
    <row r="50" spans="2:19" x14ac:dyDescent="0.25">
      <c r="B50" s="182">
        <f t="shared" si="2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3"/>
        <v>2197.1400000000003</v>
      </c>
      <c r="L50" s="182">
        <f t="shared" si="4"/>
        <v>52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1085.3399999999999</v>
      </c>
    </row>
    <row r="51" spans="2:19" x14ac:dyDescent="0.25">
      <c r="B51" s="182">
        <f t="shared" si="2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3"/>
        <v>2197.1400000000003</v>
      </c>
      <c r="L51" s="182">
        <f t="shared" si="4"/>
        <v>52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1085.3399999999999</v>
      </c>
    </row>
    <row r="52" spans="2:19" x14ac:dyDescent="0.25">
      <c r="B52" s="182">
        <f t="shared" si="2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3"/>
        <v>2197.1400000000003</v>
      </c>
      <c r="L52" s="182">
        <f t="shared" si="4"/>
        <v>52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1085.3399999999999</v>
      </c>
    </row>
    <row r="53" spans="2:1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</row>
    <row r="54" spans="2:1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</row>
    <row r="55" spans="2:1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</row>
    <row r="56" spans="2:1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</row>
    <row r="57" spans="2:1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</row>
    <row r="58" spans="2:1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</row>
    <row r="59" spans="2:1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</row>
    <row r="60" spans="2:1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</row>
    <row r="61" spans="2:1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</row>
    <row r="62" spans="2:1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</row>
    <row r="63" spans="2:1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</row>
    <row r="64" spans="2:1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</row>
    <row r="65" spans="2:1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</row>
    <row r="66" spans="2:1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2"/>
      <c r="F67" s="150">
        <f t="shared" ref="F67" si="6">D67</f>
        <v>0</v>
      </c>
      <c r="G67" s="206"/>
      <c r="H67" s="75"/>
      <c r="I67" s="78">
        <f>I52-F67</f>
        <v>2197.1400000000003</v>
      </c>
      <c r="L67" s="3"/>
      <c r="M67" s="36"/>
      <c r="N67" s="150"/>
      <c r="O67" s="252"/>
      <c r="P67" s="150">
        <f t="shared" ref="P67" si="7">N67</f>
        <v>0</v>
      </c>
      <c r="Q67" s="206"/>
      <c r="R67" s="75"/>
      <c r="S67" s="78">
        <f>S52-P67</f>
        <v>1085.3399999999999</v>
      </c>
    </row>
    <row r="68" spans="2:1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110</v>
      </c>
      <c r="L71" s="91"/>
      <c r="N71" s="45" t="s">
        <v>4</v>
      </c>
      <c r="O71" s="56">
        <f>P5-M68+P4+P6+P7</f>
        <v>52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270" t="s">
        <v>11</v>
      </c>
      <c r="D73" s="1271"/>
      <c r="E73" s="57">
        <f>E5-F68+E4+E6+E7</f>
        <v>2197.14</v>
      </c>
      <c r="L73" s="91"/>
      <c r="M73" s="1270" t="s">
        <v>11</v>
      </c>
      <c r="N73" s="1271"/>
      <c r="O73" s="57">
        <f>O5-P68+O4+O6+O7</f>
        <v>1085.3399999999999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73"/>
      <c r="B5" s="1299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73"/>
      <c r="B6" s="1299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70" t="s">
        <v>11</v>
      </c>
      <c r="D60" s="127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G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8" t="s">
        <v>327</v>
      </c>
      <c r="B1" s="1268"/>
      <c r="C1" s="1268"/>
      <c r="D1" s="1268"/>
      <c r="E1" s="1268"/>
      <c r="F1" s="1268"/>
      <c r="G1" s="1268"/>
      <c r="H1" s="11">
        <v>1</v>
      </c>
      <c r="K1" s="1272" t="s">
        <v>327</v>
      </c>
      <c r="L1" s="1272"/>
      <c r="M1" s="1272"/>
      <c r="N1" s="1272"/>
      <c r="O1" s="1272"/>
      <c r="P1" s="1272"/>
      <c r="Q1" s="12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73"/>
      <c r="B4" s="1300" t="s">
        <v>91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  <c r="K4" s="1273"/>
      <c r="L4" s="1300" t="s">
        <v>91</v>
      </c>
      <c r="M4" s="128"/>
      <c r="N4" s="134"/>
      <c r="O4" s="124"/>
      <c r="P4" s="73"/>
      <c r="Q4" s="47">
        <f>P56</f>
        <v>0</v>
      </c>
      <c r="R4" s="7">
        <f>O4-Q4+O5+O6+O7+O8</f>
        <v>3050.42</v>
      </c>
    </row>
    <row r="5" spans="1:19" ht="15" customHeight="1" x14ac:dyDescent="0.25">
      <c r="A5" s="1273"/>
      <c r="B5" s="1301"/>
      <c r="C5" s="128">
        <v>75.5</v>
      </c>
      <c r="D5" s="232">
        <v>44887</v>
      </c>
      <c r="E5" s="78">
        <v>2997.33</v>
      </c>
      <c r="F5" s="62">
        <v>113</v>
      </c>
      <c r="K5" s="1273"/>
      <c r="L5" s="1301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49" t="s">
        <v>52</v>
      </c>
      <c r="B6" s="1301"/>
      <c r="C6" s="128"/>
      <c r="D6" s="232"/>
      <c r="E6" s="78"/>
      <c r="F6" s="62"/>
      <c r="K6" s="1067" t="s">
        <v>52</v>
      </c>
      <c r="L6" s="1301"/>
      <c r="M6" s="128"/>
      <c r="N6" s="232"/>
      <c r="O6" s="78"/>
      <c r="P6" s="62"/>
    </row>
    <row r="7" spans="1:19" ht="15.75" x14ac:dyDescent="0.25">
      <c r="A7" s="549"/>
      <c r="B7" s="572"/>
      <c r="C7" s="128"/>
      <c r="D7" s="232"/>
      <c r="E7" s="78"/>
      <c r="F7" s="62"/>
      <c r="K7" s="1067"/>
      <c r="L7" s="1068"/>
      <c r="M7" s="128"/>
      <c r="N7" s="232"/>
      <c r="O7" s="78"/>
      <c r="P7" s="62"/>
    </row>
    <row r="8" spans="1:19" ht="16.5" thickBot="1" x14ac:dyDescent="0.3">
      <c r="A8" s="549"/>
      <c r="B8" s="572"/>
      <c r="C8" s="128"/>
      <c r="D8" s="232"/>
      <c r="E8" s="78"/>
      <c r="F8" s="62"/>
      <c r="K8" s="1067"/>
      <c r="L8" s="1068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0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30">
        <f>E5+E4-F10+E6+E7+E8</f>
        <v>2997.33</v>
      </c>
      <c r="K10" s="55" t="s">
        <v>32</v>
      </c>
      <c r="L10" s="850">
        <f>P4+P5-M10+P6+P7+P8</f>
        <v>115</v>
      </c>
      <c r="M10" s="53"/>
      <c r="N10" s="69"/>
      <c r="O10" s="246"/>
      <c r="P10" s="69">
        <f t="shared" ref="P10:P55" si="1">N10</f>
        <v>0</v>
      </c>
      <c r="Q10" s="70"/>
      <c r="R10" s="71"/>
      <c r="S10" s="830">
        <f>O5+O4-P10+O6+O7+O8</f>
        <v>3050.42</v>
      </c>
    </row>
    <row r="11" spans="1:19" x14ac:dyDescent="0.25">
      <c r="A11" s="77"/>
      <c r="B11" s="182">
        <f t="shared" ref="B11:B54" si="2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  <c r="K11" s="77"/>
      <c r="L11" s="182">
        <f t="shared" ref="L11:L54" si="3">L10-M11</f>
        <v>115</v>
      </c>
      <c r="M11" s="53"/>
      <c r="N11" s="69"/>
      <c r="O11" s="246"/>
      <c r="P11" s="69">
        <f t="shared" si="1"/>
        <v>0</v>
      </c>
      <c r="Q11" s="70"/>
      <c r="R11" s="71"/>
      <c r="S11" s="78">
        <f>S10-P11</f>
        <v>3050.42</v>
      </c>
    </row>
    <row r="12" spans="1:19" x14ac:dyDescent="0.25">
      <c r="A12" s="12"/>
      <c r="B12" s="182">
        <f t="shared" si="2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4">I11-F12</f>
        <v>2997.33</v>
      </c>
      <c r="K12" s="12"/>
      <c r="L12" s="182">
        <f t="shared" si="3"/>
        <v>115</v>
      </c>
      <c r="M12" s="15"/>
      <c r="N12" s="69"/>
      <c r="O12" s="246"/>
      <c r="P12" s="69">
        <f t="shared" si="1"/>
        <v>0</v>
      </c>
      <c r="Q12" s="70"/>
      <c r="R12" s="71"/>
      <c r="S12" s="78">
        <f t="shared" ref="S12:S55" si="5">S11-P12</f>
        <v>3050.42</v>
      </c>
    </row>
    <row r="13" spans="1:19" x14ac:dyDescent="0.25">
      <c r="A13" s="55" t="s">
        <v>33</v>
      </c>
      <c r="B13" s="182">
        <f t="shared" si="2"/>
        <v>113</v>
      </c>
      <c r="C13" s="15"/>
      <c r="D13" s="702"/>
      <c r="E13" s="852"/>
      <c r="F13" s="702">
        <f t="shared" si="0"/>
        <v>0</v>
      </c>
      <c r="G13" s="700"/>
      <c r="H13" s="701"/>
      <c r="I13" s="853">
        <f t="shared" si="4"/>
        <v>2997.33</v>
      </c>
      <c r="K13" s="55" t="s">
        <v>33</v>
      </c>
      <c r="L13" s="182">
        <f t="shared" si="3"/>
        <v>115</v>
      </c>
      <c r="M13" s="15"/>
      <c r="N13" s="702"/>
      <c r="O13" s="852"/>
      <c r="P13" s="702">
        <f t="shared" si="1"/>
        <v>0</v>
      </c>
      <c r="Q13" s="700"/>
      <c r="R13" s="701"/>
      <c r="S13" s="853">
        <f t="shared" si="5"/>
        <v>3050.42</v>
      </c>
    </row>
    <row r="14" spans="1:19" x14ac:dyDescent="0.25">
      <c r="A14" s="77"/>
      <c r="B14" s="182">
        <f t="shared" si="2"/>
        <v>113</v>
      </c>
      <c r="C14" s="15"/>
      <c r="D14" s="702"/>
      <c r="E14" s="852"/>
      <c r="F14" s="702">
        <f t="shared" si="0"/>
        <v>0</v>
      </c>
      <c r="G14" s="700"/>
      <c r="H14" s="701"/>
      <c r="I14" s="853">
        <f t="shared" si="4"/>
        <v>2997.33</v>
      </c>
      <c r="K14" s="77"/>
      <c r="L14" s="182">
        <f t="shared" si="3"/>
        <v>115</v>
      </c>
      <c r="M14" s="15"/>
      <c r="N14" s="702"/>
      <c r="O14" s="852"/>
      <c r="P14" s="702">
        <f t="shared" si="1"/>
        <v>0</v>
      </c>
      <c r="Q14" s="700"/>
      <c r="R14" s="701"/>
      <c r="S14" s="853">
        <f t="shared" si="5"/>
        <v>3050.42</v>
      </c>
    </row>
    <row r="15" spans="1:19" x14ac:dyDescent="0.25">
      <c r="A15" s="12"/>
      <c r="B15" s="182">
        <f t="shared" si="2"/>
        <v>113</v>
      </c>
      <c r="C15" s="15"/>
      <c r="D15" s="702"/>
      <c r="E15" s="852"/>
      <c r="F15" s="702">
        <f t="shared" si="0"/>
        <v>0</v>
      </c>
      <c r="G15" s="700"/>
      <c r="H15" s="701"/>
      <c r="I15" s="853">
        <f t="shared" si="4"/>
        <v>2997.33</v>
      </c>
      <c r="K15" s="12"/>
      <c r="L15" s="182">
        <f t="shared" si="3"/>
        <v>115</v>
      </c>
      <c r="M15" s="15"/>
      <c r="N15" s="702"/>
      <c r="O15" s="852"/>
      <c r="P15" s="702">
        <f t="shared" si="1"/>
        <v>0</v>
      </c>
      <c r="Q15" s="700"/>
      <c r="R15" s="701"/>
      <c r="S15" s="853">
        <f t="shared" si="5"/>
        <v>3050.42</v>
      </c>
    </row>
    <row r="16" spans="1:19" x14ac:dyDescent="0.25">
      <c r="B16" s="182">
        <f t="shared" si="2"/>
        <v>113</v>
      </c>
      <c r="C16" s="15"/>
      <c r="D16" s="702"/>
      <c r="E16" s="852"/>
      <c r="F16" s="702">
        <f t="shared" si="0"/>
        <v>0</v>
      </c>
      <c r="G16" s="700"/>
      <c r="H16" s="701"/>
      <c r="I16" s="853">
        <f t="shared" si="4"/>
        <v>2997.33</v>
      </c>
      <c r="L16" s="182">
        <f t="shared" si="3"/>
        <v>115</v>
      </c>
      <c r="M16" s="15"/>
      <c r="N16" s="702"/>
      <c r="O16" s="852"/>
      <c r="P16" s="702">
        <f t="shared" si="1"/>
        <v>0</v>
      </c>
      <c r="Q16" s="700"/>
      <c r="R16" s="701"/>
      <c r="S16" s="853">
        <f t="shared" si="5"/>
        <v>3050.42</v>
      </c>
    </row>
    <row r="17" spans="2:19" x14ac:dyDescent="0.25">
      <c r="B17" s="182">
        <f t="shared" si="2"/>
        <v>113</v>
      </c>
      <c r="C17" s="15"/>
      <c r="D17" s="702"/>
      <c r="E17" s="852"/>
      <c r="F17" s="702">
        <f t="shared" si="0"/>
        <v>0</v>
      </c>
      <c r="G17" s="700"/>
      <c r="H17" s="701"/>
      <c r="I17" s="853">
        <f t="shared" si="4"/>
        <v>2997.33</v>
      </c>
      <c r="L17" s="182">
        <f t="shared" si="3"/>
        <v>115</v>
      </c>
      <c r="M17" s="15"/>
      <c r="N17" s="702"/>
      <c r="O17" s="852"/>
      <c r="P17" s="702">
        <f t="shared" si="1"/>
        <v>0</v>
      </c>
      <c r="Q17" s="700"/>
      <c r="R17" s="701"/>
      <c r="S17" s="853">
        <f t="shared" si="5"/>
        <v>3050.42</v>
      </c>
    </row>
    <row r="18" spans="2:19" x14ac:dyDescent="0.25">
      <c r="B18" s="182">
        <f t="shared" si="2"/>
        <v>113</v>
      </c>
      <c r="C18" s="15"/>
      <c r="D18" s="702"/>
      <c r="E18" s="852"/>
      <c r="F18" s="702">
        <f t="shared" si="0"/>
        <v>0</v>
      </c>
      <c r="G18" s="700"/>
      <c r="H18" s="701"/>
      <c r="I18" s="853">
        <f t="shared" si="4"/>
        <v>2997.33</v>
      </c>
      <c r="L18" s="182">
        <f t="shared" si="3"/>
        <v>115</v>
      </c>
      <c r="M18" s="15"/>
      <c r="N18" s="702"/>
      <c r="O18" s="852"/>
      <c r="P18" s="702">
        <f t="shared" si="1"/>
        <v>0</v>
      </c>
      <c r="Q18" s="700"/>
      <c r="R18" s="701"/>
      <c r="S18" s="853">
        <f t="shared" si="5"/>
        <v>3050.42</v>
      </c>
    </row>
    <row r="19" spans="2:19" x14ac:dyDescent="0.25">
      <c r="B19" s="182">
        <f t="shared" si="2"/>
        <v>113</v>
      </c>
      <c r="C19" s="53"/>
      <c r="D19" s="702"/>
      <c r="E19" s="852"/>
      <c r="F19" s="702">
        <f t="shared" si="0"/>
        <v>0</v>
      </c>
      <c r="G19" s="700"/>
      <c r="H19" s="701"/>
      <c r="I19" s="853">
        <f t="shared" si="4"/>
        <v>2997.33</v>
      </c>
      <c r="L19" s="182">
        <f t="shared" si="3"/>
        <v>115</v>
      </c>
      <c r="M19" s="53"/>
      <c r="N19" s="702"/>
      <c r="O19" s="852"/>
      <c r="P19" s="702">
        <f t="shared" si="1"/>
        <v>0</v>
      </c>
      <c r="Q19" s="700"/>
      <c r="R19" s="701"/>
      <c r="S19" s="853">
        <f t="shared" si="5"/>
        <v>3050.42</v>
      </c>
    </row>
    <row r="20" spans="2:19" x14ac:dyDescent="0.25">
      <c r="B20" s="182">
        <f t="shared" si="2"/>
        <v>113</v>
      </c>
      <c r="C20" s="15"/>
      <c r="D20" s="702"/>
      <c r="E20" s="852"/>
      <c r="F20" s="702">
        <f t="shared" si="0"/>
        <v>0</v>
      </c>
      <c r="G20" s="700"/>
      <c r="H20" s="701"/>
      <c r="I20" s="853">
        <f t="shared" si="4"/>
        <v>2997.33</v>
      </c>
      <c r="L20" s="182">
        <f t="shared" si="3"/>
        <v>115</v>
      </c>
      <c r="M20" s="15"/>
      <c r="N20" s="702"/>
      <c r="O20" s="852"/>
      <c r="P20" s="702">
        <f t="shared" si="1"/>
        <v>0</v>
      </c>
      <c r="Q20" s="700"/>
      <c r="R20" s="701"/>
      <c r="S20" s="853">
        <f t="shared" si="5"/>
        <v>3050.42</v>
      </c>
    </row>
    <row r="21" spans="2:19" x14ac:dyDescent="0.25">
      <c r="B21" s="182">
        <f t="shared" si="2"/>
        <v>113</v>
      </c>
      <c r="C21" s="15"/>
      <c r="D21" s="702"/>
      <c r="E21" s="852"/>
      <c r="F21" s="702">
        <f t="shared" si="0"/>
        <v>0</v>
      </c>
      <c r="G21" s="700"/>
      <c r="H21" s="701"/>
      <c r="I21" s="853">
        <f t="shared" si="4"/>
        <v>2997.33</v>
      </c>
      <c r="L21" s="182">
        <f t="shared" si="3"/>
        <v>115</v>
      </c>
      <c r="M21" s="15"/>
      <c r="N21" s="702"/>
      <c r="O21" s="852"/>
      <c r="P21" s="702">
        <f t="shared" si="1"/>
        <v>0</v>
      </c>
      <c r="Q21" s="700"/>
      <c r="R21" s="701"/>
      <c r="S21" s="853">
        <f t="shared" si="5"/>
        <v>3050.42</v>
      </c>
    </row>
    <row r="22" spans="2:19" x14ac:dyDescent="0.25">
      <c r="B22" s="182">
        <f t="shared" si="2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2997.33</v>
      </c>
      <c r="L22" s="182">
        <f t="shared" si="3"/>
        <v>115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3050.42</v>
      </c>
    </row>
    <row r="23" spans="2:19" x14ac:dyDescent="0.25">
      <c r="B23" s="182">
        <f t="shared" si="2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2997.33</v>
      </c>
      <c r="L23" s="182">
        <f t="shared" si="3"/>
        <v>115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3050.42</v>
      </c>
    </row>
    <row r="24" spans="2:19" x14ac:dyDescent="0.25">
      <c r="B24" s="182">
        <f t="shared" si="2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2997.33</v>
      </c>
      <c r="L24" s="182">
        <f t="shared" si="3"/>
        <v>115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3050.42</v>
      </c>
    </row>
    <row r="25" spans="2:19" x14ac:dyDescent="0.25">
      <c r="B25" s="182">
        <f t="shared" si="2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2997.33</v>
      </c>
      <c r="L25" s="182">
        <f t="shared" si="3"/>
        <v>115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3050.42</v>
      </c>
    </row>
    <row r="26" spans="2:19" x14ac:dyDescent="0.25">
      <c r="B26" s="182">
        <f t="shared" si="2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2997.33</v>
      </c>
      <c r="L26" s="182">
        <f t="shared" si="3"/>
        <v>115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3050.42</v>
      </c>
    </row>
    <row r="27" spans="2:19" x14ac:dyDescent="0.25">
      <c r="B27" s="182">
        <f t="shared" si="2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2997.33</v>
      </c>
      <c r="L27" s="182">
        <f t="shared" si="3"/>
        <v>115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3050.42</v>
      </c>
    </row>
    <row r="28" spans="2:19" x14ac:dyDescent="0.25">
      <c r="B28" s="182">
        <f t="shared" si="2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2997.33</v>
      </c>
      <c r="L28" s="182">
        <f t="shared" si="3"/>
        <v>115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3050.42</v>
      </c>
    </row>
    <row r="29" spans="2:19" x14ac:dyDescent="0.25">
      <c r="B29" s="182">
        <f t="shared" si="2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2997.33</v>
      </c>
      <c r="L29" s="182">
        <f t="shared" si="3"/>
        <v>115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3050.42</v>
      </c>
    </row>
    <row r="30" spans="2:19" x14ac:dyDescent="0.25">
      <c r="B30" s="182">
        <f t="shared" si="2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2997.33</v>
      </c>
      <c r="L30" s="182">
        <f t="shared" si="3"/>
        <v>115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3050.42</v>
      </c>
    </row>
    <row r="31" spans="2:19" x14ac:dyDescent="0.25">
      <c r="B31" s="182">
        <f t="shared" si="2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2997.33</v>
      </c>
      <c r="L31" s="182">
        <f t="shared" si="3"/>
        <v>115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3050.42</v>
      </c>
    </row>
    <row r="32" spans="2:19" x14ac:dyDescent="0.25">
      <c r="B32" s="182">
        <f t="shared" si="2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2997.33</v>
      </c>
      <c r="L32" s="182">
        <f t="shared" si="3"/>
        <v>115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3050.42</v>
      </c>
    </row>
    <row r="33" spans="2:19" x14ac:dyDescent="0.25">
      <c r="B33" s="182">
        <f t="shared" si="2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2997.33</v>
      </c>
      <c r="L33" s="182">
        <f t="shared" si="3"/>
        <v>115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3050.42</v>
      </c>
    </row>
    <row r="34" spans="2:19" x14ac:dyDescent="0.25">
      <c r="B34" s="182">
        <f t="shared" si="2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2997.33</v>
      </c>
      <c r="L34" s="182">
        <f t="shared" si="3"/>
        <v>115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3050.42</v>
      </c>
    </row>
    <row r="35" spans="2:19" x14ac:dyDescent="0.25">
      <c r="B35" s="182">
        <f t="shared" si="2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2997.33</v>
      </c>
      <c r="L35" s="182">
        <f t="shared" si="3"/>
        <v>115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3050.42</v>
      </c>
    </row>
    <row r="36" spans="2:19" x14ac:dyDescent="0.25">
      <c r="B36" s="182">
        <f t="shared" si="2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2997.33</v>
      </c>
      <c r="L36" s="182">
        <f t="shared" si="3"/>
        <v>115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3050.42</v>
      </c>
    </row>
    <row r="37" spans="2:19" x14ac:dyDescent="0.25">
      <c r="B37" s="182">
        <f t="shared" si="2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2997.33</v>
      </c>
      <c r="L37" s="182">
        <f t="shared" si="3"/>
        <v>115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3050.42</v>
      </c>
    </row>
    <row r="38" spans="2:19" x14ac:dyDescent="0.25">
      <c r="B38" s="182">
        <f t="shared" si="2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2997.33</v>
      </c>
      <c r="L38" s="182">
        <f t="shared" si="3"/>
        <v>115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3050.42</v>
      </c>
    </row>
    <row r="39" spans="2:19" x14ac:dyDescent="0.25">
      <c r="B39" s="182">
        <f t="shared" si="2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2997.33</v>
      </c>
      <c r="L39" s="182">
        <f t="shared" si="3"/>
        <v>115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3050.42</v>
      </c>
    </row>
    <row r="40" spans="2:19" x14ac:dyDescent="0.25">
      <c r="B40" s="182">
        <f t="shared" si="2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2997.33</v>
      </c>
      <c r="L40" s="182">
        <f t="shared" si="3"/>
        <v>115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3050.42</v>
      </c>
    </row>
    <row r="41" spans="2:19" x14ac:dyDescent="0.25">
      <c r="B41" s="182">
        <f t="shared" si="2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2997.33</v>
      </c>
      <c r="L41" s="182">
        <f t="shared" si="3"/>
        <v>115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3050.42</v>
      </c>
    </row>
    <row r="42" spans="2:19" x14ac:dyDescent="0.25">
      <c r="B42" s="182">
        <f t="shared" si="2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2997.33</v>
      </c>
      <c r="L42" s="182">
        <f t="shared" si="3"/>
        <v>115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3050.42</v>
      </c>
    </row>
    <row r="43" spans="2:19" x14ac:dyDescent="0.25">
      <c r="B43" s="182">
        <f t="shared" si="2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2997.33</v>
      </c>
      <c r="L43" s="182">
        <f t="shared" si="3"/>
        <v>115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3050.42</v>
      </c>
    </row>
    <row r="44" spans="2:19" x14ac:dyDescent="0.25">
      <c r="B44" s="182">
        <f t="shared" si="2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2997.33</v>
      </c>
      <c r="L44" s="182">
        <f t="shared" si="3"/>
        <v>115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3050.42</v>
      </c>
    </row>
    <row r="45" spans="2:19" x14ac:dyDescent="0.25">
      <c r="B45" s="182">
        <f t="shared" si="2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2997.33</v>
      </c>
      <c r="L45" s="182">
        <f t="shared" si="3"/>
        <v>115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3050.42</v>
      </c>
    </row>
    <row r="46" spans="2:19" x14ac:dyDescent="0.25">
      <c r="B46" s="182">
        <f t="shared" si="2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2997.33</v>
      </c>
      <c r="L46" s="182">
        <f t="shared" si="3"/>
        <v>115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3050.42</v>
      </c>
    </row>
    <row r="47" spans="2:19" x14ac:dyDescent="0.25">
      <c r="B47" s="182">
        <f t="shared" si="2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2997.33</v>
      </c>
      <c r="L47" s="182">
        <f t="shared" si="3"/>
        <v>115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3050.42</v>
      </c>
    </row>
    <row r="48" spans="2:19" x14ac:dyDescent="0.25">
      <c r="B48" s="182">
        <f t="shared" si="2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2997.33</v>
      </c>
      <c r="L48" s="182">
        <f t="shared" si="3"/>
        <v>115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3050.42</v>
      </c>
    </row>
    <row r="49" spans="2:19" x14ac:dyDescent="0.25">
      <c r="B49" s="182">
        <f t="shared" si="2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2997.33</v>
      </c>
      <c r="L49" s="182">
        <f t="shared" si="3"/>
        <v>115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3050.42</v>
      </c>
    </row>
    <row r="50" spans="2:19" x14ac:dyDescent="0.25">
      <c r="B50" s="182">
        <f t="shared" si="2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2997.33</v>
      </c>
      <c r="L50" s="182">
        <f t="shared" si="3"/>
        <v>115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3050.42</v>
      </c>
    </row>
    <row r="51" spans="2:19" x14ac:dyDescent="0.25">
      <c r="B51" s="182">
        <f t="shared" si="2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2997.33</v>
      </c>
      <c r="L51" s="182">
        <f t="shared" si="3"/>
        <v>115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3050.42</v>
      </c>
    </row>
    <row r="52" spans="2:19" x14ac:dyDescent="0.25">
      <c r="B52" s="182">
        <f t="shared" si="2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2997.33</v>
      </c>
      <c r="L52" s="182">
        <f t="shared" si="3"/>
        <v>115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3050.42</v>
      </c>
    </row>
    <row r="53" spans="2:19" x14ac:dyDescent="0.25">
      <c r="B53" s="182">
        <f t="shared" si="2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2997.33</v>
      </c>
      <c r="L53" s="182">
        <f t="shared" si="3"/>
        <v>115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3050.42</v>
      </c>
    </row>
    <row r="54" spans="2:19" x14ac:dyDescent="0.25">
      <c r="B54" s="182">
        <f t="shared" si="2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2997.33</v>
      </c>
      <c r="L54" s="182">
        <f t="shared" si="3"/>
        <v>115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3050.42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2997.33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3050.42</v>
      </c>
    </row>
    <row r="56" spans="2:1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  <c r="M56" s="53">
        <f>SUM(M10:M55)</f>
        <v>0</v>
      </c>
      <c r="N56" s="124">
        <f>SUM(N10:N55)</f>
        <v>0</v>
      </c>
      <c r="O56" s="165"/>
      <c r="P56" s="124">
        <f>SUM(P10:P55)</f>
        <v>0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113</v>
      </c>
      <c r="L59" s="91"/>
      <c r="N59" s="45" t="s">
        <v>4</v>
      </c>
      <c r="O59" s="56">
        <f>P5+P6+P7+P8-M56</f>
        <v>115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70" t="s">
        <v>11</v>
      </c>
      <c r="D61" s="1271"/>
      <c r="E61" s="57">
        <f>E5+E6+E7+E8-F56</f>
        <v>2997.33</v>
      </c>
      <c r="L61" s="91"/>
      <c r="M61" s="1270" t="s">
        <v>11</v>
      </c>
      <c r="N61" s="1271"/>
      <c r="O61" s="57">
        <f>O5+O6+O7+O8-P56</f>
        <v>3050.42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72"/>
      <c r="B1" s="1272"/>
      <c r="C1" s="1272"/>
      <c r="D1" s="1272"/>
      <c r="E1" s="1272"/>
      <c r="F1" s="1272"/>
      <c r="G1" s="127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302"/>
      <c r="B5" s="1304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303"/>
      <c r="B6" s="1305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06" t="s">
        <v>11</v>
      </c>
      <c r="D56" s="130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68" t="s">
        <v>107</v>
      </c>
      <c r="B1" s="1268"/>
      <c r="C1" s="1268"/>
      <c r="D1" s="1268"/>
      <c r="E1" s="1268"/>
      <c r="F1" s="1268"/>
      <c r="G1" s="126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269" t="s">
        <v>94</v>
      </c>
      <c r="C5" s="392">
        <v>57</v>
      </c>
      <c r="D5" s="134">
        <v>44712</v>
      </c>
      <c r="E5" s="669">
        <v>2060</v>
      </c>
      <c r="F5" s="672">
        <v>2</v>
      </c>
      <c r="G5" s="673"/>
      <c r="H5" s="674"/>
      <c r="I5" s="675" t="s">
        <v>142</v>
      </c>
      <c r="J5" s="674"/>
      <c r="K5" s="674"/>
      <c r="L5" s="674"/>
      <c r="M5" s="674"/>
    </row>
    <row r="6" spans="1:13" x14ac:dyDescent="0.25">
      <c r="A6" s="405" t="s">
        <v>93</v>
      </c>
      <c r="B6" s="1269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2"/>
      <c r="E13" s="623"/>
      <c r="F13" s="622">
        <f t="shared" ref="F13:F73" si="3">D13</f>
        <v>0</v>
      </c>
      <c r="G13" s="624"/>
      <c r="H13" s="61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2"/>
      <c r="E14" s="623"/>
      <c r="F14" s="622">
        <f t="shared" si="3"/>
        <v>0</v>
      </c>
      <c r="G14" s="624"/>
      <c r="H14" s="61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2"/>
      <c r="E15" s="623"/>
      <c r="F15" s="622">
        <f t="shared" si="3"/>
        <v>0</v>
      </c>
      <c r="G15" s="624"/>
      <c r="H15" s="61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2"/>
      <c r="E16" s="623"/>
      <c r="F16" s="622">
        <f t="shared" si="3"/>
        <v>0</v>
      </c>
      <c r="G16" s="624"/>
      <c r="H16" s="61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2"/>
      <c r="E17" s="623"/>
      <c r="F17" s="622">
        <f t="shared" si="3"/>
        <v>0</v>
      </c>
      <c r="G17" s="624"/>
      <c r="H17" s="61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70" t="s">
        <v>11</v>
      </c>
      <c r="D83" s="127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61"/>
      <c r="B1" s="1261"/>
      <c r="C1" s="1261"/>
      <c r="D1" s="1261"/>
      <c r="E1" s="1261"/>
      <c r="F1" s="1261"/>
      <c r="G1" s="126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08"/>
      <c r="C4" s="17"/>
      <c r="E4" s="254"/>
      <c r="F4" s="240"/>
    </row>
    <row r="5" spans="1:10" ht="15" customHeight="1" x14ac:dyDescent="0.25">
      <c r="A5" s="1302"/>
      <c r="B5" s="1309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303"/>
      <c r="B6" s="1310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06" t="s">
        <v>11</v>
      </c>
      <c r="D55" s="130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8" t="s">
        <v>328</v>
      </c>
      <c r="B1" s="1268"/>
      <c r="C1" s="1268"/>
      <c r="D1" s="1268"/>
      <c r="E1" s="1268"/>
      <c r="F1" s="1268"/>
      <c r="G1" s="1268"/>
      <c r="H1" s="1268"/>
      <c r="I1" s="1268"/>
      <c r="J1" s="11">
        <v>1</v>
      </c>
      <c r="M1" s="1272" t="s">
        <v>340</v>
      </c>
      <c r="N1" s="1272"/>
      <c r="O1" s="1272"/>
      <c r="P1" s="1272"/>
      <c r="Q1" s="1272"/>
      <c r="R1" s="1272"/>
      <c r="S1" s="1272"/>
      <c r="T1" s="1272"/>
      <c r="U1" s="127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55"/>
      <c r="P4" s="1056"/>
      <c r="Q4" s="737"/>
      <c r="R4" s="714"/>
      <c r="S4" s="73"/>
      <c r="U4" s="190"/>
      <c r="V4" s="73"/>
    </row>
    <row r="5" spans="1:23" ht="15" customHeight="1" x14ac:dyDescent="0.25">
      <c r="A5" s="1280" t="s">
        <v>175</v>
      </c>
      <c r="B5" s="1311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280" t="s">
        <v>175</v>
      </c>
      <c r="N5" s="1311" t="s">
        <v>43</v>
      </c>
      <c r="O5" s="1055">
        <v>44</v>
      </c>
      <c r="P5" s="1056">
        <v>44900</v>
      </c>
      <c r="Q5" s="737">
        <v>1502.74</v>
      </c>
      <c r="R5" s="714">
        <v>331</v>
      </c>
      <c r="S5" s="5">
        <f>R109</f>
        <v>0</v>
      </c>
      <c r="T5" s="7">
        <f>Q4+Q5-S5+Q6+Q7</f>
        <v>4008.8199999999997</v>
      </c>
      <c r="U5" s="190"/>
      <c r="V5" s="73"/>
    </row>
    <row r="6" spans="1:23" x14ac:dyDescent="0.25">
      <c r="A6" s="1280"/>
      <c r="B6" s="1311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280"/>
      <c r="N6" s="1311"/>
      <c r="O6" s="1055">
        <v>44</v>
      </c>
      <c r="P6" s="1030">
        <v>44914</v>
      </c>
      <c r="Q6" s="853">
        <v>1003.34</v>
      </c>
      <c r="R6" s="883">
        <v>22</v>
      </c>
      <c r="U6" s="191"/>
      <c r="V6" s="73"/>
    </row>
    <row r="7" spans="1:23" ht="15.75" thickBot="1" x14ac:dyDescent="0.3">
      <c r="B7" s="12"/>
      <c r="C7" s="962"/>
      <c r="D7" s="963" t="s">
        <v>317</v>
      </c>
      <c r="E7" s="105">
        <v>9.08</v>
      </c>
      <c r="F7" s="73">
        <v>2</v>
      </c>
      <c r="I7" s="191"/>
      <c r="J7" s="73"/>
      <c r="N7" s="12"/>
      <c r="O7" s="715">
        <v>44</v>
      </c>
      <c r="P7" s="1030">
        <v>44925</v>
      </c>
      <c r="Q7" s="737">
        <v>1502.74</v>
      </c>
      <c r="R7" s="714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4008.8199999999997</v>
      </c>
      <c r="V9" s="73">
        <f>R5-O9+R6+R4+R7</f>
        <v>684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4008.8199999999997</v>
      </c>
      <c r="V10" s="73">
        <f>V9-O10</f>
        <v>684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4008.8199999999997</v>
      </c>
      <c r="V11" s="73">
        <f t="shared" ref="V11:V74" si="9">V10-O11</f>
        <v>684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4008.8199999999997</v>
      </c>
      <c r="V12" s="73">
        <f t="shared" si="9"/>
        <v>684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4008.8199999999997</v>
      </c>
      <c r="V13" s="73">
        <f t="shared" si="9"/>
        <v>684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4008.8199999999997</v>
      </c>
      <c r="V14" s="73">
        <f t="shared" si="9"/>
        <v>684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4008.8199999999997</v>
      </c>
      <c r="V15" s="73">
        <f t="shared" si="9"/>
        <v>684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4008.8199999999997</v>
      </c>
      <c r="V16" s="73">
        <f t="shared" si="9"/>
        <v>684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4008.8199999999997</v>
      </c>
      <c r="V17" s="73">
        <f t="shared" si="9"/>
        <v>684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4008.8199999999997</v>
      </c>
      <c r="V18" s="73">
        <f t="shared" si="9"/>
        <v>684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4008.8199999999997</v>
      </c>
      <c r="V19" s="73">
        <f t="shared" si="9"/>
        <v>684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4008.8199999999997</v>
      </c>
      <c r="V20" s="73">
        <f t="shared" si="9"/>
        <v>684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4008.8199999999997</v>
      </c>
      <c r="V21" s="73">
        <f t="shared" si="9"/>
        <v>684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4008.8199999999997</v>
      </c>
      <c r="V22" s="73">
        <f t="shared" si="9"/>
        <v>684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4008.8199999999997</v>
      </c>
      <c r="V23" s="73">
        <f t="shared" si="9"/>
        <v>684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4008.8199999999997</v>
      </c>
      <c r="V24" s="73">
        <f t="shared" si="9"/>
        <v>684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4008.8199999999997</v>
      </c>
      <c r="V25" s="73">
        <f t="shared" si="9"/>
        <v>684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4008.8199999999997</v>
      </c>
      <c r="V26" s="73">
        <f t="shared" si="9"/>
        <v>684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4008.8199999999997</v>
      </c>
      <c r="V27" s="73">
        <f t="shared" si="9"/>
        <v>684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4008.8199999999997</v>
      </c>
      <c r="V28" s="73">
        <f t="shared" si="9"/>
        <v>684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4008.8199999999997</v>
      </c>
      <c r="V29" s="73">
        <f t="shared" si="9"/>
        <v>684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4008.8199999999997</v>
      </c>
      <c r="V30" s="73">
        <f t="shared" si="9"/>
        <v>684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4008.8199999999997</v>
      </c>
      <c r="V31" s="73">
        <f t="shared" si="9"/>
        <v>684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4008.8199999999997</v>
      </c>
      <c r="V32" s="73">
        <f t="shared" si="9"/>
        <v>684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4008.8199999999997</v>
      </c>
      <c r="V33" s="73">
        <f t="shared" si="9"/>
        <v>684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4008.8199999999997</v>
      </c>
      <c r="V34" s="73">
        <f t="shared" si="9"/>
        <v>684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4008.8199999999997</v>
      </c>
      <c r="V35" s="73">
        <f t="shared" si="9"/>
        <v>684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4008.8199999999997</v>
      </c>
      <c r="V36" s="73">
        <f t="shared" si="9"/>
        <v>684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4008.8199999999997</v>
      </c>
      <c r="V37" s="73">
        <f t="shared" si="9"/>
        <v>684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4008.8199999999997</v>
      </c>
      <c r="V38" s="73">
        <f t="shared" si="9"/>
        <v>684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4008.8199999999997</v>
      </c>
      <c r="V39" s="73">
        <f t="shared" si="9"/>
        <v>684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4008.8199999999997</v>
      </c>
      <c r="V40" s="73">
        <f t="shared" si="9"/>
        <v>684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4008.8199999999997</v>
      </c>
      <c r="V41" s="73">
        <f t="shared" si="9"/>
        <v>684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34">
        <f t="shared" si="7"/>
        <v>338</v>
      </c>
      <c r="K42" s="844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4008.8199999999997</v>
      </c>
      <c r="V42" s="714">
        <f t="shared" si="9"/>
        <v>684</v>
      </c>
      <c r="W42" s="736">
        <f t="shared" si="5"/>
        <v>0</v>
      </c>
    </row>
    <row r="43" spans="1:23" x14ac:dyDescent="0.25">
      <c r="B43" s="133">
        <v>4.54</v>
      </c>
      <c r="C43" s="15"/>
      <c r="D43" s="537">
        <f t="shared" si="0"/>
        <v>0</v>
      </c>
      <c r="E43" s="744"/>
      <c r="F43" s="537">
        <f t="shared" si="10"/>
        <v>0</v>
      </c>
      <c r="G43" s="330"/>
      <c r="H43" s="331"/>
      <c r="I43" s="1006">
        <f t="shared" si="6"/>
        <v>1534.5200000000018</v>
      </c>
      <c r="J43" s="753">
        <f t="shared" si="7"/>
        <v>338</v>
      </c>
      <c r="K43" s="60">
        <f t="shared" si="4"/>
        <v>0</v>
      </c>
      <c r="N43" s="133">
        <v>4.54</v>
      </c>
      <c r="O43" s="15"/>
      <c r="P43" s="537">
        <f t="shared" si="2"/>
        <v>0</v>
      </c>
      <c r="Q43" s="744"/>
      <c r="R43" s="537">
        <f t="shared" si="11"/>
        <v>0</v>
      </c>
      <c r="S43" s="330"/>
      <c r="T43" s="331"/>
      <c r="U43" s="1006">
        <f t="shared" si="8"/>
        <v>4008.8199999999997</v>
      </c>
      <c r="V43" s="753">
        <f t="shared" si="9"/>
        <v>684</v>
      </c>
      <c r="W43" s="60">
        <f t="shared" si="5"/>
        <v>0</v>
      </c>
    </row>
    <row r="44" spans="1:23" x14ac:dyDescent="0.25">
      <c r="B44" s="133">
        <v>4.54</v>
      </c>
      <c r="C44" s="15"/>
      <c r="D44" s="537">
        <f t="shared" si="0"/>
        <v>0</v>
      </c>
      <c r="E44" s="744"/>
      <c r="F44" s="537">
        <f t="shared" si="10"/>
        <v>0</v>
      </c>
      <c r="G44" s="330"/>
      <c r="H44" s="331"/>
      <c r="I44" s="1006">
        <f t="shared" si="6"/>
        <v>1534.5200000000018</v>
      </c>
      <c r="J44" s="753">
        <f t="shared" si="7"/>
        <v>338</v>
      </c>
      <c r="K44" s="60">
        <f t="shared" si="4"/>
        <v>0</v>
      </c>
      <c r="N44" s="133">
        <v>4.54</v>
      </c>
      <c r="O44" s="15"/>
      <c r="P44" s="537">
        <f t="shared" si="2"/>
        <v>0</v>
      </c>
      <c r="Q44" s="744"/>
      <c r="R44" s="537">
        <f t="shared" si="11"/>
        <v>0</v>
      </c>
      <c r="S44" s="330"/>
      <c r="T44" s="331"/>
      <c r="U44" s="1006">
        <f t="shared" si="8"/>
        <v>4008.8199999999997</v>
      </c>
      <c r="V44" s="753">
        <f t="shared" si="9"/>
        <v>684</v>
      </c>
      <c r="W44" s="60">
        <f t="shared" si="5"/>
        <v>0</v>
      </c>
    </row>
    <row r="45" spans="1:23" x14ac:dyDescent="0.25">
      <c r="B45" s="133">
        <v>4.54</v>
      </c>
      <c r="C45" s="15"/>
      <c r="D45" s="537">
        <f t="shared" si="0"/>
        <v>0</v>
      </c>
      <c r="E45" s="744"/>
      <c r="F45" s="537">
        <f t="shared" si="10"/>
        <v>0</v>
      </c>
      <c r="G45" s="330"/>
      <c r="H45" s="331"/>
      <c r="I45" s="1006">
        <f t="shared" si="6"/>
        <v>1534.5200000000018</v>
      </c>
      <c r="J45" s="753">
        <f t="shared" si="7"/>
        <v>338</v>
      </c>
      <c r="K45" s="60">
        <f t="shared" si="4"/>
        <v>0</v>
      </c>
      <c r="N45" s="133">
        <v>4.54</v>
      </c>
      <c r="O45" s="15"/>
      <c r="P45" s="537">
        <f t="shared" si="2"/>
        <v>0</v>
      </c>
      <c r="Q45" s="744"/>
      <c r="R45" s="537">
        <f t="shared" si="11"/>
        <v>0</v>
      </c>
      <c r="S45" s="330"/>
      <c r="T45" s="331"/>
      <c r="U45" s="1006">
        <f t="shared" si="8"/>
        <v>4008.8199999999997</v>
      </c>
      <c r="V45" s="753">
        <f t="shared" si="9"/>
        <v>684</v>
      </c>
      <c r="W45" s="60">
        <f t="shared" si="5"/>
        <v>0</v>
      </c>
    </row>
    <row r="46" spans="1:23" x14ac:dyDescent="0.25">
      <c r="B46" s="133">
        <v>4.54</v>
      </c>
      <c r="C46" s="15"/>
      <c r="D46" s="537">
        <f t="shared" si="0"/>
        <v>0</v>
      </c>
      <c r="E46" s="744"/>
      <c r="F46" s="537">
        <f t="shared" si="10"/>
        <v>0</v>
      </c>
      <c r="G46" s="330"/>
      <c r="H46" s="331"/>
      <c r="I46" s="1006">
        <f t="shared" si="6"/>
        <v>1534.5200000000018</v>
      </c>
      <c r="J46" s="753">
        <f t="shared" si="7"/>
        <v>338</v>
      </c>
      <c r="K46" s="60">
        <f t="shared" si="4"/>
        <v>0</v>
      </c>
      <c r="N46" s="133">
        <v>4.54</v>
      </c>
      <c r="O46" s="15"/>
      <c r="P46" s="537">
        <f t="shared" si="2"/>
        <v>0</v>
      </c>
      <c r="Q46" s="744"/>
      <c r="R46" s="537">
        <f t="shared" si="11"/>
        <v>0</v>
      </c>
      <c r="S46" s="330"/>
      <c r="T46" s="331"/>
      <c r="U46" s="1006">
        <f t="shared" si="8"/>
        <v>4008.8199999999997</v>
      </c>
      <c r="V46" s="753">
        <f t="shared" si="9"/>
        <v>684</v>
      </c>
      <c r="W46" s="60">
        <f t="shared" si="5"/>
        <v>0</v>
      </c>
    </row>
    <row r="47" spans="1:23" x14ac:dyDescent="0.25">
      <c r="B47" s="133">
        <v>4.54</v>
      </c>
      <c r="C47" s="15"/>
      <c r="D47" s="537">
        <f t="shared" si="0"/>
        <v>0</v>
      </c>
      <c r="E47" s="744"/>
      <c r="F47" s="537">
        <f t="shared" si="10"/>
        <v>0</v>
      </c>
      <c r="G47" s="330"/>
      <c r="H47" s="331"/>
      <c r="I47" s="1006">
        <f t="shared" si="6"/>
        <v>1534.5200000000018</v>
      </c>
      <c r="J47" s="753">
        <f t="shared" si="7"/>
        <v>338</v>
      </c>
      <c r="K47" s="60">
        <f t="shared" si="4"/>
        <v>0</v>
      </c>
      <c r="N47" s="133">
        <v>4.54</v>
      </c>
      <c r="O47" s="15"/>
      <c r="P47" s="537">
        <f t="shared" si="2"/>
        <v>0</v>
      </c>
      <c r="Q47" s="744"/>
      <c r="R47" s="537">
        <f t="shared" si="11"/>
        <v>0</v>
      </c>
      <c r="S47" s="330"/>
      <c r="T47" s="331"/>
      <c r="U47" s="1006">
        <f t="shared" si="8"/>
        <v>4008.8199999999997</v>
      </c>
      <c r="V47" s="753">
        <f t="shared" si="9"/>
        <v>684</v>
      </c>
      <c r="W47" s="60">
        <f t="shared" si="5"/>
        <v>0</v>
      </c>
    </row>
    <row r="48" spans="1:23" x14ac:dyDescent="0.25">
      <c r="B48" s="133">
        <v>4.54</v>
      </c>
      <c r="C48" s="15"/>
      <c r="D48" s="537">
        <f t="shared" si="0"/>
        <v>0</v>
      </c>
      <c r="E48" s="744"/>
      <c r="F48" s="537">
        <f t="shared" si="10"/>
        <v>0</v>
      </c>
      <c r="G48" s="330"/>
      <c r="H48" s="331"/>
      <c r="I48" s="1006">
        <f t="shared" si="6"/>
        <v>1534.5200000000018</v>
      </c>
      <c r="J48" s="753">
        <f t="shared" si="7"/>
        <v>338</v>
      </c>
      <c r="K48" s="60">
        <f t="shared" si="4"/>
        <v>0</v>
      </c>
      <c r="N48" s="133">
        <v>4.54</v>
      </c>
      <c r="O48" s="15"/>
      <c r="P48" s="537">
        <f t="shared" si="2"/>
        <v>0</v>
      </c>
      <c r="Q48" s="744"/>
      <c r="R48" s="537">
        <f t="shared" si="11"/>
        <v>0</v>
      </c>
      <c r="S48" s="330"/>
      <c r="T48" s="331"/>
      <c r="U48" s="1006">
        <f t="shared" si="8"/>
        <v>4008.8199999999997</v>
      </c>
      <c r="V48" s="753">
        <f t="shared" si="9"/>
        <v>684</v>
      </c>
      <c r="W48" s="60">
        <f t="shared" si="5"/>
        <v>0</v>
      </c>
    </row>
    <row r="49" spans="1:23" x14ac:dyDescent="0.25">
      <c r="B49" s="133">
        <v>4.54</v>
      </c>
      <c r="C49" s="15"/>
      <c r="D49" s="537">
        <f t="shared" si="0"/>
        <v>0</v>
      </c>
      <c r="E49" s="744"/>
      <c r="F49" s="537">
        <f t="shared" si="10"/>
        <v>0</v>
      </c>
      <c r="G49" s="330"/>
      <c r="H49" s="331"/>
      <c r="I49" s="1006">
        <f t="shared" si="6"/>
        <v>1534.5200000000018</v>
      </c>
      <c r="J49" s="753">
        <f t="shared" si="7"/>
        <v>338</v>
      </c>
      <c r="K49" s="60">
        <f t="shared" si="4"/>
        <v>0</v>
      </c>
      <c r="N49" s="133">
        <v>4.54</v>
      </c>
      <c r="O49" s="15"/>
      <c r="P49" s="537">
        <f t="shared" si="2"/>
        <v>0</v>
      </c>
      <c r="Q49" s="744"/>
      <c r="R49" s="537">
        <f t="shared" si="11"/>
        <v>0</v>
      </c>
      <c r="S49" s="330"/>
      <c r="T49" s="331"/>
      <c r="U49" s="1006">
        <f t="shared" si="8"/>
        <v>4008.8199999999997</v>
      </c>
      <c r="V49" s="753">
        <f t="shared" si="9"/>
        <v>684</v>
      </c>
      <c r="W49" s="60">
        <f t="shared" si="5"/>
        <v>0</v>
      </c>
    </row>
    <row r="50" spans="1:23" x14ac:dyDescent="0.25">
      <c r="B50" s="133">
        <v>4.54</v>
      </c>
      <c r="C50" s="15"/>
      <c r="D50" s="537">
        <f t="shared" si="0"/>
        <v>0</v>
      </c>
      <c r="E50" s="744"/>
      <c r="F50" s="537">
        <f t="shared" si="10"/>
        <v>0</v>
      </c>
      <c r="G50" s="330"/>
      <c r="H50" s="331"/>
      <c r="I50" s="1006">
        <f t="shared" si="6"/>
        <v>1534.5200000000018</v>
      </c>
      <c r="J50" s="753">
        <f t="shared" si="7"/>
        <v>338</v>
      </c>
      <c r="K50" s="60">
        <f t="shared" si="4"/>
        <v>0</v>
      </c>
      <c r="N50" s="133">
        <v>4.54</v>
      </c>
      <c r="O50" s="15"/>
      <c r="P50" s="537">
        <f t="shared" si="2"/>
        <v>0</v>
      </c>
      <c r="Q50" s="744"/>
      <c r="R50" s="537">
        <f t="shared" si="11"/>
        <v>0</v>
      </c>
      <c r="S50" s="330"/>
      <c r="T50" s="331"/>
      <c r="U50" s="1006">
        <f t="shared" si="8"/>
        <v>4008.8199999999997</v>
      </c>
      <c r="V50" s="753">
        <f t="shared" si="9"/>
        <v>684</v>
      </c>
      <c r="W50" s="60">
        <f t="shared" si="5"/>
        <v>0</v>
      </c>
    </row>
    <row r="51" spans="1:23" x14ac:dyDescent="0.25">
      <c r="B51" s="133">
        <v>4.54</v>
      </c>
      <c r="C51" s="15"/>
      <c r="D51" s="537">
        <f t="shared" si="0"/>
        <v>0</v>
      </c>
      <c r="E51" s="744"/>
      <c r="F51" s="537">
        <f t="shared" si="10"/>
        <v>0</v>
      </c>
      <c r="G51" s="330"/>
      <c r="H51" s="331"/>
      <c r="I51" s="1006">
        <f t="shared" si="6"/>
        <v>1534.5200000000018</v>
      </c>
      <c r="J51" s="753">
        <f t="shared" si="7"/>
        <v>338</v>
      </c>
      <c r="K51" s="60">
        <f t="shared" si="4"/>
        <v>0</v>
      </c>
      <c r="N51" s="133">
        <v>4.54</v>
      </c>
      <c r="O51" s="15"/>
      <c r="P51" s="537">
        <f t="shared" si="2"/>
        <v>0</v>
      </c>
      <c r="Q51" s="744"/>
      <c r="R51" s="537">
        <f t="shared" si="11"/>
        <v>0</v>
      </c>
      <c r="S51" s="330"/>
      <c r="T51" s="331"/>
      <c r="U51" s="1006">
        <f t="shared" si="8"/>
        <v>4008.8199999999997</v>
      </c>
      <c r="V51" s="753">
        <f t="shared" si="9"/>
        <v>684</v>
      </c>
      <c r="W51" s="60">
        <f t="shared" si="5"/>
        <v>0</v>
      </c>
    </row>
    <row r="52" spans="1:23" x14ac:dyDescent="0.25">
      <c r="B52" s="133">
        <v>4.54</v>
      </c>
      <c r="C52" s="15"/>
      <c r="D52" s="537">
        <f t="shared" si="0"/>
        <v>0</v>
      </c>
      <c r="E52" s="744"/>
      <c r="F52" s="537">
        <f t="shared" si="10"/>
        <v>0</v>
      </c>
      <c r="G52" s="330"/>
      <c r="H52" s="331"/>
      <c r="I52" s="1006">
        <f t="shared" si="6"/>
        <v>1534.5200000000018</v>
      </c>
      <c r="J52" s="753">
        <f t="shared" si="7"/>
        <v>338</v>
      </c>
      <c r="K52" s="60">
        <f t="shared" si="4"/>
        <v>0</v>
      </c>
      <c r="N52" s="133">
        <v>4.54</v>
      </c>
      <c r="O52" s="15"/>
      <c r="P52" s="537">
        <f t="shared" si="2"/>
        <v>0</v>
      </c>
      <c r="Q52" s="744"/>
      <c r="R52" s="537">
        <f t="shared" si="11"/>
        <v>0</v>
      </c>
      <c r="S52" s="330"/>
      <c r="T52" s="331"/>
      <c r="U52" s="1006">
        <f t="shared" si="8"/>
        <v>4008.8199999999997</v>
      </c>
      <c r="V52" s="753">
        <f t="shared" si="9"/>
        <v>684</v>
      </c>
      <c r="W52" s="60">
        <f t="shared" si="5"/>
        <v>0</v>
      </c>
    </row>
    <row r="53" spans="1:23" x14ac:dyDescent="0.25">
      <c r="B53" s="133">
        <v>4.54</v>
      </c>
      <c r="C53" s="15"/>
      <c r="D53" s="537">
        <f t="shared" si="0"/>
        <v>0</v>
      </c>
      <c r="E53" s="744"/>
      <c r="F53" s="537">
        <f t="shared" si="10"/>
        <v>0</v>
      </c>
      <c r="G53" s="330"/>
      <c r="H53" s="331"/>
      <c r="I53" s="1006">
        <f t="shared" si="6"/>
        <v>1534.5200000000018</v>
      </c>
      <c r="J53" s="753">
        <f t="shared" si="7"/>
        <v>338</v>
      </c>
      <c r="K53" s="60">
        <f t="shared" si="4"/>
        <v>0</v>
      </c>
      <c r="N53" s="133">
        <v>4.54</v>
      </c>
      <c r="O53" s="15"/>
      <c r="P53" s="537">
        <f t="shared" si="2"/>
        <v>0</v>
      </c>
      <c r="Q53" s="744"/>
      <c r="R53" s="537">
        <f t="shared" si="11"/>
        <v>0</v>
      </c>
      <c r="S53" s="330"/>
      <c r="T53" s="331"/>
      <c r="U53" s="1006">
        <f t="shared" si="8"/>
        <v>4008.8199999999997</v>
      </c>
      <c r="V53" s="753">
        <f t="shared" si="9"/>
        <v>684</v>
      </c>
      <c r="W53" s="60">
        <f t="shared" si="5"/>
        <v>0</v>
      </c>
    </row>
    <row r="54" spans="1:23" x14ac:dyDescent="0.25">
      <c r="A54" s="720" t="s">
        <v>218</v>
      </c>
      <c r="B54" s="910">
        <v>4.54</v>
      </c>
      <c r="C54" s="821"/>
      <c r="D54" s="995">
        <f t="shared" si="0"/>
        <v>0</v>
      </c>
      <c r="E54" s="994"/>
      <c r="F54" s="995">
        <f t="shared" si="10"/>
        <v>0</v>
      </c>
      <c r="G54" s="996"/>
      <c r="H54" s="997"/>
      <c r="I54" s="1007">
        <f t="shared" si="6"/>
        <v>1534.5200000000018</v>
      </c>
      <c r="J54" s="1008">
        <f t="shared" si="7"/>
        <v>338</v>
      </c>
      <c r="K54" s="60">
        <f t="shared" si="4"/>
        <v>0</v>
      </c>
      <c r="M54" s="720" t="s">
        <v>218</v>
      </c>
      <c r="N54" s="910">
        <v>4.54</v>
      </c>
      <c r="O54" s="821"/>
      <c r="P54" s="995">
        <f t="shared" si="2"/>
        <v>0</v>
      </c>
      <c r="Q54" s="994"/>
      <c r="R54" s="995">
        <f t="shared" si="11"/>
        <v>0</v>
      </c>
      <c r="S54" s="996"/>
      <c r="T54" s="997"/>
      <c r="U54" s="1007">
        <f t="shared" si="8"/>
        <v>4008.8199999999997</v>
      </c>
      <c r="V54" s="1008">
        <f t="shared" si="9"/>
        <v>684</v>
      </c>
      <c r="W54" s="60">
        <f t="shared" si="5"/>
        <v>0</v>
      </c>
    </row>
    <row r="55" spans="1:23" x14ac:dyDescent="0.25">
      <c r="A55" s="735"/>
      <c r="B55" s="910">
        <v>4.54</v>
      </c>
      <c r="C55" s="821"/>
      <c r="D55" s="995">
        <f t="shared" si="0"/>
        <v>0</v>
      </c>
      <c r="E55" s="994"/>
      <c r="F55" s="995">
        <f t="shared" si="10"/>
        <v>0</v>
      </c>
      <c r="G55" s="996"/>
      <c r="H55" s="997"/>
      <c r="I55" s="1007">
        <f t="shared" si="6"/>
        <v>1534.5200000000018</v>
      </c>
      <c r="J55" s="1008">
        <f t="shared" si="7"/>
        <v>338</v>
      </c>
      <c r="K55" s="60">
        <f t="shared" si="4"/>
        <v>0</v>
      </c>
      <c r="M55" s="735"/>
      <c r="N55" s="910">
        <v>4.54</v>
      </c>
      <c r="O55" s="821"/>
      <c r="P55" s="995">
        <f t="shared" si="2"/>
        <v>0</v>
      </c>
      <c r="Q55" s="994"/>
      <c r="R55" s="995">
        <f t="shared" si="11"/>
        <v>0</v>
      </c>
      <c r="S55" s="996"/>
      <c r="T55" s="997"/>
      <c r="U55" s="1007">
        <f t="shared" si="8"/>
        <v>4008.8199999999997</v>
      </c>
      <c r="V55" s="1008">
        <f t="shared" si="9"/>
        <v>684</v>
      </c>
      <c r="W55" s="60">
        <f t="shared" si="5"/>
        <v>0</v>
      </c>
    </row>
    <row r="56" spans="1:23" x14ac:dyDescent="0.25">
      <c r="B56" s="133">
        <v>4.54</v>
      </c>
      <c r="C56" s="15"/>
      <c r="D56" s="537">
        <f t="shared" si="0"/>
        <v>0</v>
      </c>
      <c r="E56" s="744"/>
      <c r="F56" s="537">
        <f t="shared" si="10"/>
        <v>0</v>
      </c>
      <c r="G56" s="330"/>
      <c r="H56" s="331"/>
      <c r="I56" s="1006">
        <f t="shared" si="6"/>
        <v>1534.5200000000018</v>
      </c>
      <c r="J56" s="753">
        <f t="shared" si="7"/>
        <v>338</v>
      </c>
      <c r="K56" s="60">
        <f t="shared" si="4"/>
        <v>0</v>
      </c>
      <c r="N56" s="133">
        <v>4.54</v>
      </c>
      <c r="O56" s="15"/>
      <c r="P56" s="537">
        <f t="shared" si="2"/>
        <v>0</v>
      </c>
      <c r="Q56" s="744"/>
      <c r="R56" s="537">
        <f t="shared" si="11"/>
        <v>0</v>
      </c>
      <c r="S56" s="330"/>
      <c r="T56" s="331"/>
      <c r="U56" s="1006">
        <f t="shared" si="8"/>
        <v>4008.8199999999997</v>
      </c>
      <c r="V56" s="753">
        <f t="shared" si="9"/>
        <v>684</v>
      </c>
      <c r="W56" s="60">
        <f t="shared" si="5"/>
        <v>0</v>
      </c>
    </row>
    <row r="57" spans="1:23" x14ac:dyDescent="0.25">
      <c r="B57" s="133">
        <v>4.54</v>
      </c>
      <c r="C57" s="15"/>
      <c r="D57" s="537">
        <f t="shared" si="0"/>
        <v>0</v>
      </c>
      <c r="E57" s="744"/>
      <c r="F57" s="537">
        <f t="shared" si="10"/>
        <v>0</v>
      </c>
      <c r="G57" s="330"/>
      <c r="H57" s="331"/>
      <c r="I57" s="1006">
        <f t="shared" si="6"/>
        <v>1534.5200000000018</v>
      </c>
      <c r="J57" s="753">
        <f t="shared" si="7"/>
        <v>338</v>
      </c>
      <c r="K57" s="60">
        <f t="shared" si="4"/>
        <v>0</v>
      </c>
      <c r="N57" s="133">
        <v>4.54</v>
      </c>
      <c r="O57" s="15"/>
      <c r="P57" s="537">
        <f t="shared" si="2"/>
        <v>0</v>
      </c>
      <c r="Q57" s="744"/>
      <c r="R57" s="537">
        <f t="shared" si="11"/>
        <v>0</v>
      </c>
      <c r="S57" s="330"/>
      <c r="T57" s="331"/>
      <c r="U57" s="1006">
        <f t="shared" si="8"/>
        <v>4008.8199999999997</v>
      </c>
      <c r="V57" s="753">
        <f t="shared" si="9"/>
        <v>684</v>
      </c>
      <c r="W57" s="60">
        <f t="shared" si="5"/>
        <v>0</v>
      </c>
    </row>
    <row r="58" spans="1:23" x14ac:dyDescent="0.25">
      <c r="B58" s="133">
        <v>4.54</v>
      </c>
      <c r="C58" s="15"/>
      <c r="D58" s="537">
        <f t="shared" si="0"/>
        <v>0</v>
      </c>
      <c r="E58" s="744"/>
      <c r="F58" s="537">
        <f t="shared" si="10"/>
        <v>0</v>
      </c>
      <c r="G58" s="330"/>
      <c r="H58" s="331"/>
      <c r="I58" s="1006">
        <f t="shared" si="6"/>
        <v>1534.5200000000018</v>
      </c>
      <c r="J58" s="753">
        <f t="shared" si="7"/>
        <v>338</v>
      </c>
      <c r="K58" s="60">
        <f t="shared" si="4"/>
        <v>0</v>
      </c>
      <c r="N58" s="133">
        <v>4.54</v>
      </c>
      <c r="O58" s="15"/>
      <c r="P58" s="537">
        <f t="shared" si="2"/>
        <v>0</v>
      </c>
      <c r="Q58" s="744"/>
      <c r="R58" s="537">
        <f t="shared" si="11"/>
        <v>0</v>
      </c>
      <c r="S58" s="330"/>
      <c r="T58" s="331"/>
      <c r="U58" s="1006">
        <f t="shared" si="8"/>
        <v>4008.8199999999997</v>
      </c>
      <c r="V58" s="753">
        <f t="shared" si="9"/>
        <v>684</v>
      </c>
      <c r="W58" s="60">
        <f t="shared" si="5"/>
        <v>0</v>
      </c>
    </row>
    <row r="59" spans="1:23" x14ac:dyDescent="0.25">
      <c r="B59" s="133">
        <v>4.54</v>
      </c>
      <c r="C59" s="15"/>
      <c r="D59" s="537">
        <f t="shared" si="0"/>
        <v>0</v>
      </c>
      <c r="E59" s="744"/>
      <c r="F59" s="537">
        <f t="shared" si="10"/>
        <v>0</v>
      </c>
      <c r="G59" s="330"/>
      <c r="H59" s="331"/>
      <c r="I59" s="1006">
        <f t="shared" si="6"/>
        <v>1534.5200000000018</v>
      </c>
      <c r="J59" s="753">
        <f t="shared" si="7"/>
        <v>338</v>
      </c>
      <c r="K59" s="60">
        <f t="shared" si="4"/>
        <v>0</v>
      </c>
      <c r="N59" s="133">
        <v>4.54</v>
      </c>
      <c r="O59" s="15"/>
      <c r="P59" s="537">
        <f t="shared" si="2"/>
        <v>0</v>
      </c>
      <c r="Q59" s="744"/>
      <c r="R59" s="537">
        <f t="shared" si="11"/>
        <v>0</v>
      </c>
      <c r="S59" s="330"/>
      <c r="T59" s="331"/>
      <c r="U59" s="1006">
        <f t="shared" si="8"/>
        <v>4008.8199999999997</v>
      </c>
      <c r="V59" s="753">
        <f t="shared" si="9"/>
        <v>684</v>
      </c>
      <c r="W59" s="60">
        <f t="shared" si="5"/>
        <v>0</v>
      </c>
    </row>
    <row r="60" spans="1:23" x14ac:dyDescent="0.25">
      <c r="B60" s="133">
        <v>4.54</v>
      </c>
      <c r="C60" s="15"/>
      <c r="D60" s="537">
        <f t="shared" si="0"/>
        <v>0</v>
      </c>
      <c r="E60" s="744"/>
      <c r="F60" s="537">
        <f t="shared" si="10"/>
        <v>0</v>
      </c>
      <c r="G60" s="330"/>
      <c r="H60" s="331"/>
      <c r="I60" s="1006">
        <f t="shared" si="6"/>
        <v>1534.5200000000018</v>
      </c>
      <c r="J60" s="753">
        <f t="shared" si="7"/>
        <v>338</v>
      </c>
      <c r="K60" s="60">
        <f t="shared" si="4"/>
        <v>0</v>
      </c>
      <c r="N60" s="133">
        <v>4.54</v>
      </c>
      <c r="O60" s="15"/>
      <c r="P60" s="537">
        <f t="shared" si="2"/>
        <v>0</v>
      </c>
      <c r="Q60" s="744"/>
      <c r="R60" s="537">
        <f t="shared" si="11"/>
        <v>0</v>
      </c>
      <c r="S60" s="330"/>
      <c r="T60" s="331"/>
      <c r="U60" s="1006">
        <f t="shared" si="8"/>
        <v>4008.8199999999997</v>
      </c>
      <c r="V60" s="753">
        <f t="shared" si="9"/>
        <v>684</v>
      </c>
      <c r="W60" s="60">
        <f t="shared" si="5"/>
        <v>0</v>
      </c>
    </row>
    <row r="61" spans="1:23" x14ac:dyDescent="0.25">
      <c r="B61" s="133">
        <v>4.54</v>
      </c>
      <c r="C61" s="15"/>
      <c r="D61" s="537">
        <f t="shared" si="0"/>
        <v>0</v>
      </c>
      <c r="E61" s="744"/>
      <c r="F61" s="537">
        <f t="shared" si="10"/>
        <v>0</v>
      </c>
      <c r="G61" s="330"/>
      <c r="H61" s="331"/>
      <c r="I61" s="1006">
        <f t="shared" si="6"/>
        <v>1534.5200000000018</v>
      </c>
      <c r="J61" s="753">
        <f t="shared" si="7"/>
        <v>338</v>
      </c>
      <c r="K61" s="60">
        <f t="shared" si="4"/>
        <v>0</v>
      </c>
      <c r="N61" s="133">
        <v>4.54</v>
      </c>
      <c r="O61" s="15"/>
      <c r="P61" s="537">
        <f t="shared" si="2"/>
        <v>0</v>
      </c>
      <c r="Q61" s="744"/>
      <c r="R61" s="537">
        <f t="shared" si="11"/>
        <v>0</v>
      </c>
      <c r="S61" s="330"/>
      <c r="T61" s="331"/>
      <c r="U61" s="1006">
        <f t="shared" si="8"/>
        <v>4008.8199999999997</v>
      </c>
      <c r="V61" s="753">
        <f t="shared" si="9"/>
        <v>684</v>
      </c>
      <c r="W61" s="60">
        <f t="shared" si="5"/>
        <v>0</v>
      </c>
    </row>
    <row r="62" spans="1:23" x14ac:dyDescent="0.25">
      <c r="B62" s="133">
        <v>4.54</v>
      </c>
      <c r="C62" s="15"/>
      <c r="D62" s="537">
        <f t="shared" si="0"/>
        <v>0</v>
      </c>
      <c r="E62" s="744"/>
      <c r="F62" s="537">
        <f t="shared" si="10"/>
        <v>0</v>
      </c>
      <c r="G62" s="330"/>
      <c r="H62" s="331"/>
      <c r="I62" s="1006">
        <f t="shared" si="6"/>
        <v>1534.5200000000018</v>
      </c>
      <c r="J62" s="753">
        <f t="shared" si="7"/>
        <v>338</v>
      </c>
      <c r="K62" s="60">
        <f t="shared" si="4"/>
        <v>0</v>
      </c>
      <c r="N62" s="133">
        <v>4.54</v>
      </c>
      <c r="O62" s="15"/>
      <c r="P62" s="537">
        <f t="shared" si="2"/>
        <v>0</v>
      </c>
      <c r="Q62" s="744"/>
      <c r="R62" s="537">
        <f t="shared" si="11"/>
        <v>0</v>
      </c>
      <c r="S62" s="330"/>
      <c r="T62" s="331"/>
      <c r="U62" s="1006">
        <f t="shared" si="8"/>
        <v>4008.8199999999997</v>
      </c>
      <c r="V62" s="753">
        <f t="shared" si="9"/>
        <v>684</v>
      </c>
      <c r="W62" s="60">
        <f t="shared" si="5"/>
        <v>0</v>
      </c>
    </row>
    <row r="63" spans="1:23" x14ac:dyDescent="0.25">
      <c r="B63" s="133">
        <v>4.54</v>
      </c>
      <c r="C63" s="15"/>
      <c r="D63" s="537">
        <f t="shared" si="0"/>
        <v>0</v>
      </c>
      <c r="E63" s="744"/>
      <c r="F63" s="537">
        <f t="shared" si="10"/>
        <v>0</v>
      </c>
      <c r="G63" s="330"/>
      <c r="H63" s="331"/>
      <c r="I63" s="1006">
        <f t="shared" si="6"/>
        <v>1534.5200000000018</v>
      </c>
      <c r="J63" s="753">
        <f t="shared" si="7"/>
        <v>338</v>
      </c>
      <c r="K63" s="60">
        <f t="shared" si="4"/>
        <v>0</v>
      </c>
      <c r="N63" s="133">
        <v>4.54</v>
      </c>
      <c r="O63" s="15"/>
      <c r="P63" s="537">
        <f t="shared" si="2"/>
        <v>0</v>
      </c>
      <c r="Q63" s="744"/>
      <c r="R63" s="537">
        <f t="shared" si="11"/>
        <v>0</v>
      </c>
      <c r="S63" s="330"/>
      <c r="T63" s="331"/>
      <c r="U63" s="1006">
        <f t="shared" si="8"/>
        <v>4008.8199999999997</v>
      </c>
      <c r="V63" s="753">
        <f t="shared" si="9"/>
        <v>684</v>
      </c>
      <c r="W63" s="60">
        <f t="shared" si="5"/>
        <v>0</v>
      </c>
    </row>
    <row r="64" spans="1:23" x14ac:dyDescent="0.25">
      <c r="B64" s="133">
        <v>4.54</v>
      </c>
      <c r="C64" s="15"/>
      <c r="D64" s="537">
        <f t="shared" si="0"/>
        <v>0</v>
      </c>
      <c r="E64" s="744"/>
      <c r="F64" s="537">
        <f t="shared" si="10"/>
        <v>0</v>
      </c>
      <c r="G64" s="330"/>
      <c r="H64" s="331"/>
      <c r="I64" s="1006">
        <f t="shared" si="6"/>
        <v>1534.5200000000018</v>
      </c>
      <c r="J64" s="753">
        <f t="shared" si="7"/>
        <v>338</v>
      </c>
      <c r="K64" s="60">
        <f t="shared" si="4"/>
        <v>0</v>
      </c>
      <c r="N64" s="133">
        <v>4.54</v>
      </c>
      <c r="O64" s="15"/>
      <c r="P64" s="537">
        <f t="shared" si="2"/>
        <v>0</v>
      </c>
      <c r="Q64" s="744"/>
      <c r="R64" s="537">
        <f t="shared" si="11"/>
        <v>0</v>
      </c>
      <c r="S64" s="330"/>
      <c r="T64" s="331"/>
      <c r="U64" s="1006">
        <f t="shared" si="8"/>
        <v>4008.8199999999997</v>
      </c>
      <c r="V64" s="753">
        <f t="shared" si="9"/>
        <v>684</v>
      </c>
      <c r="W64" s="60">
        <f t="shared" si="5"/>
        <v>0</v>
      </c>
    </row>
    <row r="65" spans="2:23" x14ac:dyDescent="0.25">
      <c r="B65" s="133">
        <v>4.54</v>
      </c>
      <c r="C65" s="15"/>
      <c r="D65" s="537">
        <f t="shared" si="0"/>
        <v>0</v>
      </c>
      <c r="E65" s="744"/>
      <c r="F65" s="537">
        <f t="shared" si="10"/>
        <v>0</v>
      </c>
      <c r="G65" s="330"/>
      <c r="H65" s="331"/>
      <c r="I65" s="1006">
        <f t="shared" si="6"/>
        <v>1534.5200000000018</v>
      </c>
      <c r="J65" s="753">
        <f t="shared" si="7"/>
        <v>338</v>
      </c>
      <c r="K65" s="60">
        <f t="shared" si="4"/>
        <v>0</v>
      </c>
      <c r="N65" s="133">
        <v>4.54</v>
      </c>
      <c r="O65" s="15"/>
      <c r="P65" s="537">
        <f t="shared" si="2"/>
        <v>0</v>
      </c>
      <c r="Q65" s="744"/>
      <c r="R65" s="537">
        <f t="shared" si="11"/>
        <v>0</v>
      </c>
      <c r="S65" s="330"/>
      <c r="T65" s="331"/>
      <c r="U65" s="1006">
        <f t="shared" si="8"/>
        <v>4008.8199999999997</v>
      </c>
      <c r="V65" s="753">
        <f t="shared" si="9"/>
        <v>684</v>
      </c>
      <c r="W65" s="60">
        <f t="shared" si="5"/>
        <v>0</v>
      </c>
    </row>
    <row r="66" spans="2:23" x14ac:dyDescent="0.25">
      <c r="B66" s="133">
        <v>4.54</v>
      </c>
      <c r="C66" s="15"/>
      <c r="D66" s="537">
        <f t="shared" si="0"/>
        <v>0</v>
      </c>
      <c r="E66" s="744"/>
      <c r="F66" s="537">
        <f t="shared" si="10"/>
        <v>0</v>
      </c>
      <c r="G66" s="330"/>
      <c r="H66" s="331"/>
      <c r="I66" s="1006">
        <f t="shared" si="6"/>
        <v>1534.5200000000018</v>
      </c>
      <c r="J66" s="753">
        <f t="shared" si="7"/>
        <v>338</v>
      </c>
      <c r="K66" s="60">
        <f t="shared" si="4"/>
        <v>0</v>
      </c>
      <c r="N66" s="133">
        <v>4.54</v>
      </c>
      <c r="O66" s="15"/>
      <c r="P66" s="537">
        <f t="shared" si="2"/>
        <v>0</v>
      </c>
      <c r="Q66" s="744"/>
      <c r="R66" s="537">
        <f t="shared" si="11"/>
        <v>0</v>
      </c>
      <c r="S66" s="330"/>
      <c r="T66" s="331"/>
      <c r="U66" s="1006">
        <f t="shared" si="8"/>
        <v>4008.8199999999997</v>
      </c>
      <c r="V66" s="753">
        <f t="shared" si="9"/>
        <v>684</v>
      </c>
      <c r="W66" s="60">
        <f t="shared" si="5"/>
        <v>0</v>
      </c>
    </row>
    <row r="67" spans="2:23" x14ac:dyDescent="0.25">
      <c r="B67" s="133">
        <v>4.54</v>
      </c>
      <c r="C67" s="15"/>
      <c r="D67" s="537">
        <f t="shared" si="0"/>
        <v>0</v>
      </c>
      <c r="E67" s="744"/>
      <c r="F67" s="537">
        <f t="shared" si="10"/>
        <v>0</v>
      </c>
      <c r="G67" s="330"/>
      <c r="H67" s="331"/>
      <c r="I67" s="1006">
        <f t="shared" si="6"/>
        <v>1534.5200000000018</v>
      </c>
      <c r="J67" s="753">
        <f t="shared" si="7"/>
        <v>338</v>
      </c>
      <c r="K67" s="60">
        <f t="shared" si="4"/>
        <v>0</v>
      </c>
      <c r="N67" s="133">
        <v>4.54</v>
      </c>
      <c r="O67" s="15"/>
      <c r="P67" s="537">
        <f t="shared" si="2"/>
        <v>0</v>
      </c>
      <c r="Q67" s="744"/>
      <c r="R67" s="537">
        <f t="shared" si="11"/>
        <v>0</v>
      </c>
      <c r="S67" s="330"/>
      <c r="T67" s="331"/>
      <c r="U67" s="1006">
        <f t="shared" si="8"/>
        <v>4008.8199999999997</v>
      </c>
      <c r="V67" s="753">
        <f t="shared" si="9"/>
        <v>684</v>
      </c>
      <c r="W67" s="60">
        <f t="shared" si="5"/>
        <v>0</v>
      </c>
    </row>
    <row r="68" spans="2:23" x14ac:dyDescent="0.25">
      <c r="B68" s="133">
        <v>4.54</v>
      </c>
      <c r="C68" s="15"/>
      <c r="D68" s="537">
        <f t="shared" si="0"/>
        <v>0</v>
      </c>
      <c r="E68" s="744"/>
      <c r="F68" s="537">
        <f t="shared" si="10"/>
        <v>0</v>
      </c>
      <c r="G68" s="330"/>
      <c r="H68" s="331"/>
      <c r="I68" s="1006">
        <f t="shared" si="6"/>
        <v>1534.5200000000018</v>
      </c>
      <c r="J68" s="753">
        <f t="shared" si="7"/>
        <v>338</v>
      </c>
      <c r="K68" s="60">
        <f t="shared" si="4"/>
        <v>0</v>
      </c>
      <c r="N68" s="133">
        <v>4.54</v>
      </c>
      <c r="O68" s="15"/>
      <c r="P68" s="537">
        <f t="shared" si="2"/>
        <v>0</v>
      </c>
      <c r="Q68" s="744"/>
      <c r="R68" s="537">
        <f t="shared" si="11"/>
        <v>0</v>
      </c>
      <c r="S68" s="330"/>
      <c r="T68" s="331"/>
      <c r="U68" s="1006">
        <f t="shared" si="8"/>
        <v>4008.8199999999997</v>
      </c>
      <c r="V68" s="753">
        <f t="shared" si="9"/>
        <v>684</v>
      </c>
      <c r="W68" s="60">
        <f t="shared" si="5"/>
        <v>0</v>
      </c>
    </row>
    <row r="69" spans="2:23" x14ac:dyDescent="0.25">
      <c r="B69" s="133">
        <v>4.54</v>
      </c>
      <c r="C69" s="15"/>
      <c r="D69" s="537">
        <f t="shared" si="0"/>
        <v>0</v>
      </c>
      <c r="E69" s="744"/>
      <c r="F69" s="537">
        <f t="shared" si="10"/>
        <v>0</v>
      </c>
      <c r="G69" s="330"/>
      <c r="H69" s="331"/>
      <c r="I69" s="1006">
        <f t="shared" si="6"/>
        <v>1534.5200000000018</v>
      </c>
      <c r="J69" s="753">
        <f t="shared" si="7"/>
        <v>338</v>
      </c>
      <c r="K69" s="60">
        <f t="shared" si="4"/>
        <v>0</v>
      </c>
      <c r="N69" s="133">
        <v>4.54</v>
      </c>
      <c r="O69" s="15"/>
      <c r="P69" s="537">
        <f t="shared" si="2"/>
        <v>0</v>
      </c>
      <c r="Q69" s="744"/>
      <c r="R69" s="537">
        <f t="shared" si="11"/>
        <v>0</v>
      </c>
      <c r="S69" s="330"/>
      <c r="T69" s="331"/>
      <c r="U69" s="1006">
        <f t="shared" si="8"/>
        <v>4008.8199999999997</v>
      </c>
      <c r="V69" s="753">
        <f t="shared" si="9"/>
        <v>684</v>
      </c>
      <c r="W69" s="60">
        <f t="shared" si="5"/>
        <v>0</v>
      </c>
    </row>
    <row r="70" spans="2:23" x14ac:dyDescent="0.25">
      <c r="B70" s="133">
        <v>4.54</v>
      </c>
      <c r="C70" s="15"/>
      <c r="D70" s="537">
        <f t="shared" si="0"/>
        <v>0</v>
      </c>
      <c r="E70" s="744"/>
      <c r="F70" s="537">
        <f t="shared" si="10"/>
        <v>0</v>
      </c>
      <c r="G70" s="330"/>
      <c r="H70" s="331"/>
      <c r="I70" s="1006">
        <f t="shared" si="6"/>
        <v>1534.5200000000018</v>
      </c>
      <c r="J70" s="753">
        <f t="shared" si="7"/>
        <v>338</v>
      </c>
      <c r="K70" s="60">
        <f t="shared" si="4"/>
        <v>0</v>
      </c>
      <c r="N70" s="133">
        <v>4.54</v>
      </c>
      <c r="O70" s="15"/>
      <c r="P70" s="537">
        <f t="shared" si="2"/>
        <v>0</v>
      </c>
      <c r="Q70" s="744"/>
      <c r="R70" s="537">
        <f t="shared" si="11"/>
        <v>0</v>
      </c>
      <c r="S70" s="330"/>
      <c r="T70" s="331"/>
      <c r="U70" s="1006">
        <f t="shared" si="8"/>
        <v>4008.8199999999997</v>
      </c>
      <c r="V70" s="753">
        <f t="shared" si="9"/>
        <v>684</v>
      </c>
      <c r="W70" s="60">
        <f t="shared" si="5"/>
        <v>0</v>
      </c>
    </row>
    <row r="71" spans="2:23" x14ac:dyDescent="0.25">
      <c r="B71" s="133">
        <v>4.54</v>
      </c>
      <c r="C71" s="15"/>
      <c r="D71" s="537">
        <f t="shared" si="0"/>
        <v>0</v>
      </c>
      <c r="E71" s="744"/>
      <c r="F71" s="537">
        <f t="shared" si="10"/>
        <v>0</v>
      </c>
      <c r="G71" s="330"/>
      <c r="H71" s="331"/>
      <c r="I71" s="1006">
        <f t="shared" si="6"/>
        <v>1534.5200000000018</v>
      </c>
      <c r="J71" s="753">
        <f t="shared" si="7"/>
        <v>338</v>
      </c>
      <c r="K71" s="60">
        <f t="shared" si="4"/>
        <v>0</v>
      </c>
      <c r="N71" s="133">
        <v>4.54</v>
      </c>
      <c r="O71" s="15"/>
      <c r="P71" s="537">
        <f t="shared" si="2"/>
        <v>0</v>
      </c>
      <c r="Q71" s="744"/>
      <c r="R71" s="537">
        <f t="shared" si="11"/>
        <v>0</v>
      </c>
      <c r="S71" s="330"/>
      <c r="T71" s="331"/>
      <c r="U71" s="1006">
        <f t="shared" si="8"/>
        <v>4008.8199999999997</v>
      </c>
      <c r="V71" s="753">
        <f t="shared" si="9"/>
        <v>684</v>
      </c>
      <c r="W71" s="60">
        <f t="shared" si="5"/>
        <v>0</v>
      </c>
    </row>
    <row r="72" spans="2:23" x14ac:dyDescent="0.25">
      <c r="B72" s="133">
        <v>4.54</v>
      </c>
      <c r="C72" s="15"/>
      <c r="D72" s="537">
        <f t="shared" si="0"/>
        <v>0</v>
      </c>
      <c r="E72" s="744"/>
      <c r="F72" s="537">
        <f t="shared" si="10"/>
        <v>0</v>
      </c>
      <c r="G72" s="330"/>
      <c r="H72" s="331"/>
      <c r="I72" s="1006">
        <f t="shared" si="6"/>
        <v>1534.5200000000018</v>
      </c>
      <c r="J72" s="753">
        <f t="shared" si="7"/>
        <v>338</v>
      </c>
      <c r="K72" s="60">
        <f t="shared" si="4"/>
        <v>0</v>
      </c>
      <c r="N72" s="133">
        <v>4.54</v>
      </c>
      <c r="O72" s="15"/>
      <c r="P72" s="537">
        <f t="shared" si="2"/>
        <v>0</v>
      </c>
      <c r="Q72" s="744"/>
      <c r="R72" s="537">
        <f t="shared" si="11"/>
        <v>0</v>
      </c>
      <c r="S72" s="330"/>
      <c r="T72" s="331"/>
      <c r="U72" s="1006">
        <f t="shared" si="8"/>
        <v>4008.8199999999997</v>
      </c>
      <c r="V72" s="753">
        <f t="shared" si="9"/>
        <v>684</v>
      </c>
      <c r="W72" s="60">
        <f t="shared" si="5"/>
        <v>0</v>
      </c>
    </row>
    <row r="73" spans="2:23" x14ac:dyDescent="0.25">
      <c r="B73" s="133">
        <v>4.54</v>
      </c>
      <c r="C73" s="15"/>
      <c r="D73" s="537">
        <f t="shared" ref="D73:D108" si="12">C73*B73</f>
        <v>0</v>
      </c>
      <c r="E73" s="744"/>
      <c r="F73" s="537">
        <f t="shared" si="10"/>
        <v>0</v>
      </c>
      <c r="G73" s="330"/>
      <c r="H73" s="331"/>
      <c r="I73" s="1006">
        <f t="shared" si="6"/>
        <v>1534.5200000000018</v>
      </c>
      <c r="J73" s="753">
        <f t="shared" si="7"/>
        <v>338</v>
      </c>
      <c r="K73" s="60">
        <f t="shared" si="4"/>
        <v>0</v>
      </c>
      <c r="N73" s="133">
        <v>4.54</v>
      </c>
      <c r="O73" s="15"/>
      <c r="P73" s="537">
        <f t="shared" ref="P73:P108" si="13">O73*N73</f>
        <v>0</v>
      </c>
      <c r="Q73" s="744"/>
      <c r="R73" s="537">
        <f t="shared" si="11"/>
        <v>0</v>
      </c>
      <c r="S73" s="330"/>
      <c r="T73" s="331"/>
      <c r="U73" s="1006">
        <f t="shared" si="8"/>
        <v>4008.8199999999997</v>
      </c>
      <c r="V73" s="753">
        <f t="shared" si="9"/>
        <v>684</v>
      </c>
      <c r="W73" s="60">
        <f t="shared" si="5"/>
        <v>0</v>
      </c>
    </row>
    <row r="74" spans="2:23" x14ac:dyDescent="0.25">
      <c r="B74" s="133">
        <v>4.54</v>
      </c>
      <c r="C74" s="15"/>
      <c r="D74" s="537">
        <f t="shared" si="12"/>
        <v>0</v>
      </c>
      <c r="E74" s="744"/>
      <c r="F74" s="537">
        <f t="shared" si="10"/>
        <v>0</v>
      </c>
      <c r="G74" s="330"/>
      <c r="H74" s="331"/>
      <c r="I74" s="1006">
        <f t="shared" si="6"/>
        <v>1534.5200000000018</v>
      </c>
      <c r="J74" s="753">
        <f t="shared" si="7"/>
        <v>338</v>
      </c>
      <c r="K74" s="60">
        <f t="shared" si="4"/>
        <v>0</v>
      </c>
      <c r="N74" s="133">
        <v>4.54</v>
      </c>
      <c r="O74" s="15"/>
      <c r="P74" s="537">
        <f t="shared" si="13"/>
        <v>0</v>
      </c>
      <c r="Q74" s="744"/>
      <c r="R74" s="537">
        <f t="shared" si="11"/>
        <v>0</v>
      </c>
      <c r="S74" s="330"/>
      <c r="T74" s="331"/>
      <c r="U74" s="1006">
        <f t="shared" si="8"/>
        <v>4008.8199999999997</v>
      </c>
      <c r="V74" s="753">
        <f t="shared" si="9"/>
        <v>684</v>
      </c>
      <c r="W74" s="60">
        <f t="shared" si="5"/>
        <v>0</v>
      </c>
    </row>
    <row r="75" spans="2:23" x14ac:dyDescent="0.25">
      <c r="B75" s="133">
        <v>4.54</v>
      </c>
      <c r="C75" s="15"/>
      <c r="D75" s="537">
        <f t="shared" si="12"/>
        <v>0</v>
      </c>
      <c r="E75" s="744"/>
      <c r="F75" s="537">
        <f t="shared" si="10"/>
        <v>0</v>
      </c>
      <c r="G75" s="330"/>
      <c r="H75" s="331"/>
      <c r="I75" s="1006">
        <f t="shared" ref="I75:I107" si="14">I74-F75</f>
        <v>1534.5200000000018</v>
      </c>
      <c r="J75" s="753">
        <f t="shared" ref="J75:J106" si="15">J74-C75</f>
        <v>338</v>
      </c>
      <c r="K75" s="60">
        <f t="shared" si="4"/>
        <v>0</v>
      </c>
      <c r="N75" s="133">
        <v>4.54</v>
      </c>
      <c r="O75" s="15"/>
      <c r="P75" s="537">
        <f t="shared" si="13"/>
        <v>0</v>
      </c>
      <c r="Q75" s="744"/>
      <c r="R75" s="537">
        <f t="shared" si="11"/>
        <v>0</v>
      </c>
      <c r="S75" s="330"/>
      <c r="T75" s="331"/>
      <c r="U75" s="1006">
        <f t="shared" ref="U75:U107" si="16">U74-R75</f>
        <v>4008.8199999999997</v>
      </c>
      <c r="V75" s="753">
        <f t="shared" ref="V75:V106" si="17">V74-O75</f>
        <v>684</v>
      </c>
      <c r="W75" s="60">
        <f t="shared" si="5"/>
        <v>0</v>
      </c>
    </row>
    <row r="76" spans="2:23" x14ac:dyDescent="0.25">
      <c r="B76" s="133">
        <v>4.54</v>
      </c>
      <c r="C76" s="15"/>
      <c r="D76" s="537">
        <f t="shared" si="12"/>
        <v>0</v>
      </c>
      <c r="E76" s="744"/>
      <c r="F76" s="537">
        <f t="shared" si="10"/>
        <v>0</v>
      </c>
      <c r="G76" s="330"/>
      <c r="H76" s="331"/>
      <c r="I76" s="1006">
        <f t="shared" si="14"/>
        <v>1534.5200000000018</v>
      </c>
      <c r="J76" s="753">
        <f t="shared" si="15"/>
        <v>338</v>
      </c>
      <c r="K76" s="60">
        <f t="shared" si="4"/>
        <v>0</v>
      </c>
      <c r="N76" s="133">
        <v>4.54</v>
      </c>
      <c r="O76" s="15"/>
      <c r="P76" s="537">
        <f t="shared" si="13"/>
        <v>0</v>
      </c>
      <c r="Q76" s="744"/>
      <c r="R76" s="537">
        <f t="shared" si="11"/>
        <v>0</v>
      </c>
      <c r="S76" s="330"/>
      <c r="T76" s="331"/>
      <c r="U76" s="1006">
        <f t="shared" si="16"/>
        <v>4008.8199999999997</v>
      </c>
      <c r="V76" s="753">
        <f t="shared" si="17"/>
        <v>684</v>
      </c>
      <c r="W76" s="60">
        <f t="shared" si="5"/>
        <v>0</v>
      </c>
    </row>
    <row r="77" spans="2:23" x14ac:dyDescent="0.25">
      <c r="B77" s="133">
        <v>4.54</v>
      </c>
      <c r="C77" s="15"/>
      <c r="D77" s="537">
        <f t="shared" si="12"/>
        <v>0</v>
      </c>
      <c r="E77" s="744"/>
      <c r="F77" s="537">
        <f t="shared" si="10"/>
        <v>0</v>
      </c>
      <c r="G77" s="330"/>
      <c r="H77" s="331"/>
      <c r="I77" s="1006">
        <f t="shared" si="14"/>
        <v>1534.5200000000018</v>
      </c>
      <c r="J77" s="753">
        <f t="shared" si="15"/>
        <v>338</v>
      </c>
      <c r="K77" s="60">
        <f t="shared" si="4"/>
        <v>0</v>
      </c>
      <c r="N77" s="133">
        <v>4.54</v>
      </c>
      <c r="O77" s="15"/>
      <c r="P77" s="537">
        <f t="shared" si="13"/>
        <v>0</v>
      </c>
      <c r="Q77" s="744"/>
      <c r="R77" s="537">
        <f t="shared" si="11"/>
        <v>0</v>
      </c>
      <c r="S77" s="330"/>
      <c r="T77" s="331"/>
      <c r="U77" s="1006">
        <f t="shared" si="16"/>
        <v>4008.8199999999997</v>
      </c>
      <c r="V77" s="753">
        <f t="shared" si="17"/>
        <v>684</v>
      </c>
      <c r="W77" s="60">
        <f t="shared" si="5"/>
        <v>0</v>
      </c>
    </row>
    <row r="78" spans="2:23" x14ac:dyDescent="0.25">
      <c r="B78" s="133">
        <v>4.54</v>
      </c>
      <c r="C78" s="15"/>
      <c r="D78" s="537">
        <f t="shared" si="12"/>
        <v>0</v>
      </c>
      <c r="E78" s="744"/>
      <c r="F78" s="537">
        <f t="shared" si="10"/>
        <v>0</v>
      </c>
      <c r="G78" s="330"/>
      <c r="H78" s="331"/>
      <c r="I78" s="1006">
        <f t="shared" si="14"/>
        <v>1534.5200000000018</v>
      </c>
      <c r="J78" s="753">
        <f t="shared" si="15"/>
        <v>338</v>
      </c>
      <c r="K78" s="60">
        <f t="shared" si="4"/>
        <v>0</v>
      </c>
      <c r="N78" s="133">
        <v>4.54</v>
      </c>
      <c r="O78" s="15"/>
      <c r="P78" s="537">
        <f t="shared" si="13"/>
        <v>0</v>
      </c>
      <c r="Q78" s="744"/>
      <c r="R78" s="537">
        <f t="shared" si="11"/>
        <v>0</v>
      </c>
      <c r="S78" s="330"/>
      <c r="T78" s="331"/>
      <c r="U78" s="1006">
        <f t="shared" si="16"/>
        <v>4008.8199999999997</v>
      </c>
      <c r="V78" s="753">
        <f t="shared" si="17"/>
        <v>684</v>
      </c>
      <c r="W78" s="60">
        <f t="shared" si="5"/>
        <v>0</v>
      </c>
    </row>
    <row r="79" spans="2:23" x14ac:dyDescent="0.25">
      <c r="B79" s="133">
        <v>4.54</v>
      </c>
      <c r="C79" s="15"/>
      <c r="D79" s="537">
        <f t="shared" si="12"/>
        <v>0</v>
      </c>
      <c r="E79" s="744"/>
      <c r="F79" s="537">
        <f t="shared" si="10"/>
        <v>0</v>
      </c>
      <c r="G79" s="330"/>
      <c r="H79" s="331"/>
      <c r="I79" s="1006">
        <f t="shared" si="14"/>
        <v>1534.5200000000018</v>
      </c>
      <c r="J79" s="753">
        <f t="shared" si="15"/>
        <v>338</v>
      </c>
      <c r="K79" s="60">
        <f t="shared" si="4"/>
        <v>0</v>
      </c>
      <c r="N79" s="133">
        <v>4.54</v>
      </c>
      <c r="O79" s="15"/>
      <c r="P79" s="537">
        <f t="shared" si="13"/>
        <v>0</v>
      </c>
      <c r="Q79" s="744"/>
      <c r="R79" s="537">
        <f t="shared" si="11"/>
        <v>0</v>
      </c>
      <c r="S79" s="330"/>
      <c r="T79" s="331"/>
      <c r="U79" s="1006">
        <f t="shared" si="16"/>
        <v>4008.8199999999997</v>
      </c>
      <c r="V79" s="753">
        <f t="shared" si="17"/>
        <v>684</v>
      </c>
      <c r="W79" s="60">
        <f t="shared" si="5"/>
        <v>0</v>
      </c>
    </row>
    <row r="80" spans="2:23" x14ac:dyDescent="0.25">
      <c r="B80" s="133">
        <v>4.54</v>
      </c>
      <c r="C80" s="15"/>
      <c r="D80" s="537">
        <f t="shared" si="12"/>
        <v>0</v>
      </c>
      <c r="E80" s="744"/>
      <c r="F80" s="537">
        <f t="shared" si="10"/>
        <v>0</v>
      </c>
      <c r="G80" s="330"/>
      <c r="H80" s="331"/>
      <c r="I80" s="1006">
        <f t="shared" si="14"/>
        <v>1534.5200000000018</v>
      </c>
      <c r="J80" s="753">
        <f t="shared" si="15"/>
        <v>338</v>
      </c>
      <c r="K80" s="60">
        <f t="shared" si="4"/>
        <v>0</v>
      </c>
      <c r="N80" s="133">
        <v>4.54</v>
      </c>
      <c r="O80" s="15"/>
      <c r="P80" s="537">
        <f t="shared" si="13"/>
        <v>0</v>
      </c>
      <c r="Q80" s="744"/>
      <c r="R80" s="537">
        <f t="shared" si="11"/>
        <v>0</v>
      </c>
      <c r="S80" s="330"/>
      <c r="T80" s="331"/>
      <c r="U80" s="1006">
        <f t="shared" si="16"/>
        <v>4008.8199999999997</v>
      </c>
      <c r="V80" s="753">
        <f t="shared" si="17"/>
        <v>684</v>
      </c>
      <c r="W80" s="60">
        <f t="shared" si="5"/>
        <v>0</v>
      </c>
    </row>
    <row r="81" spans="2:23" x14ac:dyDescent="0.25">
      <c r="B81" s="133">
        <v>4.54</v>
      </c>
      <c r="C81" s="15"/>
      <c r="D81" s="537">
        <f t="shared" si="12"/>
        <v>0</v>
      </c>
      <c r="E81" s="744"/>
      <c r="F81" s="537">
        <f t="shared" si="10"/>
        <v>0</v>
      </c>
      <c r="G81" s="330"/>
      <c r="H81" s="331"/>
      <c r="I81" s="1006">
        <f t="shared" si="14"/>
        <v>1534.5200000000018</v>
      </c>
      <c r="J81" s="753">
        <f t="shared" si="15"/>
        <v>338</v>
      </c>
      <c r="K81" s="60">
        <f t="shared" si="4"/>
        <v>0</v>
      </c>
      <c r="N81" s="133">
        <v>4.54</v>
      </c>
      <c r="O81" s="15"/>
      <c r="P81" s="537">
        <f t="shared" si="13"/>
        <v>0</v>
      </c>
      <c r="Q81" s="744"/>
      <c r="R81" s="537">
        <f t="shared" si="11"/>
        <v>0</v>
      </c>
      <c r="S81" s="330"/>
      <c r="T81" s="331"/>
      <c r="U81" s="1006">
        <f t="shared" si="16"/>
        <v>4008.8199999999997</v>
      </c>
      <c r="V81" s="753">
        <f t="shared" si="17"/>
        <v>684</v>
      </c>
      <c r="W81" s="60">
        <f t="shared" si="5"/>
        <v>0</v>
      </c>
    </row>
    <row r="82" spans="2:23" x14ac:dyDescent="0.25">
      <c r="B82" s="133">
        <v>4.54</v>
      </c>
      <c r="C82" s="15"/>
      <c r="D82" s="537">
        <f t="shared" si="12"/>
        <v>0</v>
      </c>
      <c r="E82" s="744"/>
      <c r="F82" s="537">
        <f t="shared" si="10"/>
        <v>0</v>
      </c>
      <c r="G82" s="330"/>
      <c r="H82" s="331"/>
      <c r="I82" s="1006">
        <f t="shared" si="14"/>
        <v>1534.5200000000018</v>
      </c>
      <c r="J82" s="753">
        <f t="shared" si="15"/>
        <v>338</v>
      </c>
      <c r="K82" s="60">
        <f t="shared" si="4"/>
        <v>0</v>
      </c>
      <c r="N82" s="133">
        <v>4.54</v>
      </c>
      <c r="O82" s="15"/>
      <c r="P82" s="537">
        <f t="shared" si="13"/>
        <v>0</v>
      </c>
      <c r="Q82" s="744"/>
      <c r="R82" s="537">
        <f t="shared" si="11"/>
        <v>0</v>
      </c>
      <c r="S82" s="330"/>
      <c r="T82" s="331"/>
      <c r="U82" s="1006">
        <f t="shared" si="16"/>
        <v>4008.8199999999997</v>
      </c>
      <c r="V82" s="753">
        <f t="shared" si="17"/>
        <v>684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4008.8199999999997</v>
      </c>
      <c r="V83" s="73">
        <f t="shared" si="17"/>
        <v>684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4008.8199999999997</v>
      </c>
      <c r="V84" s="73">
        <f t="shared" si="17"/>
        <v>684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4008.8199999999997</v>
      </c>
      <c r="V85" s="73">
        <f t="shared" si="17"/>
        <v>684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4008.8199999999997</v>
      </c>
      <c r="V86" s="73">
        <f t="shared" si="17"/>
        <v>684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4008.8199999999997</v>
      </c>
      <c r="V87" s="73">
        <f t="shared" si="17"/>
        <v>684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4008.8199999999997</v>
      </c>
      <c r="V88" s="73">
        <f t="shared" si="17"/>
        <v>684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4008.8199999999997</v>
      </c>
      <c r="V89" s="73">
        <f t="shared" si="17"/>
        <v>684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4008.8199999999997</v>
      </c>
      <c r="V90" s="73">
        <f t="shared" si="17"/>
        <v>684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4008.8199999999997</v>
      </c>
      <c r="V91" s="73">
        <f t="shared" si="17"/>
        <v>684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4008.8199999999997</v>
      </c>
      <c r="V92" s="73">
        <f t="shared" si="17"/>
        <v>684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4008.8199999999997</v>
      </c>
      <c r="V93" s="73">
        <f t="shared" si="17"/>
        <v>684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4008.8199999999997</v>
      </c>
      <c r="V94" s="73">
        <f t="shared" si="17"/>
        <v>684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4008.8199999999997</v>
      </c>
      <c r="V95" s="73">
        <f t="shared" si="17"/>
        <v>684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4008.8199999999997</v>
      </c>
      <c r="V96" s="73">
        <f t="shared" si="17"/>
        <v>684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4008.8199999999997</v>
      </c>
      <c r="V97" s="73">
        <f t="shared" si="17"/>
        <v>684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4008.8199999999997</v>
      </c>
      <c r="V98" s="73">
        <f t="shared" si="17"/>
        <v>684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4008.8199999999997</v>
      </c>
      <c r="V99" s="73">
        <f t="shared" si="17"/>
        <v>684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4008.8199999999997</v>
      </c>
      <c r="V100" s="73">
        <f t="shared" si="17"/>
        <v>684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4008.8199999999997</v>
      </c>
      <c r="V101" s="73">
        <f t="shared" si="17"/>
        <v>684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4008.8199999999997</v>
      </c>
      <c r="V102" s="73">
        <f t="shared" si="17"/>
        <v>684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4008.8199999999997</v>
      </c>
      <c r="V103" s="73">
        <f t="shared" si="17"/>
        <v>684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4008.8199999999997</v>
      </c>
      <c r="V104" s="73">
        <f t="shared" si="17"/>
        <v>684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4008.8199999999997</v>
      </c>
      <c r="V105" s="73">
        <f t="shared" si="17"/>
        <v>684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4008.8199999999997</v>
      </c>
      <c r="V106" s="73">
        <f t="shared" si="17"/>
        <v>684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4008.8199999999997</v>
      </c>
      <c r="V107" s="73">
        <f>V83-O107</f>
        <v>684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1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1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684</v>
      </c>
      <c r="Q111" s="40"/>
      <c r="R111" s="6"/>
      <c r="S111" s="31"/>
      <c r="T111" s="17"/>
      <c r="U111" s="132"/>
      <c r="V111" s="73"/>
    </row>
    <row r="112" spans="2:23" x14ac:dyDescent="0.25">
      <c r="C112" s="1312" t="s">
        <v>19</v>
      </c>
      <c r="D112" s="1313"/>
      <c r="E112" s="39">
        <f>E4+E5-F109+E6+E7</f>
        <v>1534.5199999999995</v>
      </c>
      <c r="F112" s="6"/>
      <c r="G112" s="6"/>
      <c r="H112" s="17"/>
      <c r="I112" s="132"/>
      <c r="J112" s="73"/>
      <c r="O112" s="1312" t="s">
        <v>19</v>
      </c>
      <c r="P112" s="1313"/>
      <c r="Q112" s="39">
        <f>Q4+Q5-R109+Q6+Q7</f>
        <v>4008.8199999999997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73" t="s">
        <v>52</v>
      </c>
      <c r="B5" s="1314" t="s">
        <v>99</v>
      </c>
      <c r="C5" s="199"/>
      <c r="D5" s="149"/>
      <c r="E5" s="132"/>
      <c r="F5" s="73"/>
      <c r="G5" s="697"/>
      <c r="H5" s="138">
        <f>E4+E5-G5+E6+E7</f>
        <v>0</v>
      </c>
    </row>
    <row r="6" spans="1:10" ht="15.75" thickBot="1" x14ac:dyDescent="0.3">
      <c r="A6" s="1273"/>
      <c r="B6" s="1314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1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16"/>
    </row>
    <row r="9" spans="1:10" ht="15.75" thickTop="1" x14ac:dyDescent="0.25">
      <c r="A9" s="73"/>
      <c r="B9" s="563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6">
        <f>B9-C10</f>
        <v>0</v>
      </c>
      <c r="C10" s="821"/>
      <c r="D10" s="991"/>
      <c r="E10" s="858"/>
      <c r="F10" s="702">
        <f t="shared" ref="F10:F29" si="0">D10</f>
        <v>0</v>
      </c>
      <c r="G10" s="700"/>
      <c r="H10" s="701"/>
      <c r="I10" s="737">
        <f>I9-F10</f>
        <v>0</v>
      </c>
      <c r="J10" s="735"/>
    </row>
    <row r="11" spans="1:10" x14ac:dyDescent="0.25">
      <c r="A11" s="55" t="s">
        <v>32</v>
      </c>
      <c r="B11" s="866">
        <f t="shared" ref="B11:B30" si="1">B10-C11</f>
        <v>0</v>
      </c>
      <c r="C11" s="821"/>
      <c r="D11" s="992"/>
      <c r="E11" s="858"/>
      <c r="F11" s="702">
        <f t="shared" si="0"/>
        <v>0</v>
      </c>
      <c r="G11" s="700"/>
      <c r="H11" s="701"/>
      <c r="I11" s="737">
        <f t="shared" ref="I11:I30" si="2">I10-F11</f>
        <v>0</v>
      </c>
      <c r="J11" s="735"/>
    </row>
    <row r="12" spans="1:10" x14ac:dyDescent="0.25">
      <c r="A12" s="85"/>
      <c r="B12" s="866">
        <f t="shared" si="1"/>
        <v>0</v>
      </c>
      <c r="C12" s="821"/>
      <c r="D12" s="992"/>
      <c r="E12" s="858"/>
      <c r="F12" s="702">
        <f t="shared" si="0"/>
        <v>0</v>
      </c>
      <c r="G12" s="700"/>
      <c r="H12" s="701"/>
      <c r="I12" s="737">
        <f t="shared" si="2"/>
        <v>0</v>
      </c>
      <c r="J12" s="735"/>
    </row>
    <row r="13" spans="1:10" x14ac:dyDescent="0.25">
      <c r="B13" s="866">
        <f t="shared" si="1"/>
        <v>0</v>
      </c>
      <c r="C13" s="821"/>
      <c r="D13" s="992"/>
      <c r="E13" s="858"/>
      <c r="F13" s="702">
        <f t="shared" si="0"/>
        <v>0</v>
      </c>
      <c r="G13" s="700"/>
      <c r="H13" s="701"/>
      <c r="I13" s="737">
        <f t="shared" si="2"/>
        <v>0</v>
      </c>
      <c r="J13" s="735"/>
    </row>
    <row r="14" spans="1:10" x14ac:dyDescent="0.25">
      <c r="A14" s="55" t="s">
        <v>33</v>
      </c>
      <c r="B14" s="866">
        <f t="shared" si="1"/>
        <v>0</v>
      </c>
      <c r="C14" s="821"/>
      <c r="D14" s="992"/>
      <c r="E14" s="858"/>
      <c r="F14" s="702">
        <f t="shared" si="0"/>
        <v>0</v>
      </c>
      <c r="G14" s="700"/>
      <c r="H14" s="701"/>
      <c r="I14" s="737">
        <f t="shared" si="2"/>
        <v>0</v>
      </c>
      <c r="J14" s="735"/>
    </row>
    <row r="15" spans="1:10" x14ac:dyDescent="0.25">
      <c r="B15" s="866">
        <f t="shared" si="1"/>
        <v>0</v>
      </c>
      <c r="C15" s="821"/>
      <c r="D15" s="993"/>
      <c r="E15" s="858"/>
      <c r="F15" s="702">
        <f t="shared" si="0"/>
        <v>0</v>
      </c>
      <c r="G15" s="700"/>
      <c r="H15" s="701"/>
      <c r="I15" s="737">
        <f t="shared" si="2"/>
        <v>0</v>
      </c>
      <c r="J15" s="735"/>
    </row>
    <row r="16" spans="1:10" x14ac:dyDescent="0.25">
      <c r="B16" s="866">
        <f t="shared" si="1"/>
        <v>0</v>
      </c>
      <c r="C16" s="821"/>
      <c r="D16" s="993"/>
      <c r="E16" s="858"/>
      <c r="F16" s="702">
        <f t="shared" si="0"/>
        <v>0</v>
      </c>
      <c r="G16" s="700"/>
      <c r="H16" s="701"/>
      <c r="I16" s="737">
        <f t="shared" si="2"/>
        <v>0</v>
      </c>
      <c r="J16" s="735"/>
    </row>
    <row r="17" spans="2:10" x14ac:dyDescent="0.25">
      <c r="B17" s="866">
        <f t="shared" si="1"/>
        <v>0</v>
      </c>
      <c r="C17" s="821"/>
      <c r="D17" s="993"/>
      <c r="E17" s="858"/>
      <c r="F17" s="702">
        <f t="shared" si="0"/>
        <v>0</v>
      </c>
      <c r="G17" s="700"/>
      <c r="H17" s="701"/>
      <c r="I17" s="737">
        <f t="shared" si="2"/>
        <v>0</v>
      </c>
      <c r="J17" s="735"/>
    </row>
    <row r="18" spans="2:10" x14ac:dyDescent="0.25">
      <c r="B18" s="866">
        <f t="shared" si="1"/>
        <v>0</v>
      </c>
      <c r="C18" s="821"/>
      <c r="D18" s="993"/>
      <c r="E18" s="858"/>
      <c r="F18" s="702">
        <f t="shared" si="0"/>
        <v>0</v>
      </c>
      <c r="G18" s="700"/>
      <c r="H18" s="701"/>
      <c r="I18" s="737">
        <f t="shared" si="2"/>
        <v>0</v>
      </c>
      <c r="J18" s="735"/>
    </row>
    <row r="19" spans="2:10" x14ac:dyDescent="0.25">
      <c r="B19" s="866">
        <f t="shared" si="1"/>
        <v>0</v>
      </c>
      <c r="C19" s="821"/>
      <c r="D19" s="993"/>
      <c r="E19" s="858"/>
      <c r="F19" s="702">
        <f t="shared" si="0"/>
        <v>0</v>
      </c>
      <c r="G19" s="700"/>
      <c r="H19" s="701"/>
      <c r="I19" s="737">
        <f t="shared" si="2"/>
        <v>0</v>
      </c>
      <c r="J19" s="735"/>
    </row>
    <row r="20" spans="2:10" x14ac:dyDescent="0.25">
      <c r="B20" s="866">
        <f t="shared" si="1"/>
        <v>0</v>
      </c>
      <c r="C20" s="821"/>
      <c r="D20" s="993"/>
      <c r="E20" s="858"/>
      <c r="F20" s="702">
        <f t="shared" si="0"/>
        <v>0</v>
      </c>
      <c r="G20" s="700"/>
      <c r="H20" s="701"/>
      <c r="I20" s="737">
        <f t="shared" si="2"/>
        <v>0</v>
      </c>
      <c r="J20" s="735"/>
    </row>
    <row r="21" spans="2:10" x14ac:dyDescent="0.25">
      <c r="B21" s="866">
        <f t="shared" si="1"/>
        <v>0</v>
      </c>
      <c r="C21" s="821"/>
      <c r="D21" s="998"/>
      <c r="E21" s="858"/>
      <c r="F21" s="702">
        <f t="shared" si="0"/>
        <v>0</v>
      </c>
      <c r="G21" s="700"/>
      <c r="H21" s="701"/>
      <c r="I21" s="737">
        <f t="shared" si="2"/>
        <v>0</v>
      </c>
      <c r="J21" s="735"/>
    </row>
    <row r="22" spans="2:10" x14ac:dyDescent="0.25">
      <c r="B22" s="866">
        <f t="shared" si="1"/>
        <v>0</v>
      </c>
      <c r="C22" s="821"/>
      <c r="D22" s="998"/>
      <c r="E22" s="858"/>
      <c r="F22" s="702">
        <f t="shared" si="0"/>
        <v>0</v>
      </c>
      <c r="G22" s="700"/>
      <c r="H22" s="701"/>
      <c r="I22" s="737">
        <f t="shared" si="2"/>
        <v>0</v>
      </c>
      <c r="J22" s="735"/>
    </row>
    <row r="23" spans="2:10" x14ac:dyDescent="0.25">
      <c r="B23" s="866">
        <f t="shared" si="1"/>
        <v>0</v>
      </c>
      <c r="C23" s="821"/>
      <c r="D23" s="998"/>
      <c r="E23" s="858"/>
      <c r="F23" s="702">
        <f t="shared" si="0"/>
        <v>0</v>
      </c>
      <c r="G23" s="700"/>
      <c r="H23" s="701"/>
      <c r="I23" s="737">
        <f t="shared" si="2"/>
        <v>0</v>
      </c>
      <c r="J23" s="735"/>
    </row>
    <row r="24" spans="2:10" x14ac:dyDescent="0.25">
      <c r="B24" s="866">
        <f t="shared" si="1"/>
        <v>0</v>
      </c>
      <c r="C24" s="821"/>
      <c r="D24" s="998"/>
      <c r="E24" s="858"/>
      <c r="F24" s="702">
        <f t="shared" si="0"/>
        <v>0</v>
      </c>
      <c r="G24" s="700"/>
      <c r="H24" s="701"/>
      <c r="I24" s="737">
        <f t="shared" si="2"/>
        <v>0</v>
      </c>
      <c r="J24" s="735"/>
    </row>
    <row r="25" spans="2:10" x14ac:dyDescent="0.25">
      <c r="B25" s="866">
        <f t="shared" si="1"/>
        <v>0</v>
      </c>
      <c r="C25" s="821"/>
      <c r="D25" s="998"/>
      <c r="E25" s="858"/>
      <c r="F25" s="702">
        <f t="shared" si="0"/>
        <v>0</v>
      </c>
      <c r="G25" s="700"/>
      <c r="H25" s="701"/>
      <c r="I25" s="737">
        <f t="shared" si="2"/>
        <v>0</v>
      </c>
      <c r="J25" s="735"/>
    </row>
    <row r="26" spans="2:10" x14ac:dyDescent="0.25">
      <c r="B26" s="866">
        <f t="shared" si="1"/>
        <v>0</v>
      </c>
      <c r="C26" s="821"/>
      <c r="D26" s="998"/>
      <c r="E26" s="858"/>
      <c r="F26" s="702">
        <f t="shared" si="0"/>
        <v>0</v>
      </c>
      <c r="G26" s="700"/>
      <c r="H26" s="701"/>
      <c r="I26" s="737">
        <f t="shared" si="2"/>
        <v>0</v>
      </c>
      <c r="J26" s="735"/>
    </row>
    <row r="27" spans="2:10" x14ac:dyDescent="0.25">
      <c r="B27" s="866">
        <f t="shared" si="1"/>
        <v>0</v>
      </c>
      <c r="C27" s="821"/>
      <c r="D27" s="998"/>
      <c r="E27" s="858"/>
      <c r="F27" s="702">
        <f t="shared" si="0"/>
        <v>0</v>
      </c>
      <c r="G27" s="700"/>
      <c r="H27" s="701"/>
      <c r="I27" s="737">
        <f t="shared" si="2"/>
        <v>0</v>
      </c>
      <c r="J27" s="735"/>
    </row>
    <row r="28" spans="2:10" x14ac:dyDescent="0.25">
      <c r="B28" s="866">
        <f t="shared" si="1"/>
        <v>0</v>
      </c>
      <c r="C28" s="821"/>
      <c r="D28" s="843"/>
      <c r="E28" s="858"/>
      <c r="F28" s="702">
        <f t="shared" si="0"/>
        <v>0</v>
      </c>
      <c r="G28" s="700"/>
      <c r="H28" s="701"/>
      <c r="I28" s="737">
        <f t="shared" si="2"/>
        <v>0</v>
      </c>
      <c r="J28" s="735"/>
    </row>
    <row r="29" spans="2:10" x14ac:dyDescent="0.25">
      <c r="B29" s="866">
        <f t="shared" si="1"/>
        <v>0</v>
      </c>
      <c r="C29" s="821"/>
      <c r="D29" s="843"/>
      <c r="E29" s="858"/>
      <c r="F29" s="702">
        <f t="shared" si="0"/>
        <v>0</v>
      </c>
      <c r="G29" s="700"/>
      <c r="H29" s="701"/>
      <c r="I29" s="737">
        <f t="shared" si="2"/>
        <v>0</v>
      </c>
      <c r="J29" s="735"/>
    </row>
    <row r="30" spans="2:10" ht="15.75" thickBot="1" x14ac:dyDescent="0.3">
      <c r="B30" s="563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12" t="s">
        <v>19</v>
      </c>
      <c r="D34" s="131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T1" workbookViewId="0">
      <selection activeCell="W7" sqref="W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68" t="s">
        <v>329</v>
      </c>
      <c r="B1" s="1268"/>
      <c r="C1" s="1268"/>
      <c r="D1" s="1268"/>
      <c r="E1" s="1268"/>
      <c r="F1" s="1268"/>
      <c r="G1" s="1268"/>
      <c r="H1" s="11">
        <v>1</v>
      </c>
      <c r="K1" s="1268" t="str">
        <f>A1</f>
        <v>INVENTARIO DEL MES DE  NOVIEMBRE  2022</v>
      </c>
      <c r="L1" s="1268"/>
      <c r="M1" s="1268"/>
      <c r="N1" s="1268"/>
      <c r="O1" s="1268"/>
      <c r="P1" s="1268"/>
      <c r="Q1" s="1268"/>
      <c r="R1" s="11">
        <v>2</v>
      </c>
      <c r="U1" s="1272" t="s">
        <v>340</v>
      </c>
      <c r="V1" s="1272"/>
      <c r="W1" s="1272"/>
      <c r="X1" s="1272"/>
      <c r="Y1" s="1272"/>
      <c r="Z1" s="1272"/>
      <c r="AA1" s="1272"/>
      <c r="AB1" s="11">
        <v>3</v>
      </c>
      <c r="AE1" s="1272" t="s">
        <v>340</v>
      </c>
      <c r="AF1" s="1272"/>
      <c r="AG1" s="1272"/>
      <c r="AH1" s="1272"/>
      <c r="AI1" s="1272"/>
      <c r="AJ1" s="1272"/>
      <c r="AK1" s="1272"/>
      <c r="AL1" s="11">
        <v>4</v>
      </c>
      <c r="AO1" s="1272" t="s">
        <v>340</v>
      </c>
      <c r="AP1" s="1272"/>
      <c r="AQ1" s="1272"/>
      <c r="AR1" s="1272"/>
      <c r="AS1" s="1272"/>
      <c r="AT1" s="1272"/>
      <c r="AU1" s="127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1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1"/>
      <c r="AH4" s="134"/>
      <c r="AI4" s="78"/>
      <c r="AJ4" s="62"/>
      <c r="AK4" s="155"/>
      <c r="AL4" s="155"/>
      <c r="AO4" s="12"/>
      <c r="AP4" s="12"/>
      <c r="AQ4" s="571"/>
      <c r="AR4" s="134"/>
      <c r="AS4" s="78"/>
      <c r="AT4" s="62"/>
      <c r="AU4" s="155"/>
      <c r="AV4" s="155"/>
    </row>
    <row r="5" spans="1:49" ht="22.5" customHeight="1" x14ac:dyDescent="0.25">
      <c r="A5" s="1280" t="s">
        <v>64</v>
      </c>
      <c r="B5" s="1317" t="s">
        <v>69</v>
      </c>
      <c r="C5" s="392">
        <v>85</v>
      </c>
      <c r="D5" s="134">
        <v>44862</v>
      </c>
      <c r="E5" s="837">
        <v>150</v>
      </c>
      <c r="F5" s="855">
        <v>15</v>
      </c>
      <c r="G5" s="5"/>
      <c r="K5" s="1302" t="s">
        <v>176</v>
      </c>
      <c r="L5" s="1318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280" t="s">
        <v>375</v>
      </c>
      <c r="V5" s="1317" t="s">
        <v>69</v>
      </c>
      <c r="W5" s="392">
        <v>85</v>
      </c>
      <c r="X5" s="716">
        <v>44900</v>
      </c>
      <c r="Y5" s="1031">
        <v>150</v>
      </c>
      <c r="Z5" s="883">
        <v>15</v>
      </c>
      <c r="AA5" s="5"/>
      <c r="AE5" s="1302" t="s">
        <v>176</v>
      </c>
      <c r="AF5" s="1318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302" t="s">
        <v>176</v>
      </c>
      <c r="AP5" s="1318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280"/>
      <c r="B6" s="1317"/>
      <c r="C6" s="12"/>
      <c r="D6" s="12"/>
      <c r="E6" s="559"/>
      <c r="F6" s="144"/>
      <c r="G6" s="47">
        <f>F78</f>
        <v>100</v>
      </c>
      <c r="H6" s="7">
        <f>E6-G6+E7+E5-G5+E4</f>
        <v>50</v>
      </c>
      <c r="K6" s="1302"/>
      <c r="L6" s="1319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280"/>
      <c r="V6" s="1317"/>
      <c r="W6" s="392">
        <v>85</v>
      </c>
      <c r="X6" s="716">
        <v>44925</v>
      </c>
      <c r="Y6" s="559">
        <v>100</v>
      </c>
      <c r="Z6" s="144">
        <v>10</v>
      </c>
      <c r="AA6" s="47">
        <f>Z78</f>
        <v>0</v>
      </c>
      <c r="AB6" s="7">
        <f>Y6-AA6+Y7+Y5-AA5+Y4</f>
        <v>250</v>
      </c>
      <c r="AE6" s="1302"/>
      <c r="AF6" s="1319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  <c r="AO6" s="1302"/>
      <c r="AP6" s="1319"/>
      <c r="AQ6" s="392">
        <v>100</v>
      </c>
      <c r="AR6" s="134">
        <v>44914</v>
      </c>
      <c r="AS6" s="208">
        <v>150</v>
      </c>
      <c r="AT6" s="62">
        <v>15</v>
      </c>
      <c r="AU6" s="47">
        <f>AT78</f>
        <v>0</v>
      </c>
      <c r="AV6" s="7">
        <f>AS6-AU6+AS7+AS5-AU5+AS4</f>
        <v>300</v>
      </c>
    </row>
    <row r="7" spans="1:49" ht="24.75" customHeight="1" thickBot="1" x14ac:dyDescent="0.3">
      <c r="B7" s="19"/>
      <c r="C7" s="746"/>
      <c r="D7" s="747"/>
      <c r="E7" s="748"/>
      <c r="F7" s="749"/>
      <c r="L7" s="19"/>
      <c r="M7" s="231"/>
      <c r="N7" s="232"/>
      <c r="O7" s="78"/>
      <c r="P7" s="62"/>
      <c r="V7" s="19"/>
      <c r="W7" s="746"/>
      <c r="X7" s="747"/>
      <c r="Y7" s="748"/>
      <c r="Z7" s="749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250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  <c r="AO9" s="80" t="s">
        <v>32</v>
      </c>
      <c r="AP9" s="83">
        <f>AT6-AQ9+AT5+AT7+AT4</f>
        <v>30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300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25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250</v>
      </c>
      <c r="AE10" s="194"/>
      <c r="AF10" s="897">
        <f t="shared" ref="AF10:AF73" si="5">AF9-AG10</f>
        <v>1</v>
      </c>
      <c r="AG10" s="821"/>
      <c r="AH10" s="702"/>
      <c r="AI10" s="733"/>
      <c r="AJ10" s="702">
        <f>AH10</f>
        <v>0</v>
      </c>
      <c r="AK10" s="700"/>
      <c r="AL10" s="701"/>
      <c r="AM10" s="737">
        <f>AM9-AJ10</f>
        <v>20</v>
      </c>
      <c r="AN10" s="735"/>
      <c r="AO10" s="194"/>
      <c r="AP10" s="897">
        <f t="shared" ref="AP10:AP73" si="6">AP9-AQ10</f>
        <v>30</v>
      </c>
      <c r="AQ10" s="821"/>
      <c r="AR10" s="702"/>
      <c r="AS10" s="733"/>
      <c r="AT10" s="702">
        <f>AR10</f>
        <v>0</v>
      </c>
      <c r="AU10" s="700"/>
      <c r="AV10" s="701"/>
      <c r="AW10" s="737">
        <f>AW9-AT10</f>
        <v>300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25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24">
        <f t="shared" ref="S11:S74" si="8">S10-P11</f>
        <v>220</v>
      </c>
      <c r="U11" s="182"/>
      <c r="V11" s="83">
        <f t="shared" si="3"/>
        <v>25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250</v>
      </c>
      <c r="AE11" s="182"/>
      <c r="AF11" s="897">
        <f t="shared" si="5"/>
        <v>1</v>
      </c>
      <c r="AG11" s="821"/>
      <c r="AH11" s="702"/>
      <c r="AI11" s="733"/>
      <c r="AJ11" s="702">
        <f>AH11</f>
        <v>0</v>
      </c>
      <c r="AK11" s="700"/>
      <c r="AL11" s="701"/>
      <c r="AM11" s="737">
        <f t="shared" ref="AM11:AM74" si="10">AM10-AJ11</f>
        <v>20</v>
      </c>
      <c r="AN11" s="735"/>
      <c r="AO11" s="182"/>
      <c r="AP11" s="897">
        <f t="shared" si="6"/>
        <v>30</v>
      </c>
      <c r="AQ11" s="821"/>
      <c r="AR11" s="702"/>
      <c r="AS11" s="733"/>
      <c r="AT11" s="702">
        <f>AR11</f>
        <v>0</v>
      </c>
      <c r="AU11" s="700"/>
      <c r="AV11" s="701"/>
      <c r="AW11" s="737">
        <f t="shared" ref="AW11:AW74" si="11">AW10-AT11</f>
        <v>300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9">
        <v>10</v>
      </c>
      <c r="O12" s="840">
        <v>44866</v>
      </c>
      <c r="P12" s="839">
        <f>N12</f>
        <v>10</v>
      </c>
      <c r="Q12" s="841" t="s">
        <v>235</v>
      </c>
      <c r="R12" s="842">
        <v>115</v>
      </c>
      <c r="S12" s="105">
        <f t="shared" si="8"/>
        <v>210</v>
      </c>
      <c r="U12" s="182"/>
      <c r="V12" s="83">
        <f t="shared" si="3"/>
        <v>25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250</v>
      </c>
      <c r="AE12" s="182"/>
      <c r="AF12" s="897">
        <f t="shared" si="5"/>
        <v>1</v>
      </c>
      <c r="AG12" s="821"/>
      <c r="AH12" s="702"/>
      <c r="AI12" s="733"/>
      <c r="AJ12" s="702">
        <f>AH12</f>
        <v>0</v>
      </c>
      <c r="AK12" s="700"/>
      <c r="AL12" s="701"/>
      <c r="AM12" s="737">
        <f t="shared" si="10"/>
        <v>20</v>
      </c>
      <c r="AN12" s="735"/>
      <c r="AO12" s="182"/>
      <c r="AP12" s="897">
        <f t="shared" si="6"/>
        <v>30</v>
      </c>
      <c r="AQ12" s="821"/>
      <c r="AR12" s="702"/>
      <c r="AS12" s="733"/>
      <c r="AT12" s="702">
        <f>AR12</f>
        <v>0</v>
      </c>
      <c r="AU12" s="700"/>
      <c r="AV12" s="701"/>
      <c r="AW12" s="737">
        <f t="shared" si="11"/>
        <v>300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9">
        <v>10</v>
      </c>
      <c r="O13" s="840">
        <v>44867</v>
      </c>
      <c r="P13" s="839">
        <f>N13</f>
        <v>10</v>
      </c>
      <c r="Q13" s="841" t="s">
        <v>239</v>
      </c>
      <c r="R13" s="842">
        <v>115</v>
      </c>
      <c r="S13" s="105">
        <f t="shared" si="8"/>
        <v>200</v>
      </c>
      <c r="U13" s="82" t="s">
        <v>33</v>
      </c>
      <c r="V13" s="83">
        <f t="shared" si="3"/>
        <v>25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250</v>
      </c>
      <c r="AE13" s="82" t="s">
        <v>33</v>
      </c>
      <c r="AF13" s="897">
        <f t="shared" si="5"/>
        <v>1</v>
      </c>
      <c r="AG13" s="821"/>
      <c r="AH13" s="702"/>
      <c r="AI13" s="733"/>
      <c r="AJ13" s="702">
        <f>AH13</f>
        <v>0</v>
      </c>
      <c r="AK13" s="700"/>
      <c r="AL13" s="701"/>
      <c r="AM13" s="737">
        <f t="shared" si="10"/>
        <v>20</v>
      </c>
      <c r="AN13" s="735"/>
      <c r="AO13" s="82" t="s">
        <v>33</v>
      </c>
      <c r="AP13" s="897">
        <f t="shared" si="6"/>
        <v>30</v>
      </c>
      <c r="AQ13" s="821"/>
      <c r="AR13" s="702"/>
      <c r="AS13" s="733"/>
      <c r="AT13" s="702">
        <f>AR13</f>
        <v>0</v>
      </c>
      <c r="AU13" s="700"/>
      <c r="AV13" s="701"/>
      <c r="AW13" s="737">
        <f t="shared" si="11"/>
        <v>300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9">
        <v>10</v>
      </c>
      <c r="O14" s="840">
        <v>44868</v>
      </c>
      <c r="P14" s="839">
        <f t="shared" ref="P14:P76" si="12">N14</f>
        <v>10</v>
      </c>
      <c r="Q14" s="841" t="s">
        <v>241</v>
      </c>
      <c r="R14" s="842">
        <v>115</v>
      </c>
      <c r="S14" s="105">
        <f t="shared" si="8"/>
        <v>190</v>
      </c>
      <c r="U14" s="73"/>
      <c r="V14" s="83">
        <f t="shared" si="3"/>
        <v>25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250</v>
      </c>
      <c r="AE14" s="73"/>
      <c r="AF14" s="897">
        <f t="shared" si="5"/>
        <v>1</v>
      </c>
      <c r="AG14" s="821"/>
      <c r="AH14" s="702"/>
      <c r="AI14" s="733"/>
      <c r="AJ14" s="702">
        <f t="shared" ref="AJ14:AJ76" si="13">AH14</f>
        <v>0</v>
      </c>
      <c r="AK14" s="700"/>
      <c r="AL14" s="701"/>
      <c r="AM14" s="737">
        <f t="shared" si="10"/>
        <v>20</v>
      </c>
      <c r="AN14" s="735"/>
      <c r="AO14" s="73"/>
      <c r="AP14" s="897">
        <f t="shared" si="6"/>
        <v>30</v>
      </c>
      <c r="AQ14" s="821"/>
      <c r="AR14" s="702"/>
      <c r="AS14" s="733"/>
      <c r="AT14" s="702">
        <f t="shared" ref="AT14:AT76" si="14">AR14</f>
        <v>0</v>
      </c>
      <c r="AU14" s="700"/>
      <c r="AV14" s="701"/>
      <c r="AW14" s="737">
        <f t="shared" si="11"/>
        <v>300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9">
        <v>10</v>
      </c>
      <c r="O15" s="840">
        <v>44869</v>
      </c>
      <c r="P15" s="839">
        <f t="shared" si="12"/>
        <v>10</v>
      </c>
      <c r="Q15" s="841" t="s">
        <v>242</v>
      </c>
      <c r="R15" s="842">
        <v>115</v>
      </c>
      <c r="S15" s="105">
        <f t="shared" si="8"/>
        <v>180</v>
      </c>
      <c r="U15" s="73"/>
      <c r="V15" s="83">
        <f t="shared" si="3"/>
        <v>25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250</v>
      </c>
      <c r="AE15" s="73" t="s">
        <v>22</v>
      </c>
      <c r="AF15" s="897">
        <f t="shared" si="5"/>
        <v>1</v>
      </c>
      <c r="AG15" s="821"/>
      <c r="AH15" s="702"/>
      <c r="AI15" s="733"/>
      <c r="AJ15" s="702">
        <f t="shared" si="13"/>
        <v>0</v>
      </c>
      <c r="AK15" s="700"/>
      <c r="AL15" s="701"/>
      <c r="AM15" s="737">
        <f t="shared" si="10"/>
        <v>20</v>
      </c>
      <c r="AN15" s="735"/>
      <c r="AO15" s="73" t="s">
        <v>22</v>
      </c>
      <c r="AP15" s="897">
        <f t="shared" si="6"/>
        <v>30</v>
      </c>
      <c r="AQ15" s="821"/>
      <c r="AR15" s="702"/>
      <c r="AS15" s="733"/>
      <c r="AT15" s="702">
        <f t="shared" si="14"/>
        <v>0</v>
      </c>
      <c r="AU15" s="700"/>
      <c r="AV15" s="701"/>
      <c r="AW15" s="737">
        <f t="shared" si="11"/>
        <v>300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9">
        <v>10</v>
      </c>
      <c r="O16" s="840">
        <v>44872</v>
      </c>
      <c r="P16" s="839">
        <f t="shared" si="12"/>
        <v>10</v>
      </c>
      <c r="Q16" s="841" t="s">
        <v>250</v>
      </c>
      <c r="R16" s="842">
        <v>115</v>
      </c>
      <c r="S16" s="105">
        <f t="shared" si="8"/>
        <v>170</v>
      </c>
      <c r="V16" s="83">
        <f t="shared" si="3"/>
        <v>25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250</v>
      </c>
      <c r="AF16" s="897">
        <f t="shared" si="5"/>
        <v>1</v>
      </c>
      <c r="AG16" s="821"/>
      <c r="AH16" s="702"/>
      <c r="AI16" s="733"/>
      <c r="AJ16" s="702">
        <f t="shared" si="13"/>
        <v>0</v>
      </c>
      <c r="AK16" s="700"/>
      <c r="AL16" s="701"/>
      <c r="AM16" s="737">
        <f t="shared" si="10"/>
        <v>20</v>
      </c>
      <c r="AN16" s="735"/>
      <c r="AP16" s="897">
        <f t="shared" si="6"/>
        <v>30</v>
      </c>
      <c r="AQ16" s="821"/>
      <c r="AR16" s="702"/>
      <c r="AS16" s="733"/>
      <c r="AT16" s="702">
        <f t="shared" si="14"/>
        <v>0</v>
      </c>
      <c r="AU16" s="700"/>
      <c r="AV16" s="701"/>
      <c r="AW16" s="737">
        <f t="shared" si="11"/>
        <v>300</v>
      </c>
    </row>
    <row r="17" spans="1:49" x14ac:dyDescent="0.25">
      <c r="B17" s="825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24">
        <f t="shared" si="7"/>
        <v>50</v>
      </c>
      <c r="L17" s="83">
        <f t="shared" si="2"/>
        <v>16</v>
      </c>
      <c r="M17" s="15">
        <v>1</v>
      </c>
      <c r="N17" s="839">
        <v>10</v>
      </c>
      <c r="O17" s="840">
        <v>44873</v>
      </c>
      <c r="P17" s="839">
        <f t="shared" si="12"/>
        <v>10</v>
      </c>
      <c r="Q17" s="841" t="s">
        <v>251</v>
      </c>
      <c r="R17" s="842">
        <v>115</v>
      </c>
      <c r="S17" s="105">
        <f t="shared" si="8"/>
        <v>160</v>
      </c>
      <c r="V17" s="897">
        <f t="shared" si="3"/>
        <v>25</v>
      </c>
      <c r="W17" s="714"/>
      <c r="X17" s="702"/>
      <c r="Y17" s="733"/>
      <c r="Z17" s="702">
        <f t="shared" si="4"/>
        <v>0</v>
      </c>
      <c r="AA17" s="700"/>
      <c r="AB17" s="701"/>
      <c r="AC17" s="737">
        <f t="shared" si="9"/>
        <v>250</v>
      </c>
      <c r="AF17" s="897">
        <f t="shared" si="5"/>
        <v>1</v>
      </c>
      <c r="AG17" s="821"/>
      <c r="AH17" s="702"/>
      <c r="AI17" s="733"/>
      <c r="AJ17" s="702">
        <f t="shared" si="13"/>
        <v>0</v>
      </c>
      <c r="AK17" s="700"/>
      <c r="AL17" s="701"/>
      <c r="AM17" s="737">
        <f t="shared" si="10"/>
        <v>20</v>
      </c>
      <c r="AN17" s="735"/>
      <c r="AP17" s="897">
        <f t="shared" si="6"/>
        <v>30</v>
      </c>
      <c r="AQ17" s="821"/>
      <c r="AR17" s="702"/>
      <c r="AS17" s="733"/>
      <c r="AT17" s="702">
        <f t="shared" si="14"/>
        <v>0</v>
      </c>
      <c r="AU17" s="700"/>
      <c r="AV17" s="701"/>
      <c r="AW17" s="737">
        <f t="shared" si="11"/>
        <v>300</v>
      </c>
    </row>
    <row r="18" spans="1:49" x14ac:dyDescent="0.25">
      <c r="A18" s="122"/>
      <c r="B18" s="83">
        <f t="shared" si="0"/>
        <v>5</v>
      </c>
      <c r="C18" s="73"/>
      <c r="D18" s="537"/>
      <c r="E18" s="732"/>
      <c r="F18" s="537">
        <f t="shared" si="1"/>
        <v>0</v>
      </c>
      <c r="G18" s="330"/>
      <c r="H18" s="331"/>
      <c r="I18" s="742">
        <f t="shared" si="7"/>
        <v>50</v>
      </c>
      <c r="K18" s="122"/>
      <c r="L18" s="83">
        <f t="shared" si="2"/>
        <v>15</v>
      </c>
      <c r="M18" s="15">
        <v>1</v>
      </c>
      <c r="N18" s="839">
        <v>10</v>
      </c>
      <c r="O18" s="840">
        <v>44875</v>
      </c>
      <c r="P18" s="839">
        <f t="shared" si="12"/>
        <v>10</v>
      </c>
      <c r="Q18" s="841" t="s">
        <v>261</v>
      </c>
      <c r="R18" s="842">
        <v>115</v>
      </c>
      <c r="S18" s="105">
        <f t="shared" si="8"/>
        <v>150</v>
      </c>
      <c r="U18" s="122"/>
      <c r="V18" s="897">
        <f t="shared" si="3"/>
        <v>25</v>
      </c>
      <c r="W18" s="714"/>
      <c r="X18" s="995"/>
      <c r="Y18" s="999"/>
      <c r="Z18" s="995">
        <f t="shared" si="4"/>
        <v>0</v>
      </c>
      <c r="AA18" s="996"/>
      <c r="AB18" s="997"/>
      <c r="AC18" s="1001">
        <f t="shared" si="9"/>
        <v>250</v>
      </c>
      <c r="AE18" s="122"/>
      <c r="AF18" s="897">
        <f t="shared" si="5"/>
        <v>1</v>
      </c>
      <c r="AG18" s="821"/>
      <c r="AH18" s="702"/>
      <c r="AI18" s="733"/>
      <c r="AJ18" s="702">
        <f t="shared" si="13"/>
        <v>0</v>
      </c>
      <c r="AK18" s="700"/>
      <c r="AL18" s="701"/>
      <c r="AM18" s="737">
        <f t="shared" si="10"/>
        <v>20</v>
      </c>
      <c r="AN18" s="735"/>
      <c r="AO18" s="122"/>
      <c r="AP18" s="897">
        <f t="shared" si="6"/>
        <v>30</v>
      </c>
      <c r="AQ18" s="821"/>
      <c r="AR18" s="702"/>
      <c r="AS18" s="733"/>
      <c r="AT18" s="702">
        <f t="shared" si="14"/>
        <v>0</v>
      </c>
      <c r="AU18" s="700"/>
      <c r="AV18" s="701"/>
      <c r="AW18" s="737">
        <f t="shared" si="11"/>
        <v>300</v>
      </c>
    </row>
    <row r="19" spans="1:49" x14ac:dyDescent="0.25">
      <c r="A19" s="122"/>
      <c r="B19" s="83">
        <f t="shared" si="0"/>
        <v>5</v>
      </c>
      <c r="C19" s="15"/>
      <c r="D19" s="537"/>
      <c r="E19" s="732"/>
      <c r="F19" s="537">
        <f t="shared" si="1"/>
        <v>0</v>
      </c>
      <c r="G19" s="330"/>
      <c r="H19" s="331"/>
      <c r="I19" s="742">
        <f t="shared" si="7"/>
        <v>50</v>
      </c>
      <c r="K19" s="122"/>
      <c r="L19" s="83">
        <f t="shared" si="2"/>
        <v>14</v>
      </c>
      <c r="M19" s="15">
        <v>1</v>
      </c>
      <c r="N19" s="839">
        <v>10</v>
      </c>
      <c r="O19" s="840">
        <v>44877</v>
      </c>
      <c r="P19" s="839">
        <f t="shared" si="12"/>
        <v>10</v>
      </c>
      <c r="Q19" s="841" t="s">
        <v>266</v>
      </c>
      <c r="R19" s="842">
        <v>115</v>
      </c>
      <c r="S19" s="105">
        <f t="shared" si="8"/>
        <v>140</v>
      </c>
      <c r="U19" s="122"/>
      <c r="V19" s="83">
        <f t="shared" si="3"/>
        <v>25</v>
      </c>
      <c r="W19" s="15"/>
      <c r="X19" s="537"/>
      <c r="Y19" s="732"/>
      <c r="Z19" s="537">
        <f t="shared" si="4"/>
        <v>0</v>
      </c>
      <c r="AA19" s="330"/>
      <c r="AB19" s="331"/>
      <c r="AC19" s="742">
        <f t="shared" si="9"/>
        <v>250</v>
      </c>
      <c r="AE19" s="122"/>
      <c r="AF19" s="897">
        <f t="shared" si="5"/>
        <v>1</v>
      </c>
      <c r="AG19" s="821"/>
      <c r="AH19" s="702"/>
      <c r="AI19" s="733"/>
      <c r="AJ19" s="702">
        <f t="shared" si="13"/>
        <v>0</v>
      </c>
      <c r="AK19" s="700"/>
      <c r="AL19" s="701"/>
      <c r="AM19" s="737">
        <f t="shared" si="10"/>
        <v>20</v>
      </c>
      <c r="AN19" s="735"/>
      <c r="AO19" s="122"/>
      <c r="AP19" s="897">
        <f t="shared" si="6"/>
        <v>30</v>
      </c>
      <c r="AQ19" s="821"/>
      <c r="AR19" s="702"/>
      <c r="AS19" s="733"/>
      <c r="AT19" s="702">
        <f t="shared" si="14"/>
        <v>0</v>
      </c>
      <c r="AU19" s="700"/>
      <c r="AV19" s="701"/>
      <c r="AW19" s="737">
        <f t="shared" si="11"/>
        <v>300</v>
      </c>
    </row>
    <row r="20" spans="1:49" x14ac:dyDescent="0.25">
      <c r="A20" s="122"/>
      <c r="B20" s="83">
        <f t="shared" si="0"/>
        <v>5</v>
      </c>
      <c r="C20" s="15"/>
      <c r="D20" s="537"/>
      <c r="E20" s="732"/>
      <c r="F20" s="537">
        <f t="shared" si="1"/>
        <v>0</v>
      </c>
      <c r="G20" s="330"/>
      <c r="H20" s="331"/>
      <c r="I20" s="742">
        <f t="shared" si="7"/>
        <v>50</v>
      </c>
      <c r="K20" s="122"/>
      <c r="L20" s="83">
        <f t="shared" si="2"/>
        <v>13</v>
      </c>
      <c r="M20" s="15">
        <v>1</v>
      </c>
      <c r="N20" s="839">
        <v>10</v>
      </c>
      <c r="O20" s="840">
        <v>44879</v>
      </c>
      <c r="P20" s="839">
        <f t="shared" si="12"/>
        <v>10</v>
      </c>
      <c r="Q20" s="841" t="s">
        <v>273</v>
      </c>
      <c r="R20" s="842">
        <v>115</v>
      </c>
      <c r="S20" s="105">
        <f t="shared" si="8"/>
        <v>130</v>
      </c>
      <c r="U20" s="122"/>
      <c r="V20" s="83">
        <f t="shared" si="3"/>
        <v>25</v>
      </c>
      <c r="W20" s="15"/>
      <c r="X20" s="537"/>
      <c r="Y20" s="732"/>
      <c r="Z20" s="537">
        <f t="shared" si="4"/>
        <v>0</v>
      </c>
      <c r="AA20" s="330"/>
      <c r="AB20" s="331"/>
      <c r="AC20" s="742">
        <f t="shared" si="9"/>
        <v>250</v>
      </c>
      <c r="AE20" s="122"/>
      <c r="AF20" s="897">
        <f t="shared" si="5"/>
        <v>1</v>
      </c>
      <c r="AG20" s="821"/>
      <c r="AH20" s="702"/>
      <c r="AI20" s="733"/>
      <c r="AJ20" s="702">
        <f t="shared" si="13"/>
        <v>0</v>
      </c>
      <c r="AK20" s="700"/>
      <c r="AL20" s="701"/>
      <c r="AM20" s="737">
        <f t="shared" si="10"/>
        <v>20</v>
      </c>
      <c r="AN20" s="735"/>
      <c r="AO20" s="122"/>
      <c r="AP20" s="897">
        <f t="shared" si="6"/>
        <v>30</v>
      </c>
      <c r="AQ20" s="821"/>
      <c r="AR20" s="702"/>
      <c r="AS20" s="733"/>
      <c r="AT20" s="702">
        <f t="shared" si="14"/>
        <v>0</v>
      </c>
      <c r="AU20" s="700"/>
      <c r="AV20" s="701"/>
      <c r="AW20" s="737">
        <f t="shared" si="11"/>
        <v>300</v>
      </c>
    </row>
    <row r="21" spans="1:49" x14ac:dyDescent="0.25">
      <c r="A21" s="122"/>
      <c r="B21" s="83">
        <f t="shared" si="0"/>
        <v>5</v>
      </c>
      <c r="C21" s="15"/>
      <c r="D21" s="537"/>
      <c r="E21" s="732"/>
      <c r="F21" s="537">
        <f t="shared" si="1"/>
        <v>0</v>
      </c>
      <c r="G21" s="330"/>
      <c r="H21" s="331"/>
      <c r="I21" s="742">
        <f t="shared" si="7"/>
        <v>50</v>
      </c>
      <c r="K21" s="122"/>
      <c r="L21" s="83">
        <f t="shared" si="2"/>
        <v>12</v>
      </c>
      <c r="M21" s="15">
        <v>1</v>
      </c>
      <c r="N21" s="839">
        <v>10</v>
      </c>
      <c r="O21" s="840">
        <v>44880</v>
      </c>
      <c r="P21" s="839">
        <f t="shared" si="12"/>
        <v>10</v>
      </c>
      <c r="Q21" s="841" t="s">
        <v>277</v>
      </c>
      <c r="R21" s="842">
        <v>115</v>
      </c>
      <c r="S21" s="105">
        <f t="shared" si="8"/>
        <v>120</v>
      </c>
      <c r="U21" s="122"/>
      <c r="V21" s="83">
        <f t="shared" si="3"/>
        <v>25</v>
      </c>
      <c r="W21" s="15"/>
      <c r="X21" s="537"/>
      <c r="Y21" s="732"/>
      <c r="Z21" s="537">
        <f t="shared" si="4"/>
        <v>0</v>
      </c>
      <c r="AA21" s="330"/>
      <c r="AB21" s="331"/>
      <c r="AC21" s="742">
        <f t="shared" si="9"/>
        <v>250</v>
      </c>
      <c r="AE21" s="122"/>
      <c r="AF21" s="897">
        <f t="shared" si="5"/>
        <v>1</v>
      </c>
      <c r="AG21" s="821"/>
      <c r="AH21" s="702"/>
      <c r="AI21" s="733"/>
      <c r="AJ21" s="702">
        <f t="shared" si="13"/>
        <v>0</v>
      </c>
      <c r="AK21" s="700"/>
      <c r="AL21" s="701"/>
      <c r="AM21" s="737">
        <f t="shared" si="10"/>
        <v>20</v>
      </c>
      <c r="AN21" s="735"/>
      <c r="AO21" s="122"/>
      <c r="AP21" s="897">
        <f t="shared" si="6"/>
        <v>30</v>
      </c>
      <c r="AQ21" s="821"/>
      <c r="AR21" s="702"/>
      <c r="AS21" s="733"/>
      <c r="AT21" s="702">
        <f t="shared" si="14"/>
        <v>0</v>
      </c>
      <c r="AU21" s="700"/>
      <c r="AV21" s="701"/>
      <c r="AW21" s="737">
        <f t="shared" si="11"/>
        <v>300</v>
      </c>
    </row>
    <row r="22" spans="1:49" x14ac:dyDescent="0.25">
      <c r="A22" s="122"/>
      <c r="B22" s="233">
        <f t="shared" si="0"/>
        <v>5</v>
      </c>
      <c r="C22" s="15"/>
      <c r="D22" s="537"/>
      <c r="E22" s="732"/>
      <c r="F22" s="537">
        <f t="shared" si="1"/>
        <v>0</v>
      </c>
      <c r="G22" s="330"/>
      <c r="H22" s="331"/>
      <c r="I22" s="742">
        <f t="shared" si="7"/>
        <v>50</v>
      </c>
      <c r="K22" s="122"/>
      <c r="L22" s="233">
        <f t="shared" si="2"/>
        <v>11</v>
      </c>
      <c r="M22" s="15">
        <v>1</v>
      </c>
      <c r="N22" s="839">
        <v>10</v>
      </c>
      <c r="O22" s="840">
        <v>44881</v>
      </c>
      <c r="P22" s="839">
        <f t="shared" si="12"/>
        <v>10</v>
      </c>
      <c r="Q22" s="841" t="s">
        <v>279</v>
      </c>
      <c r="R22" s="842">
        <v>115</v>
      </c>
      <c r="S22" s="105">
        <f t="shared" si="8"/>
        <v>110</v>
      </c>
      <c r="U22" s="122"/>
      <c r="V22" s="233">
        <f t="shared" si="3"/>
        <v>25</v>
      </c>
      <c r="W22" s="15"/>
      <c r="X22" s="537"/>
      <c r="Y22" s="732"/>
      <c r="Z22" s="537">
        <f t="shared" si="4"/>
        <v>0</v>
      </c>
      <c r="AA22" s="330"/>
      <c r="AB22" s="331"/>
      <c r="AC22" s="742">
        <f t="shared" si="9"/>
        <v>250</v>
      </c>
      <c r="AE22" s="122"/>
      <c r="AF22" s="1057">
        <f t="shared" si="5"/>
        <v>1</v>
      </c>
      <c r="AG22" s="821"/>
      <c r="AH22" s="702"/>
      <c r="AI22" s="733"/>
      <c r="AJ22" s="702">
        <f t="shared" si="13"/>
        <v>0</v>
      </c>
      <c r="AK22" s="700"/>
      <c r="AL22" s="701"/>
      <c r="AM22" s="737">
        <f t="shared" si="10"/>
        <v>20</v>
      </c>
      <c r="AN22" s="735"/>
      <c r="AO22" s="122"/>
      <c r="AP22" s="1057">
        <f t="shared" si="6"/>
        <v>30</v>
      </c>
      <c r="AQ22" s="821"/>
      <c r="AR22" s="702"/>
      <c r="AS22" s="733"/>
      <c r="AT22" s="702">
        <f t="shared" si="14"/>
        <v>0</v>
      </c>
      <c r="AU22" s="700"/>
      <c r="AV22" s="701"/>
      <c r="AW22" s="737">
        <f t="shared" si="11"/>
        <v>300</v>
      </c>
    </row>
    <row r="23" spans="1:49" x14ac:dyDescent="0.25">
      <c r="A23" s="123"/>
      <c r="B23" s="233">
        <f t="shared" si="0"/>
        <v>5</v>
      </c>
      <c r="C23" s="15"/>
      <c r="D23" s="537"/>
      <c r="E23" s="732"/>
      <c r="F23" s="537">
        <f t="shared" si="1"/>
        <v>0</v>
      </c>
      <c r="G23" s="330"/>
      <c r="H23" s="331"/>
      <c r="I23" s="742">
        <f t="shared" si="7"/>
        <v>50</v>
      </c>
      <c r="K23" s="123"/>
      <c r="L23" s="233">
        <f t="shared" si="2"/>
        <v>10</v>
      </c>
      <c r="M23" s="15">
        <v>1</v>
      </c>
      <c r="N23" s="839">
        <v>10</v>
      </c>
      <c r="O23" s="840">
        <v>44884</v>
      </c>
      <c r="P23" s="839">
        <f t="shared" si="12"/>
        <v>10</v>
      </c>
      <c r="Q23" s="841" t="s">
        <v>291</v>
      </c>
      <c r="R23" s="842">
        <v>115</v>
      </c>
      <c r="S23" s="105">
        <f t="shared" si="8"/>
        <v>100</v>
      </c>
      <c r="U23" s="123"/>
      <c r="V23" s="233">
        <f t="shared" si="3"/>
        <v>25</v>
      </c>
      <c r="W23" s="15"/>
      <c r="X23" s="537"/>
      <c r="Y23" s="732"/>
      <c r="Z23" s="537">
        <f t="shared" si="4"/>
        <v>0</v>
      </c>
      <c r="AA23" s="330"/>
      <c r="AB23" s="331"/>
      <c r="AC23" s="742">
        <f t="shared" si="9"/>
        <v>250</v>
      </c>
      <c r="AE23" s="123"/>
      <c r="AF23" s="1057">
        <f t="shared" si="5"/>
        <v>1</v>
      </c>
      <c r="AG23" s="821"/>
      <c r="AH23" s="702"/>
      <c r="AI23" s="733"/>
      <c r="AJ23" s="702">
        <f t="shared" si="13"/>
        <v>0</v>
      </c>
      <c r="AK23" s="700"/>
      <c r="AL23" s="701"/>
      <c r="AM23" s="737">
        <f t="shared" si="10"/>
        <v>20</v>
      </c>
      <c r="AN23" s="735"/>
      <c r="AO23" s="123"/>
      <c r="AP23" s="1057">
        <f t="shared" si="6"/>
        <v>30</v>
      </c>
      <c r="AQ23" s="821"/>
      <c r="AR23" s="702"/>
      <c r="AS23" s="733"/>
      <c r="AT23" s="702">
        <f t="shared" si="14"/>
        <v>0</v>
      </c>
      <c r="AU23" s="700"/>
      <c r="AV23" s="701"/>
      <c r="AW23" s="737">
        <f t="shared" si="11"/>
        <v>300</v>
      </c>
    </row>
    <row r="24" spans="1:49" x14ac:dyDescent="0.25">
      <c r="A24" s="122"/>
      <c r="B24" s="233">
        <f t="shared" si="0"/>
        <v>5</v>
      </c>
      <c r="C24" s="15"/>
      <c r="D24" s="537"/>
      <c r="E24" s="732"/>
      <c r="F24" s="537">
        <f t="shared" si="1"/>
        <v>0</v>
      </c>
      <c r="G24" s="330"/>
      <c r="H24" s="331"/>
      <c r="I24" s="742">
        <f t="shared" si="7"/>
        <v>50</v>
      </c>
      <c r="K24" s="122"/>
      <c r="L24" s="233">
        <f t="shared" si="2"/>
        <v>9</v>
      </c>
      <c r="M24" s="15">
        <v>1</v>
      </c>
      <c r="N24" s="839">
        <v>10</v>
      </c>
      <c r="O24" s="840">
        <v>44888</v>
      </c>
      <c r="P24" s="839">
        <f t="shared" si="12"/>
        <v>10</v>
      </c>
      <c r="Q24" s="841" t="s">
        <v>298</v>
      </c>
      <c r="R24" s="842">
        <v>115</v>
      </c>
      <c r="S24" s="105">
        <f t="shared" si="8"/>
        <v>90</v>
      </c>
      <c r="U24" s="122"/>
      <c r="V24" s="233">
        <f t="shared" si="3"/>
        <v>25</v>
      </c>
      <c r="W24" s="15"/>
      <c r="X24" s="537"/>
      <c r="Y24" s="732"/>
      <c r="Z24" s="537">
        <f t="shared" si="4"/>
        <v>0</v>
      </c>
      <c r="AA24" s="330"/>
      <c r="AB24" s="331"/>
      <c r="AC24" s="742">
        <f t="shared" si="9"/>
        <v>250</v>
      </c>
      <c r="AE24" s="122"/>
      <c r="AF24" s="1057">
        <f t="shared" si="5"/>
        <v>1</v>
      </c>
      <c r="AG24" s="821"/>
      <c r="AH24" s="702"/>
      <c r="AI24" s="733"/>
      <c r="AJ24" s="702">
        <f t="shared" si="13"/>
        <v>0</v>
      </c>
      <c r="AK24" s="700"/>
      <c r="AL24" s="701"/>
      <c r="AM24" s="737">
        <f t="shared" si="10"/>
        <v>20</v>
      </c>
      <c r="AN24" s="735"/>
      <c r="AO24" s="122"/>
      <c r="AP24" s="1057">
        <f t="shared" si="6"/>
        <v>30</v>
      </c>
      <c r="AQ24" s="821"/>
      <c r="AR24" s="702"/>
      <c r="AS24" s="733"/>
      <c r="AT24" s="702">
        <f t="shared" si="14"/>
        <v>0</v>
      </c>
      <c r="AU24" s="700"/>
      <c r="AV24" s="701"/>
      <c r="AW24" s="737">
        <f t="shared" si="11"/>
        <v>300</v>
      </c>
    </row>
    <row r="25" spans="1:49" x14ac:dyDescent="0.25">
      <c r="A25" s="122"/>
      <c r="B25" s="233">
        <f t="shared" si="0"/>
        <v>5</v>
      </c>
      <c r="C25" s="15"/>
      <c r="D25" s="537"/>
      <c r="E25" s="732"/>
      <c r="F25" s="537">
        <f t="shared" si="1"/>
        <v>0</v>
      </c>
      <c r="G25" s="330"/>
      <c r="H25" s="331"/>
      <c r="I25" s="742">
        <f t="shared" si="7"/>
        <v>50</v>
      </c>
      <c r="K25" s="122"/>
      <c r="L25" s="854">
        <f t="shared" si="2"/>
        <v>8</v>
      </c>
      <c r="M25" s="15">
        <v>1</v>
      </c>
      <c r="N25" s="839">
        <v>10</v>
      </c>
      <c r="O25" s="840">
        <v>44889</v>
      </c>
      <c r="P25" s="839">
        <f t="shared" si="12"/>
        <v>10</v>
      </c>
      <c r="Q25" s="841" t="s">
        <v>303</v>
      </c>
      <c r="R25" s="842">
        <v>115</v>
      </c>
      <c r="S25" s="824">
        <f t="shared" si="8"/>
        <v>80</v>
      </c>
      <c r="U25" s="122"/>
      <c r="V25" s="233">
        <f t="shared" si="3"/>
        <v>25</v>
      </c>
      <c r="W25" s="15"/>
      <c r="X25" s="537"/>
      <c r="Y25" s="732"/>
      <c r="Z25" s="537">
        <f t="shared" si="4"/>
        <v>0</v>
      </c>
      <c r="AA25" s="330"/>
      <c r="AB25" s="331"/>
      <c r="AC25" s="742">
        <f t="shared" si="9"/>
        <v>250</v>
      </c>
      <c r="AE25" s="122"/>
      <c r="AF25" s="1057">
        <f t="shared" si="5"/>
        <v>1</v>
      </c>
      <c r="AG25" s="821"/>
      <c r="AH25" s="702"/>
      <c r="AI25" s="733"/>
      <c r="AJ25" s="702">
        <f t="shared" si="13"/>
        <v>0</v>
      </c>
      <c r="AK25" s="700"/>
      <c r="AL25" s="701"/>
      <c r="AM25" s="737">
        <f t="shared" si="10"/>
        <v>20</v>
      </c>
      <c r="AN25" s="735"/>
      <c r="AO25" s="122"/>
      <c r="AP25" s="1057">
        <f t="shared" si="6"/>
        <v>30</v>
      </c>
      <c r="AQ25" s="821"/>
      <c r="AR25" s="702"/>
      <c r="AS25" s="733"/>
      <c r="AT25" s="702">
        <f t="shared" si="14"/>
        <v>0</v>
      </c>
      <c r="AU25" s="700"/>
      <c r="AV25" s="701"/>
      <c r="AW25" s="737">
        <f t="shared" si="11"/>
        <v>300</v>
      </c>
    </row>
    <row r="26" spans="1:49" x14ac:dyDescent="0.25">
      <c r="A26" s="122"/>
      <c r="B26" s="182">
        <f t="shared" si="0"/>
        <v>5</v>
      </c>
      <c r="C26" s="15"/>
      <c r="D26" s="537"/>
      <c r="E26" s="732"/>
      <c r="F26" s="537">
        <f t="shared" si="1"/>
        <v>0</v>
      </c>
      <c r="G26" s="330"/>
      <c r="H26" s="331"/>
      <c r="I26" s="742">
        <f t="shared" si="7"/>
        <v>50</v>
      </c>
      <c r="K26" s="122"/>
      <c r="L26" s="182">
        <f t="shared" si="2"/>
        <v>8</v>
      </c>
      <c r="M26" s="15"/>
      <c r="N26" s="537"/>
      <c r="O26" s="732"/>
      <c r="P26" s="537">
        <f t="shared" si="12"/>
        <v>0</v>
      </c>
      <c r="Q26" s="330"/>
      <c r="R26" s="331"/>
      <c r="S26" s="105">
        <f t="shared" si="8"/>
        <v>80</v>
      </c>
      <c r="U26" s="122"/>
      <c r="V26" s="182">
        <f t="shared" si="3"/>
        <v>25</v>
      </c>
      <c r="W26" s="15"/>
      <c r="X26" s="537"/>
      <c r="Y26" s="732"/>
      <c r="Z26" s="537">
        <f t="shared" si="4"/>
        <v>0</v>
      </c>
      <c r="AA26" s="330"/>
      <c r="AB26" s="331"/>
      <c r="AC26" s="742">
        <f t="shared" si="9"/>
        <v>250</v>
      </c>
      <c r="AE26" s="122"/>
      <c r="AF26" s="889">
        <f t="shared" si="5"/>
        <v>1</v>
      </c>
      <c r="AG26" s="821"/>
      <c r="AH26" s="702"/>
      <c r="AI26" s="733"/>
      <c r="AJ26" s="702">
        <f t="shared" si="13"/>
        <v>0</v>
      </c>
      <c r="AK26" s="700"/>
      <c r="AL26" s="701"/>
      <c r="AM26" s="737">
        <f t="shared" si="10"/>
        <v>20</v>
      </c>
      <c r="AN26" s="735"/>
      <c r="AO26" s="122"/>
      <c r="AP26" s="889">
        <f t="shared" si="6"/>
        <v>30</v>
      </c>
      <c r="AQ26" s="821"/>
      <c r="AR26" s="702"/>
      <c r="AS26" s="733"/>
      <c r="AT26" s="702">
        <f t="shared" si="14"/>
        <v>0</v>
      </c>
      <c r="AU26" s="700"/>
      <c r="AV26" s="701"/>
      <c r="AW26" s="737">
        <f t="shared" si="11"/>
        <v>300</v>
      </c>
    </row>
    <row r="27" spans="1:49" x14ac:dyDescent="0.25">
      <c r="A27" s="122"/>
      <c r="B27" s="233">
        <f t="shared" si="0"/>
        <v>5</v>
      </c>
      <c r="C27" s="15"/>
      <c r="D27" s="537"/>
      <c r="E27" s="732"/>
      <c r="F27" s="537">
        <f t="shared" si="1"/>
        <v>0</v>
      </c>
      <c r="G27" s="330"/>
      <c r="H27" s="331"/>
      <c r="I27" s="742">
        <f t="shared" si="7"/>
        <v>50</v>
      </c>
      <c r="K27" s="122"/>
      <c r="L27" s="233">
        <f t="shared" si="2"/>
        <v>8</v>
      </c>
      <c r="M27" s="15"/>
      <c r="N27" s="537"/>
      <c r="O27" s="732"/>
      <c r="P27" s="537">
        <f t="shared" si="12"/>
        <v>0</v>
      </c>
      <c r="Q27" s="330"/>
      <c r="R27" s="331"/>
      <c r="S27" s="105">
        <f t="shared" si="8"/>
        <v>80</v>
      </c>
      <c r="U27" s="122"/>
      <c r="V27" s="233">
        <f t="shared" si="3"/>
        <v>25</v>
      </c>
      <c r="W27" s="15"/>
      <c r="X27" s="537"/>
      <c r="Y27" s="732"/>
      <c r="Z27" s="537">
        <f t="shared" si="4"/>
        <v>0</v>
      </c>
      <c r="AA27" s="330"/>
      <c r="AB27" s="331"/>
      <c r="AC27" s="742">
        <f t="shared" si="9"/>
        <v>250</v>
      </c>
      <c r="AE27" s="122"/>
      <c r="AF27" s="1057">
        <f t="shared" si="5"/>
        <v>1</v>
      </c>
      <c r="AG27" s="821"/>
      <c r="AH27" s="702"/>
      <c r="AI27" s="733"/>
      <c r="AJ27" s="702">
        <f t="shared" si="13"/>
        <v>0</v>
      </c>
      <c r="AK27" s="700"/>
      <c r="AL27" s="701"/>
      <c r="AM27" s="737">
        <f t="shared" si="10"/>
        <v>20</v>
      </c>
      <c r="AN27" s="735"/>
      <c r="AO27" s="122"/>
      <c r="AP27" s="1057">
        <f t="shared" si="6"/>
        <v>30</v>
      </c>
      <c r="AQ27" s="821"/>
      <c r="AR27" s="702"/>
      <c r="AS27" s="733"/>
      <c r="AT27" s="702">
        <f t="shared" si="14"/>
        <v>0</v>
      </c>
      <c r="AU27" s="700"/>
      <c r="AV27" s="701"/>
      <c r="AW27" s="737">
        <f t="shared" si="11"/>
        <v>300</v>
      </c>
    </row>
    <row r="28" spans="1:49" x14ac:dyDescent="0.25">
      <c r="A28" s="122"/>
      <c r="B28" s="182">
        <f t="shared" si="0"/>
        <v>5</v>
      </c>
      <c r="C28" s="15"/>
      <c r="D28" s="537"/>
      <c r="E28" s="732"/>
      <c r="F28" s="537">
        <f t="shared" si="1"/>
        <v>0</v>
      </c>
      <c r="G28" s="330"/>
      <c r="H28" s="331"/>
      <c r="I28" s="742">
        <f t="shared" si="7"/>
        <v>50</v>
      </c>
      <c r="K28" s="122"/>
      <c r="L28" s="182">
        <f t="shared" si="2"/>
        <v>8</v>
      </c>
      <c r="M28" s="15"/>
      <c r="N28" s="537"/>
      <c r="O28" s="732"/>
      <c r="P28" s="537">
        <f t="shared" si="12"/>
        <v>0</v>
      </c>
      <c r="Q28" s="330"/>
      <c r="R28" s="331"/>
      <c r="S28" s="105">
        <f t="shared" si="8"/>
        <v>80</v>
      </c>
      <c r="U28" s="122"/>
      <c r="V28" s="182">
        <f t="shared" si="3"/>
        <v>25</v>
      </c>
      <c r="W28" s="15"/>
      <c r="X28" s="537"/>
      <c r="Y28" s="732"/>
      <c r="Z28" s="537">
        <f t="shared" si="4"/>
        <v>0</v>
      </c>
      <c r="AA28" s="330"/>
      <c r="AB28" s="331"/>
      <c r="AC28" s="742">
        <f t="shared" si="9"/>
        <v>250</v>
      </c>
      <c r="AE28" s="122"/>
      <c r="AF28" s="889">
        <f t="shared" si="5"/>
        <v>1</v>
      </c>
      <c r="AG28" s="821"/>
      <c r="AH28" s="702"/>
      <c r="AI28" s="733"/>
      <c r="AJ28" s="702">
        <f t="shared" si="13"/>
        <v>0</v>
      </c>
      <c r="AK28" s="700"/>
      <c r="AL28" s="701"/>
      <c r="AM28" s="737">
        <f t="shared" si="10"/>
        <v>20</v>
      </c>
      <c r="AN28" s="735"/>
      <c r="AO28" s="122"/>
      <c r="AP28" s="889">
        <f t="shared" si="6"/>
        <v>30</v>
      </c>
      <c r="AQ28" s="821"/>
      <c r="AR28" s="702"/>
      <c r="AS28" s="733"/>
      <c r="AT28" s="702">
        <f t="shared" si="14"/>
        <v>0</v>
      </c>
      <c r="AU28" s="700"/>
      <c r="AV28" s="701"/>
      <c r="AW28" s="737">
        <f t="shared" si="11"/>
        <v>300</v>
      </c>
    </row>
    <row r="29" spans="1:49" x14ac:dyDescent="0.25">
      <c r="A29" s="122"/>
      <c r="B29" s="233">
        <f t="shared" si="0"/>
        <v>5</v>
      </c>
      <c r="C29" s="15"/>
      <c r="D29" s="537"/>
      <c r="E29" s="732"/>
      <c r="F29" s="537">
        <f t="shared" si="1"/>
        <v>0</v>
      </c>
      <c r="G29" s="330"/>
      <c r="H29" s="331"/>
      <c r="I29" s="742">
        <f t="shared" si="7"/>
        <v>50</v>
      </c>
      <c r="K29" s="122"/>
      <c r="L29" s="233">
        <f t="shared" si="2"/>
        <v>8</v>
      </c>
      <c r="M29" s="15"/>
      <c r="N29" s="537"/>
      <c r="O29" s="732"/>
      <c r="P29" s="537">
        <f t="shared" si="12"/>
        <v>0</v>
      </c>
      <c r="Q29" s="330"/>
      <c r="R29" s="331"/>
      <c r="S29" s="105">
        <f t="shared" si="8"/>
        <v>80</v>
      </c>
      <c r="U29" s="122"/>
      <c r="V29" s="233">
        <f t="shared" si="3"/>
        <v>25</v>
      </c>
      <c r="W29" s="15"/>
      <c r="X29" s="537"/>
      <c r="Y29" s="732"/>
      <c r="Z29" s="537">
        <f t="shared" si="4"/>
        <v>0</v>
      </c>
      <c r="AA29" s="330"/>
      <c r="AB29" s="331"/>
      <c r="AC29" s="742">
        <f t="shared" si="9"/>
        <v>250</v>
      </c>
      <c r="AE29" s="122"/>
      <c r="AF29" s="233">
        <f t="shared" si="5"/>
        <v>1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20</v>
      </c>
      <c r="AO29" s="122"/>
      <c r="AP29" s="233">
        <f t="shared" si="6"/>
        <v>30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300</v>
      </c>
    </row>
    <row r="30" spans="1:49" x14ac:dyDescent="0.25">
      <c r="A30" s="122"/>
      <c r="B30" s="233">
        <f t="shared" si="0"/>
        <v>5</v>
      </c>
      <c r="C30" s="15"/>
      <c r="D30" s="537"/>
      <c r="E30" s="732"/>
      <c r="F30" s="537">
        <f t="shared" si="1"/>
        <v>0</v>
      </c>
      <c r="G30" s="330"/>
      <c r="H30" s="331"/>
      <c r="I30" s="742">
        <f t="shared" si="7"/>
        <v>50</v>
      </c>
      <c r="K30" s="122"/>
      <c r="L30" s="233">
        <f t="shared" si="2"/>
        <v>8</v>
      </c>
      <c r="M30" s="15"/>
      <c r="N30" s="537"/>
      <c r="O30" s="732"/>
      <c r="P30" s="537">
        <f t="shared" si="12"/>
        <v>0</v>
      </c>
      <c r="Q30" s="330"/>
      <c r="R30" s="331"/>
      <c r="S30" s="105">
        <f t="shared" si="8"/>
        <v>80</v>
      </c>
      <c r="U30" s="122"/>
      <c r="V30" s="233">
        <f t="shared" si="3"/>
        <v>25</v>
      </c>
      <c r="W30" s="15"/>
      <c r="X30" s="537"/>
      <c r="Y30" s="732"/>
      <c r="Z30" s="537">
        <f t="shared" si="4"/>
        <v>0</v>
      </c>
      <c r="AA30" s="330"/>
      <c r="AB30" s="331"/>
      <c r="AC30" s="742">
        <f t="shared" si="9"/>
        <v>250</v>
      </c>
      <c r="AE30" s="122"/>
      <c r="AF30" s="233">
        <f t="shared" si="5"/>
        <v>1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20</v>
      </c>
      <c r="AO30" s="122"/>
      <c r="AP30" s="233">
        <f t="shared" si="6"/>
        <v>30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300</v>
      </c>
    </row>
    <row r="31" spans="1:49" x14ac:dyDescent="0.25">
      <c r="A31" s="122"/>
      <c r="B31" s="233">
        <f t="shared" si="0"/>
        <v>5</v>
      </c>
      <c r="C31" s="15"/>
      <c r="D31" s="537"/>
      <c r="E31" s="732"/>
      <c r="F31" s="537">
        <f t="shared" si="1"/>
        <v>0</v>
      </c>
      <c r="G31" s="330"/>
      <c r="H31" s="331"/>
      <c r="I31" s="742">
        <f t="shared" si="7"/>
        <v>50</v>
      </c>
      <c r="K31" s="122"/>
      <c r="L31" s="233">
        <f t="shared" si="2"/>
        <v>8</v>
      </c>
      <c r="M31" s="15"/>
      <c r="N31" s="537"/>
      <c r="O31" s="732"/>
      <c r="P31" s="537">
        <f t="shared" si="12"/>
        <v>0</v>
      </c>
      <c r="Q31" s="330"/>
      <c r="R31" s="331"/>
      <c r="S31" s="105">
        <f t="shared" si="8"/>
        <v>80</v>
      </c>
      <c r="U31" s="122"/>
      <c r="V31" s="233">
        <f t="shared" si="3"/>
        <v>25</v>
      </c>
      <c r="W31" s="15"/>
      <c r="X31" s="537"/>
      <c r="Y31" s="732"/>
      <c r="Z31" s="537">
        <f t="shared" si="4"/>
        <v>0</v>
      </c>
      <c r="AA31" s="330"/>
      <c r="AB31" s="331"/>
      <c r="AC31" s="742">
        <f t="shared" si="9"/>
        <v>250</v>
      </c>
      <c r="AE31" s="122"/>
      <c r="AF31" s="233">
        <f t="shared" si="5"/>
        <v>1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20</v>
      </c>
      <c r="AO31" s="122"/>
      <c r="AP31" s="233">
        <f t="shared" si="6"/>
        <v>30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300</v>
      </c>
    </row>
    <row r="32" spans="1:49" x14ac:dyDescent="0.25">
      <c r="A32" s="122"/>
      <c r="B32" s="233">
        <f t="shared" si="0"/>
        <v>5</v>
      </c>
      <c r="C32" s="15"/>
      <c r="D32" s="537"/>
      <c r="E32" s="732"/>
      <c r="F32" s="537">
        <f t="shared" si="1"/>
        <v>0</v>
      </c>
      <c r="G32" s="330"/>
      <c r="H32" s="331"/>
      <c r="I32" s="742">
        <f t="shared" si="7"/>
        <v>50</v>
      </c>
      <c r="K32" s="122"/>
      <c r="L32" s="233">
        <f t="shared" si="2"/>
        <v>8</v>
      </c>
      <c r="M32" s="15"/>
      <c r="N32" s="537"/>
      <c r="O32" s="732"/>
      <c r="P32" s="537">
        <f t="shared" si="12"/>
        <v>0</v>
      </c>
      <c r="Q32" s="330"/>
      <c r="R32" s="331"/>
      <c r="S32" s="105">
        <f t="shared" si="8"/>
        <v>80</v>
      </c>
      <c r="U32" s="122"/>
      <c r="V32" s="233">
        <f t="shared" si="3"/>
        <v>25</v>
      </c>
      <c r="W32" s="15"/>
      <c r="X32" s="537"/>
      <c r="Y32" s="732"/>
      <c r="Z32" s="537">
        <f t="shared" si="4"/>
        <v>0</v>
      </c>
      <c r="AA32" s="330"/>
      <c r="AB32" s="331"/>
      <c r="AC32" s="742">
        <f t="shared" si="9"/>
        <v>250</v>
      </c>
      <c r="AE32" s="122"/>
      <c r="AF32" s="233">
        <f t="shared" si="5"/>
        <v>1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20</v>
      </c>
      <c r="AO32" s="122"/>
      <c r="AP32" s="233">
        <f t="shared" si="6"/>
        <v>30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300</v>
      </c>
    </row>
    <row r="33" spans="1:49" x14ac:dyDescent="0.25">
      <c r="A33" s="122"/>
      <c r="B33" s="233">
        <f t="shared" si="0"/>
        <v>5</v>
      </c>
      <c r="C33" s="15"/>
      <c r="D33" s="537"/>
      <c r="E33" s="732"/>
      <c r="F33" s="537">
        <f t="shared" si="1"/>
        <v>0</v>
      </c>
      <c r="G33" s="330"/>
      <c r="H33" s="331"/>
      <c r="I33" s="742">
        <f t="shared" si="7"/>
        <v>50</v>
      </c>
      <c r="K33" s="122"/>
      <c r="L33" s="233">
        <f t="shared" si="2"/>
        <v>8</v>
      </c>
      <c r="M33" s="15"/>
      <c r="N33" s="537"/>
      <c r="O33" s="732"/>
      <c r="P33" s="537">
        <f t="shared" si="12"/>
        <v>0</v>
      </c>
      <c r="Q33" s="330"/>
      <c r="R33" s="331"/>
      <c r="S33" s="105">
        <f t="shared" si="8"/>
        <v>80</v>
      </c>
      <c r="U33" s="122"/>
      <c r="V33" s="233">
        <f t="shared" si="3"/>
        <v>25</v>
      </c>
      <c r="W33" s="15"/>
      <c r="X33" s="537"/>
      <c r="Y33" s="732"/>
      <c r="Z33" s="537">
        <f t="shared" si="4"/>
        <v>0</v>
      </c>
      <c r="AA33" s="330"/>
      <c r="AB33" s="331"/>
      <c r="AC33" s="742">
        <f t="shared" si="9"/>
        <v>250</v>
      </c>
      <c r="AE33" s="122"/>
      <c r="AF33" s="233">
        <f t="shared" si="5"/>
        <v>1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20</v>
      </c>
      <c r="AO33" s="122"/>
      <c r="AP33" s="233">
        <f t="shared" si="6"/>
        <v>30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300</v>
      </c>
    </row>
    <row r="34" spans="1:49" x14ac:dyDescent="0.25">
      <c r="A34" s="122"/>
      <c r="B34" s="233">
        <f t="shared" si="0"/>
        <v>5</v>
      </c>
      <c r="C34" s="15"/>
      <c r="D34" s="537"/>
      <c r="E34" s="732"/>
      <c r="F34" s="537">
        <f t="shared" si="1"/>
        <v>0</v>
      </c>
      <c r="G34" s="330"/>
      <c r="H34" s="331"/>
      <c r="I34" s="742">
        <f t="shared" si="7"/>
        <v>50</v>
      </c>
      <c r="K34" s="122"/>
      <c r="L34" s="233">
        <f t="shared" si="2"/>
        <v>8</v>
      </c>
      <c r="M34" s="15"/>
      <c r="N34" s="537"/>
      <c r="O34" s="732"/>
      <c r="P34" s="537">
        <f t="shared" si="12"/>
        <v>0</v>
      </c>
      <c r="Q34" s="330"/>
      <c r="R34" s="331"/>
      <c r="S34" s="105">
        <f t="shared" si="8"/>
        <v>80</v>
      </c>
      <c r="U34" s="122"/>
      <c r="V34" s="233">
        <f t="shared" si="3"/>
        <v>25</v>
      </c>
      <c r="W34" s="15"/>
      <c r="X34" s="537"/>
      <c r="Y34" s="732"/>
      <c r="Z34" s="537">
        <f t="shared" si="4"/>
        <v>0</v>
      </c>
      <c r="AA34" s="330"/>
      <c r="AB34" s="331"/>
      <c r="AC34" s="742">
        <f t="shared" si="9"/>
        <v>250</v>
      </c>
      <c r="AE34" s="122"/>
      <c r="AF34" s="233">
        <f t="shared" si="5"/>
        <v>1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20</v>
      </c>
      <c r="AO34" s="122"/>
      <c r="AP34" s="233">
        <f t="shared" si="6"/>
        <v>30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300</v>
      </c>
    </row>
    <row r="35" spans="1:49" x14ac:dyDescent="0.25">
      <c r="A35" s="122"/>
      <c r="B35" s="233">
        <f t="shared" si="0"/>
        <v>5</v>
      </c>
      <c r="C35" s="15"/>
      <c r="D35" s="537"/>
      <c r="E35" s="732"/>
      <c r="F35" s="537">
        <f t="shared" si="1"/>
        <v>0</v>
      </c>
      <c r="G35" s="330"/>
      <c r="H35" s="331"/>
      <c r="I35" s="742">
        <f t="shared" si="7"/>
        <v>50</v>
      </c>
      <c r="K35" s="122"/>
      <c r="L35" s="233">
        <f t="shared" si="2"/>
        <v>8</v>
      </c>
      <c r="M35" s="15"/>
      <c r="N35" s="537"/>
      <c r="O35" s="732"/>
      <c r="P35" s="537">
        <f t="shared" si="12"/>
        <v>0</v>
      </c>
      <c r="Q35" s="330"/>
      <c r="R35" s="331"/>
      <c r="S35" s="105">
        <f t="shared" si="8"/>
        <v>80</v>
      </c>
      <c r="U35" s="122"/>
      <c r="V35" s="233">
        <f t="shared" si="3"/>
        <v>25</v>
      </c>
      <c r="W35" s="15"/>
      <c r="X35" s="537"/>
      <c r="Y35" s="732"/>
      <c r="Z35" s="537">
        <f t="shared" si="4"/>
        <v>0</v>
      </c>
      <c r="AA35" s="330"/>
      <c r="AB35" s="331"/>
      <c r="AC35" s="742">
        <f t="shared" si="9"/>
        <v>250</v>
      </c>
      <c r="AE35" s="122"/>
      <c r="AF35" s="233">
        <f t="shared" si="5"/>
        <v>1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20</v>
      </c>
      <c r="AO35" s="122"/>
      <c r="AP35" s="233">
        <f t="shared" si="6"/>
        <v>30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300</v>
      </c>
    </row>
    <row r="36" spans="1:49" x14ac:dyDescent="0.25">
      <c r="A36" s="122" t="s">
        <v>22</v>
      </c>
      <c r="B36" s="233">
        <f t="shared" si="0"/>
        <v>5</v>
      </c>
      <c r="C36" s="15"/>
      <c r="D36" s="537"/>
      <c r="E36" s="732"/>
      <c r="F36" s="537">
        <f t="shared" si="1"/>
        <v>0</v>
      </c>
      <c r="G36" s="330"/>
      <c r="H36" s="331"/>
      <c r="I36" s="742">
        <f t="shared" si="7"/>
        <v>50</v>
      </c>
      <c r="K36" s="122" t="s">
        <v>22</v>
      </c>
      <c r="L36" s="233">
        <f t="shared" si="2"/>
        <v>8</v>
      </c>
      <c r="M36" s="15"/>
      <c r="N36" s="537"/>
      <c r="O36" s="732"/>
      <c r="P36" s="537">
        <f t="shared" si="12"/>
        <v>0</v>
      </c>
      <c r="Q36" s="330"/>
      <c r="R36" s="331"/>
      <c r="S36" s="105">
        <f t="shared" si="8"/>
        <v>80</v>
      </c>
      <c r="U36" s="122" t="s">
        <v>22</v>
      </c>
      <c r="V36" s="233">
        <f t="shared" si="3"/>
        <v>25</v>
      </c>
      <c r="W36" s="15"/>
      <c r="X36" s="537"/>
      <c r="Y36" s="732"/>
      <c r="Z36" s="537">
        <f t="shared" si="4"/>
        <v>0</v>
      </c>
      <c r="AA36" s="330"/>
      <c r="AB36" s="331"/>
      <c r="AC36" s="742">
        <f t="shared" si="9"/>
        <v>250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20</v>
      </c>
      <c r="AO36" s="122" t="s">
        <v>22</v>
      </c>
      <c r="AP36" s="233">
        <f t="shared" si="6"/>
        <v>30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300</v>
      </c>
    </row>
    <row r="37" spans="1:49" x14ac:dyDescent="0.25">
      <c r="A37" s="123"/>
      <c r="B37" s="233">
        <f t="shared" si="0"/>
        <v>5</v>
      </c>
      <c r="C37" s="15"/>
      <c r="D37" s="537"/>
      <c r="E37" s="732"/>
      <c r="F37" s="537">
        <f t="shared" si="1"/>
        <v>0</v>
      </c>
      <c r="G37" s="330"/>
      <c r="H37" s="331"/>
      <c r="I37" s="742">
        <f t="shared" si="7"/>
        <v>50</v>
      </c>
      <c r="K37" s="123"/>
      <c r="L37" s="233">
        <f t="shared" si="2"/>
        <v>8</v>
      </c>
      <c r="M37" s="15"/>
      <c r="N37" s="537"/>
      <c r="O37" s="732"/>
      <c r="P37" s="537">
        <f t="shared" si="12"/>
        <v>0</v>
      </c>
      <c r="Q37" s="330"/>
      <c r="R37" s="331"/>
      <c r="S37" s="105">
        <f t="shared" si="8"/>
        <v>80</v>
      </c>
      <c r="U37" s="123"/>
      <c r="V37" s="233">
        <f t="shared" si="3"/>
        <v>25</v>
      </c>
      <c r="W37" s="15"/>
      <c r="X37" s="537"/>
      <c r="Y37" s="732"/>
      <c r="Z37" s="537">
        <f t="shared" si="4"/>
        <v>0</v>
      </c>
      <c r="AA37" s="330"/>
      <c r="AB37" s="331"/>
      <c r="AC37" s="742">
        <f t="shared" si="9"/>
        <v>250</v>
      </c>
      <c r="AE37" s="123"/>
      <c r="AF37" s="233">
        <f t="shared" si="5"/>
        <v>1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20</v>
      </c>
      <c r="AO37" s="123"/>
      <c r="AP37" s="233">
        <f t="shared" si="6"/>
        <v>30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300</v>
      </c>
    </row>
    <row r="38" spans="1:49" x14ac:dyDescent="0.25">
      <c r="A38" s="122"/>
      <c r="B38" s="233">
        <f t="shared" si="0"/>
        <v>5</v>
      </c>
      <c r="C38" s="15"/>
      <c r="D38" s="537"/>
      <c r="E38" s="732"/>
      <c r="F38" s="537">
        <f t="shared" si="1"/>
        <v>0</v>
      </c>
      <c r="G38" s="330"/>
      <c r="H38" s="331"/>
      <c r="I38" s="742">
        <f t="shared" si="7"/>
        <v>50</v>
      </c>
      <c r="K38" s="122"/>
      <c r="L38" s="233">
        <f t="shared" si="2"/>
        <v>8</v>
      </c>
      <c r="M38" s="15"/>
      <c r="N38" s="537"/>
      <c r="O38" s="732"/>
      <c r="P38" s="537">
        <f t="shared" si="12"/>
        <v>0</v>
      </c>
      <c r="Q38" s="330"/>
      <c r="R38" s="331"/>
      <c r="S38" s="105">
        <f t="shared" si="8"/>
        <v>80</v>
      </c>
      <c r="U38" s="122"/>
      <c r="V38" s="233">
        <f t="shared" si="3"/>
        <v>25</v>
      </c>
      <c r="W38" s="15"/>
      <c r="X38" s="537"/>
      <c r="Y38" s="732"/>
      <c r="Z38" s="537">
        <f t="shared" si="4"/>
        <v>0</v>
      </c>
      <c r="AA38" s="330"/>
      <c r="AB38" s="331"/>
      <c r="AC38" s="742">
        <f t="shared" si="9"/>
        <v>250</v>
      </c>
      <c r="AE38" s="122"/>
      <c r="AF38" s="233">
        <f t="shared" si="5"/>
        <v>1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20</v>
      </c>
      <c r="AO38" s="122"/>
      <c r="AP38" s="233">
        <f t="shared" si="6"/>
        <v>30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300</v>
      </c>
    </row>
    <row r="39" spans="1:49" x14ac:dyDescent="0.25">
      <c r="A39" s="122"/>
      <c r="B39" s="83">
        <f t="shared" si="0"/>
        <v>5</v>
      </c>
      <c r="C39" s="15"/>
      <c r="D39" s="537"/>
      <c r="E39" s="732"/>
      <c r="F39" s="537">
        <f t="shared" si="1"/>
        <v>0</v>
      </c>
      <c r="G39" s="330"/>
      <c r="H39" s="331"/>
      <c r="I39" s="742">
        <f t="shared" si="7"/>
        <v>50</v>
      </c>
      <c r="K39" s="122"/>
      <c r="L39" s="83">
        <f t="shared" si="2"/>
        <v>8</v>
      </c>
      <c r="M39" s="15"/>
      <c r="N39" s="537"/>
      <c r="O39" s="732"/>
      <c r="P39" s="537">
        <f t="shared" si="12"/>
        <v>0</v>
      </c>
      <c r="Q39" s="330"/>
      <c r="R39" s="331"/>
      <c r="S39" s="105">
        <f t="shared" si="8"/>
        <v>80</v>
      </c>
      <c r="U39" s="122"/>
      <c r="V39" s="83">
        <f t="shared" si="3"/>
        <v>25</v>
      </c>
      <c r="W39" s="15"/>
      <c r="X39" s="537"/>
      <c r="Y39" s="732"/>
      <c r="Z39" s="537">
        <f t="shared" si="4"/>
        <v>0</v>
      </c>
      <c r="AA39" s="330"/>
      <c r="AB39" s="331"/>
      <c r="AC39" s="742">
        <f t="shared" si="9"/>
        <v>250</v>
      </c>
      <c r="AE39" s="122"/>
      <c r="AF39" s="83">
        <f t="shared" si="5"/>
        <v>1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20</v>
      </c>
      <c r="AO39" s="122"/>
      <c r="AP39" s="83">
        <f t="shared" si="6"/>
        <v>30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300</v>
      </c>
    </row>
    <row r="40" spans="1:49" x14ac:dyDescent="0.25">
      <c r="A40" s="122"/>
      <c r="B40" s="83">
        <f t="shared" si="0"/>
        <v>5</v>
      </c>
      <c r="C40" s="15"/>
      <c r="D40" s="537"/>
      <c r="E40" s="732"/>
      <c r="F40" s="537">
        <f t="shared" si="1"/>
        <v>0</v>
      </c>
      <c r="G40" s="330"/>
      <c r="H40" s="331"/>
      <c r="I40" s="742">
        <f t="shared" si="7"/>
        <v>50</v>
      </c>
      <c r="K40" s="122"/>
      <c r="L40" s="83">
        <f t="shared" si="2"/>
        <v>8</v>
      </c>
      <c r="M40" s="15"/>
      <c r="N40" s="537"/>
      <c r="O40" s="732"/>
      <c r="P40" s="537">
        <f t="shared" si="12"/>
        <v>0</v>
      </c>
      <c r="Q40" s="330"/>
      <c r="R40" s="331"/>
      <c r="S40" s="105">
        <f t="shared" si="8"/>
        <v>80</v>
      </c>
      <c r="U40" s="122"/>
      <c r="V40" s="83">
        <f t="shared" si="3"/>
        <v>25</v>
      </c>
      <c r="W40" s="15"/>
      <c r="X40" s="537"/>
      <c r="Y40" s="732"/>
      <c r="Z40" s="537">
        <f t="shared" si="4"/>
        <v>0</v>
      </c>
      <c r="AA40" s="330"/>
      <c r="AB40" s="331"/>
      <c r="AC40" s="742">
        <f t="shared" si="9"/>
        <v>250</v>
      </c>
      <c r="AE40" s="122"/>
      <c r="AF40" s="83">
        <f t="shared" si="5"/>
        <v>1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20</v>
      </c>
      <c r="AO40" s="122"/>
      <c r="AP40" s="83">
        <f t="shared" si="6"/>
        <v>30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300</v>
      </c>
    </row>
    <row r="41" spans="1:49" x14ac:dyDescent="0.25">
      <c r="A41" s="122"/>
      <c r="B41" s="83">
        <f t="shared" si="0"/>
        <v>5</v>
      </c>
      <c r="C41" s="15"/>
      <c r="D41" s="537"/>
      <c r="E41" s="732"/>
      <c r="F41" s="537">
        <f t="shared" si="1"/>
        <v>0</v>
      </c>
      <c r="G41" s="330"/>
      <c r="H41" s="331"/>
      <c r="I41" s="742">
        <f t="shared" si="7"/>
        <v>50</v>
      </c>
      <c r="K41" s="122"/>
      <c r="L41" s="83">
        <f t="shared" si="2"/>
        <v>8</v>
      </c>
      <c r="M41" s="15"/>
      <c r="N41" s="537"/>
      <c r="O41" s="732"/>
      <c r="P41" s="537">
        <f t="shared" si="12"/>
        <v>0</v>
      </c>
      <c r="Q41" s="330"/>
      <c r="R41" s="331"/>
      <c r="S41" s="105">
        <f t="shared" si="8"/>
        <v>80</v>
      </c>
      <c r="U41" s="122"/>
      <c r="V41" s="83">
        <f t="shared" si="3"/>
        <v>25</v>
      </c>
      <c r="W41" s="15"/>
      <c r="X41" s="537"/>
      <c r="Y41" s="732"/>
      <c r="Z41" s="537">
        <f t="shared" si="4"/>
        <v>0</v>
      </c>
      <c r="AA41" s="330"/>
      <c r="AB41" s="331"/>
      <c r="AC41" s="742">
        <f t="shared" si="9"/>
        <v>250</v>
      </c>
      <c r="AE41" s="122"/>
      <c r="AF41" s="83">
        <f t="shared" si="5"/>
        <v>1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20</v>
      </c>
      <c r="AO41" s="122"/>
      <c r="AP41" s="83">
        <f t="shared" si="6"/>
        <v>30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300</v>
      </c>
    </row>
    <row r="42" spans="1:49" x14ac:dyDescent="0.25">
      <c r="A42" s="122"/>
      <c r="B42" s="83">
        <f t="shared" si="0"/>
        <v>5</v>
      </c>
      <c r="C42" s="15"/>
      <c r="D42" s="537"/>
      <c r="E42" s="732"/>
      <c r="F42" s="537">
        <f t="shared" si="1"/>
        <v>0</v>
      </c>
      <c r="G42" s="330"/>
      <c r="H42" s="331"/>
      <c r="I42" s="742">
        <f t="shared" si="7"/>
        <v>50</v>
      </c>
      <c r="K42" s="122"/>
      <c r="L42" s="83">
        <f t="shared" si="2"/>
        <v>8</v>
      </c>
      <c r="M42" s="15"/>
      <c r="N42" s="537"/>
      <c r="O42" s="732"/>
      <c r="P42" s="537">
        <f t="shared" si="12"/>
        <v>0</v>
      </c>
      <c r="Q42" s="330"/>
      <c r="R42" s="331"/>
      <c r="S42" s="105">
        <f t="shared" si="8"/>
        <v>80</v>
      </c>
      <c r="U42" s="122"/>
      <c r="V42" s="83">
        <f t="shared" si="3"/>
        <v>25</v>
      </c>
      <c r="W42" s="15"/>
      <c r="X42" s="537"/>
      <c r="Y42" s="732"/>
      <c r="Z42" s="537">
        <f t="shared" si="4"/>
        <v>0</v>
      </c>
      <c r="AA42" s="330"/>
      <c r="AB42" s="331"/>
      <c r="AC42" s="742">
        <f t="shared" si="9"/>
        <v>250</v>
      </c>
      <c r="AE42" s="122"/>
      <c r="AF42" s="83">
        <f t="shared" si="5"/>
        <v>1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20</v>
      </c>
      <c r="AO42" s="122"/>
      <c r="AP42" s="83">
        <f t="shared" si="6"/>
        <v>30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300</v>
      </c>
    </row>
    <row r="43" spans="1:4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50</v>
      </c>
      <c r="K43" s="122"/>
      <c r="L43" s="83">
        <f t="shared" si="2"/>
        <v>8</v>
      </c>
      <c r="M43" s="15"/>
      <c r="N43" s="537"/>
      <c r="O43" s="732"/>
      <c r="P43" s="537">
        <f t="shared" si="12"/>
        <v>0</v>
      </c>
      <c r="Q43" s="330"/>
      <c r="R43" s="331"/>
      <c r="S43" s="105">
        <f t="shared" si="8"/>
        <v>80</v>
      </c>
      <c r="U43" s="122"/>
      <c r="V43" s="83">
        <f t="shared" si="3"/>
        <v>25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250</v>
      </c>
      <c r="AE43" s="122"/>
      <c r="AF43" s="83">
        <f t="shared" si="5"/>
        <v>1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20</v>
      </c>
      <c r="AO43" s="122"/>
      <c r="AP43" s="83">
        <f t="shared" si="6"/>
        <v>30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300</v>
      </c>
    </row>
    <row r="44" spans="1:4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50</v>
      </c>
      <c r="K44" s="122"/>
      <c r="L44" s="83">
        <f t="shared" si="2"/>
        <v>8</v>
      </c>
      <c r="M44" s="15"/>
      <c r="N44" s="537"/>
      <c r="O44" s="732"/>
      <c r="P44" s="537">
        <f t="shared" si="12"/>
        <v>0</v>
      </c>
      <c r="Q44" s="330"/>
      <c r="R44" s="331"/>
      <c r="S44" s="105">
        <f t="shared" si="8"/>
        <v>80</v>
      </c>
      <c r="U44" s="122"/>
      <c r="V44" s="83">
        <f t="shared" si="3"/>
        <v>25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250</v>
      </c>
      <c r="AE44" s="122"/>
      <c r="AF44" s="83">
        <f t="shared" si="5"/>
        <v>1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20</v>
      </c>
      <c r="AO44" s="122"/>
      <c r="AP44" s="83">
        <f t="shared" si="6"/>
        <v>30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300</v>
      </c>
    </row>
    <row r="45" spans="1:4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50</v>
      </c>
      <c r="K45" s="122"/>
      <c r="L45" s="83">
        <f t="shared" si="2"/>
        <v>8</v>
      </c>
      <c r="M45" s="15"/>
      <c r="N45" s="537"/>
      <c r="O45" s="732"/>
      <c r="P45" s="537">
        <f t="shared" si="12"/>
        <v>0</v>
      </c>
      <c r="Q45" s="330"/>
      <c r="R45" s="331"/>
      <c r="S45" s="105">
        <f t="shared" si="8"/>
        <v>80</v>
      </c>
      <c r="U45" s="122"/>
      <c r="V45" s="83">
        <f t="shared" si="3"/>
        <v>25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250</v>
      </c>
      <c r="AE45" s="122"/>
      <c r="AF45" s="83">
        <f t="shared" si="5"/>
        <v>1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20</v>
      </c>
      <c r="AO45" s="122"/>
      <c r="AP45" s="83">
        <f t="shared" si="6"/>
        <v>30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300</v>
      </c>
    </row>
    <row r="46" spans="1:4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50</v>
      </c>
      <c r="K46" s="122"/>
      <c r="L46" s="83">
        <f t="shared" si="2"/>
        <v>8</v>
      </c>
      <c r="M46" s="15"/>
      <c r="N46" s="537"/>
      <c r="O46" s="732"/>
      <c r="P46" s="537">
        <f t="shared" si="12"/>
        <v>0</v>
      </c>
      <c r="Q46" s="330"/>
      <c r="R46" s="331"/>
      <c r="S46" s="105">
        <f t="shared" si="8"/>
        <v>80</v>
      </c>
      <c r="U46" s="122"/>
      <c r="V46" s="83">
        <f t="shared" si="3"/>
        <v>25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250</v>
      </c>
      <c r="AE46" s="122"/>
      <c r="AF46" s="83">
        <f t="shared" si="5"/>
        <v>1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20</v>
      </c>
      <c r="AO46" s="122"/>
      <c r="AP46" s="83">
        <f t="shared" si="6"/>
        <v>30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300</v>
      </c>
    </row>
    <row r="47" spans="1:4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50</v>
      </c>
      <c r="K47" s="122"/>
      <c r="L47" s="83">
        <f t="shared" si="2"/>
        <v>8</v>
      </c>
      <c r="M47" s="15"/>
      <c r="N47" s="537"/>
      <c r="O47" s="732"/>
      <c r="P47" s="537">
        <f t="shared" si="12"/>
        <v>0</v>
      </c>
      <c r="Q47" s="330"/>
      <c r="R47" s="331"/>
      <c r="S47" s="105">
        <f t="shared" si="8"/>
        <v>80</v>
      </c>
      <c r="U47" s="122"/>
      <c r="V47" s="83">
        <f t="shared" si="3"/>
        <v>25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250</v>
      </c>
      <c r="AE47" s="122"/>
      <c r="AF47" s="83">
        <f t="shared" si="5"/>
        <v>1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20</v>
      </c>
      <c r="AO47" s="122"/>
      <c r="AP47" s="83">
        <f t="shared" si="6"/>
        <v>30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300</v>
      </c>
    </row>
    <row r="48" spans="1:4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50</v>
      </c>
      <c r="K48" s="122"/>
      <c r="L48" s="83">
        <f t="shared" si="2"/>
        <v>8</v>
      </c>
      <c r="M48" s="15"/>
      <c r="N48" s="537"/>
      <c r="O48" s="732"/>
      <c r="P48" s="537">
        <f t="shared" si="12"/>
        <v>0</v>
      </c>
      <c r="Q48" s="330"/>
      <c r="R48" s="331"/>
      <c r="S48" s="105">
        <f t="shared" si="8"/>
        <v>80</v>
      </c>
      <c r="U48" s="122"/>
      <c r="V48" s="83">
        <f t="shared" si="3"/>
        <v>25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250</v>
      </c>
      <c r="AE48" s="122"/>
      <c r="AF48" s="83">
        <f t="shared" si="5"/>
        <v>1</v>
      </c>
      <c r="AG48" s="15"/>
      <c r="AH48" s="537"/>
      <c r="AI48" s="732"/>
      <c r="AJ48" s="537">
        <f t="shared" si="13"/>
        <v>0</v>
      </c>
      <c r="AK48" s="330"/>
      <c r="AL48" s="331"/>
      <c r="AM48" s="105">
        <f t="shared" si="10"/>
        <v>20</v>
      </c>
      <c r="AO48" s="122"/>
      <c r="AP48" s="83">
        <f t="shared" si="6"/>
        <v>30</v>
      </c>
      <c r="AQ48" s="15"/>
      <c r="AR48" s="537"/>
      <c r="AS48" s="732"/>
      <c r="AT48" s="537">
        <f t="shared" si="14"/>
        <v>0</v>
      </c>
      <c r="AU48" s="330"/>
      <c r="AV48" s="331"/>
      <c r="AW48" s="105">
        <f t="shared" si="11"/>
        <v>300</v>
      </c>
    </row>
    <row r="49" spans="1:4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50</v>
      </c>
      <c r="K49" s="122"/>
      <c r="L49" s="83">
        <f t="shared" si="2"/>
        <v>8</v>
      </c>
      <c r="M49" s="15"/>
      <c r="N49" s="537"/>
      <c r="O49" s="732"/>
      <c r="P49" s="537">
        <f t="shared" si="12"/>
        <v>0</v>
      </c>
      <c r="Q49" s="330"/>
      <c r="R49" s="331"/>
      <c r="S49" s="105">
        <f t="shared" si="8"/>
        <v>80</v>
      </c>
      <c r="U49" s="122"/>
      <c r="V49" s="83">
        <f t="shared" si="3"/>
        <v>25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250</v>
      </c>
      <c r="AE49" s="122"/>
      <c r="AF49" s="83">
        <f t="shared" si="5"/>
        <v>1</v>
      </c>
      <c r="AG49" s="15"/>
      <c r="AH49" s="537"/>
      <c r="AI49" s="732"/>
      <c r="AJ49" s="537">
        <f t="shared" si="13"/>
        <v>0</v>
      </c>
      <c r="AK49" s="330"/>
      <c r="AL49" s="331"/>
      <c r="AM49" s="105">
        <f t="shared" si="10"/>
        <v>20</v>
      </c>
      <c r="AO49" s="122"/>
      <c r="AP49" s="83">
        <f t="shared" si="6"/>
        <v>30</v>
      </c>
      <c r="AQ49" s="15"/>
      <c r="AR49" s="537"/>
      <c r="AS49" s="732"/>
      <c r="AT49" s="537">
        <f t="shared" si="14"/>
        <v>0</v>
      </c>
      <c r="AU49" s="330"/>
      <c r="AV49" s="331"/>
      <c r="AW49" s="105">
        <f t="shared" si="11"/>
        <v>300</v>
      </c>
    </row>
    <row r="50" spans="1:4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50</v>
      </c>
      <c r="K50" s="122"/>
      <c r="L50" s="83">
        <f t="shared" si="2"/>
        <v>8</v>
      </c>
      <c r="M50" s="15"/>
      <c r="N50" s="537"/>
      <c r="O50" s="732"/>
      <c r="P50" s="537">
        <f t="shared" si="12"/>
        <v>0</v>
      </c>
      <c r="Q50" s="330"/>
      <c r="R50" s="331"/>
      <c r="S50" s="105">
        <f t="shared" si="8"/>
        <v>80</v>
      </c>
      <c r="U50" s="122"/>
      <c r="V50" s="83">
        <f t="shared" si="3"/>
        <v>25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250</v>
      </c>
      <c r="AE50" s="122"/>
      <c r="AF50" s="83">
        <f t="shared" si="5"/>
        <v>1</v>
      </c>
      <c r="AG50" s="15"/>
      <c r="AH50" s="537"/>
      <c r="AI50" s="732"/>
      <c r="AJ50" s="537">
        <f t="shared" si="13"/>
        <v>0</v>
      </c>
      <c r="AK50" s="330"/>
      <c r="AL50" s="331"/>
      <c r="AM50" s="105">
        <f t="shared" si="10"/>
        <v>20</v>
      </c>
      <c r="AO50" s="122"/>
      <c r="AP50" s="83">
        <f t="shared" si="6"/>
        <v>30</v>
      </c>
      <c r="AQ50" s="15"/>
      <c r="AR50" s="537"/>
      <c r="AS50" s="732"/>
      <c r="AT50" s="537">
        <f t="shared" si="14"/>
        <v>0</v>
      </c>
      <c r="AU50" s="330"/>
      <c r="AV50" s="331"/>
      <c r="AW50" s="105">
        <f t="shared" si="11"/>
        <v>300</v>
      </c>
    </row>
    <row r="51" spans="1:4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50</v>
      </c>
      <c r="K51" s="122"/>
      <c r="L51" s="83">
        <f t="shared" si="2"/>
        <v>8</v>
      </c>
      <c r="M51" s="15"/>
      <c r="N51" s="537"/>
      <c r="O51" s="732"/>
      <c r="P51" s="537">
        <f t="shared" si="12"/>
        <v>0</v>
      </c>
      <c r="Q51" s="330"/>
      <c r="R51" s="331"/>
      <c r="S51" s="105">
        <f t="shared" si="8"/>
        <v>80</v>
      </c>
      <c r="U51" s="122"/>
      <c r="V51" s="83">
        <f t="shared" si="3"/>
        <v>25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250</v>
      </c>
      <c r="AE51" s="122"/>
      <c r="AF51" s="83">
        <f t="shared" si="5"/>
        <v>1</v>
      </c>
      <c r="AG51" s="15"/>
      <c r="AH51" s="537"/>
      <c r="AI51" s="732"/>
      <c r="AJ51" s="537">
        <f t="shared" si="13"/>
        <v>0</v>
      </c>
      <c r="AK51" s="330"/>
      <c r="AL51" s="331"/>
      <c r="AM51" s="105">
        <f t="shared" si="10"/>
        <v>20</v>
      </c>
      <c r="AO51" s="122"/>
      <c r="AP51" s="83">
        <f t="shared" si="6"/>
        <v>30</v>
      </c>
      <c r="AQ51" s="15"/>
      <c r="AR51" s="537"/>
      <c r="AS51" s="732"/>
      <c r="AT51" s="537">
        <f t="shared" si="14"/>
        <v>0</v>
      </c>
      <c r="AU51" s="330"/>
      <c r="AV51" s="331"/>
      <c r="AW51" s="105">
        <f t="shared" si="11"/>
        <v>300</v>
      </c>
    </row>
    <row r="52" spans="1:4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50</v>
      </c>
      <c r="K52" s="122"/>
      <c r="L52" s="83">
        <f t="shared" si="2"/>
        <v>8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80</v>
      </c>
      <c r="U52" s="122"/>
      <c r="V52" s="83">
        <f t="shared" si="3"/>
        <v>25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250</v>
      </c>
      <c r="AE52" s="122"/>
      <c r="AF52" s="83">
        <f t="shared" si="5"/>
        <v>1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20</v>
      </c>
      <c r="AO52" s="122"/>
      <c r="AP52" s="83">
        <f t="shared" si="6"/>
        <v>30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300</v>
      </c>
    </row>
    <row r="53" spans="1:4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50</v>
      </c>
      <c r="K53" s="122"/>
      <c r="L53" s="83">
        <f t="shared" si="2"/>
        <v>8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80</v>
      </c>
      <c r="U53" s="122"/>
      <c r="V53" s="83">
        <f t="shared" si="3"/>
        <v>25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250</v>
      </c>
      <c r="AE53" s="122"/>
      <c r="AF53" s="83">
        <f t="shared" si="5"/>
        <v>1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20</v>
      </c>
      <c r="AO53" s="122"/>
      <c r="AP53" s="83">
        <f t="shared" si="6"/>
        <v>30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300</v>
      </c>
    </row>
    <row r="54" spans="1:4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50</v>
      </c>
      <c r="K54" s="122"/>
      <c r="L54" s="83">
        <f t="shared" si="2"/>
        <v>8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80</v>
      </c>
      <c r="U54" s="122"/>
      <c r="V54" s="83">
        <f t="shared" si="3"/>
        <v>25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250</v>
      </c>
      <c r="AE54" s="122"/>
      <c r="AF54" s="83">
        <f t="shared" si="5"/>
        <v>1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20</v>
      </c>
      <c r="AO54" s="122"/>
      <c r="AP54" s="83">
        <f t="shared" si="6"/>
        <v>30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300</v>
      </c>
    </row>
    <row r="55" spans="1:4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50</v>
      </c>
      <c r="K55" s="122"/>
      <c r="L55" s="12">
        <f t="shared" si="2"/>
        <v>8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80</v>
      </c>
      <c r="U55" s="122"/>
      <c r="V55" s="12">
        <f t="shared" si="3"/>
        <v>25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250</v>
      </c>
      <c r="AE55" s="122"/>
      <c r="AF55" s="12">
        <f t="shared" si="5"/>
        <v>1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20</v>
      </c>
      <c r="AO55" s="122"/>
      <c r="AP55" s="12">
        <f t="shared" si="6"/>
        <v>30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300</v>
      </c>
    </row>
    <row r="56" spans="1:4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50</v>
      </c>
      <c r="K56" s="122"/>
      <c r="L56" s="12">
        <f t="shared" si="2"/>
        <v>8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80</v>
      </c>
      <c r="U56" s="122"/>
      <c r="V56" s="12">
        <f t="shared" si="3"/>
        <v>25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250</v>
      </c>
      <c r="AE56" s="122"/>
      <c r="AF56" s="12">
        <f t="shared" si="5"/>
        <v>1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20</v>
      </c>
      <c r="AO56" s="122"/>
      <c r="AP56" s="12">
        <f t="shared" si="6"/>
        <v>30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300</v>
      </c>
    </row>
    <row r="57" spans="1:4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50</v>
      </c>
      <c r="K57" s="122"/>
      <c r="L57" s="12">
        <f t="shared" si="2"/>
        <v>8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80</v>
      </c>
      <c r="U57" s="122"/>
      <c r="V57" s="12">
        <f t="shared" si="3"/>
        <v>25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250</v>
      </c>
      <c r="AE57" s="122"/>
      <c r="AF57" s="12">
        <f t="shared" si="5"/>
        <v>1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20</v>
      </c>
      <c r="AO57" s="122"/>
      <c r="AP57" s="12">
        <f t="shared" si="6"/>
        <v>30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300</v>
      </c>
    </row>
    <row r="58" spans="1:4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50</v>
      </c>
      <c r="K58" s="122"/>
      <c r="L58" s="12">
        <f t="shared" si="2"/>
        <v>8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80</v>
      </c>
      <c r="U58" s="122"/>
      <c r="V58" s="12">
        <f t="shared" si="3"/>
        <v>25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250</v>
      </c>
      <c r="AE58" s="122"/>
      <c r="AF58" s="12">
        <f t="shared" si="5"/>
        <v>1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20</v>
      </c>
      <c r="AO58" s="122"/>
      <c r="AP58" s="12">
        <f t="shared" si="6"/>
        <v>30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300</v>
      </c>
    </row>
    <row r="59" spans="1:4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50</v>
      </c>
      <c r="K59" s="122"/>
      <c r="L59" s="12">
        <f t="shared" si="2"/>
        <v>8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80</v>
      </c>
      <c r="U59" s="122"/>
      <c r="V59" s="12">
        <f t="shared" si="3"/>
        <v>25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250</v>
      </c>
      <c r="AE59" s="122"/>
      <c r="AF59" s="12">
        <f t="shared" si="5"/>
        <v>1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20</v>
      </c>
      <c r="AO59" s="122"/>
      <c r="AP59" s="12">
        <f t="shared" si="6"/>
        <v>30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300</v>
      </c>
    </row>
    <row r="60" spans="1:4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50</v>
      </c>
      <c r="K60" s="122"/>
      <c r="L60" s="12">
        <f t="shared" si="2"/>
        <v>8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80</v>
      </c>
      <c r="U60" s="122"/>
      <c r="V60" s="12">
        <f t="shared" si="3"/>
        <v>25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250</v>
      </c>
      <c r="AE60" s="122"/>
      <c r="AF60" s="12">
        <f t="shared" si="5"/>
        <v>1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20</v>
      </c>
      <c r="AO60" s="122"/>
      <c r="AP60" s="12">
        <f t="shared" si="6"/>
        <v>30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300</v>
      </c>
    </row>
    <row r="61" spans="1:4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50</v>
      </c>
      <c r="K61" s="122"/>
      <c r="L61" s="12">
        <f t="shared" si="2"/>
        <v>8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80</v>
      </c>
      <c r="U61" s="122"/>
      <c r="V61" s="12">
        <f t="shared" si="3"/>
        <v>25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250</v>
      </c>
      <c r="AE61" s="122"/>
      <c r="AF61" s="12">
        <f t="shared" si="5"/>
        <v>1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20</v>
      </c>
      <c r="AO61" s="122"/>
      <c r="AP61" s="12">
        <f t="shared" si="6"/>
        <v>30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300</v>
      </c>
    </row>
    <row r="62" spans="1:4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50</v>
      </c>
      <c r="K62" s="122"/>
      <c r="L62" s="12">
        <f t="shared" si="2"/>
        <v>8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80</v>
      </c>
      <c r="U62" s="122"/>
      <c r="V62" s="12">
        <f t="shared" si="3"/>
        <v>25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250</v>
      </c>
      <c r="AE62" s="122"/>
      <c r="AF62" s="12">
        <f t="shared" si="5"/>
        <v>1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20</v>
      </c>
      <c r="AO62" s="122"/>
      <c r="AP62" s="12">
        <f t="shared" si="6"/>
        <v>30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300</v>
      </c>
    </row>
    <row r="63" spans="1:4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50</v>
      </c>
      <c r="K63" s="122"/>
      <c r="L63" s="12">
        <f t="shared" si="2"/>
        <v>8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80</v>
      </c>
      <c r="U63" s="122"/>
      <c r="V63" s="12">
        <f t="shared" si="3"/>
        <v>25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250</v>
      </c>
      <c r="AE63" s="122"/>
      <c r="AF63" s="12">
        <f t="shared" si="5"/>
        <v>1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20</v>
      </c>
      <c r="AO63" s="122"/>
      <c r="AP63" s="12">
        <f t="shared" si="6"/>
        <v>30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300</v>
      </c>
    </row>
    <row r="64" spans="1:4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50</v>
      </c>
      <c r="K64" s="122"/>
      <c r="L64" s="12">
        <f t="shared" si="2"/>
        <v>8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80</v>
      </c>
      <c r="U64" s="122"/>
      <c r="V64" s="12">
        <f t="shared" si="3"/>
        <v>25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250</v>
      </c>
      <c r="AE64" s="122"/>
      <c r="AF64" s="12">
        <f t="shared" si="5"/>
        <v>1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20</v>
      </c>
      <c r="AO64" s="122"/>
      <c r="AP64" s="12">
        <f t="shared" si="6"/>
        <v>30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300</v>
      </c>
    </row>
    <row r="65" spans="1:4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50</v>
      </c>
      <c r="K65" s="122"/>
      <c r="L65" s="12">
        <f t="shared" si="2"/>
        <v>8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80</v>
      </c>
      <c r="U65" s="122"/>
      <c r="V65" s="12">
        <f t="shared" si="3"/>
        <v>25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250</v>
      </c>
      <c r="AE65" s="122"/>
      <c r="AF65" s="12">
        <f t="shared" si="5"/>
        <v>1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20</v>
      </c>
      <c r="AO65" s="122"/>
      <c r="AP65" s="12">
        <f t="shared" si="6"/>
        <v>30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300</v>
      </c>
    </row>
    <row r="66" spans="1:4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50</v>
      </c>
      <c r="K66" s="122"/>
      <c r="L66" s="12">
        <f t="shared" si="2"/>
        <v>8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80</v>
      </c>
      <c r="U66" s="122"/>
      <c r="V66" s="12">
        <f t="shared" si="3"/>
        <v>25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250</v>
      </c>
      <c r="AE66" s="122"/>
      <c r="AF66" s="12">
        <f t="shared" si="5"/>
        <v>1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20</v>
      </c>
      <c r="AO66" s="122"/>
      <c r="AP66" s="12">
        <f t="shared" si="6"/>
        <v>30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300</v>
      </c>
    </row>
    <row r="67" spans="1:4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50</v>
      </c>
      <c r="K67" s="122"/>
      <c r="L67" s="12">
        <f t="shared" si="2"/>
        <v>8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80</v>
      </c>
      <c r="U67" s="122"/>
      <c r="V67" s="12">
        <f t="shared" si="3"/>
        <v>25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250</v>
      </c>
      <c r="AE67" s="122"/>
      <c r="AF67" s="12">
        <f t="shared" si="5"/>
        <v>1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20</v>
      </c>
      <c r="AO67" s="122"/>
      <c r="AP67" s="12">
        <f t="shared" si="6"/>
        <v>30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300</v>
      </c>
    </row>
    <row r="68" spans="1:4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50</v>
      </c>
      <c r="K68" s="122"/>
      <c r="L68" s="12">
        <f t="shared" si="2"/>
        <v>8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80</v>
      </c>
      <c r="U68" s="122"/>
      <c r="V68" s="12">
        <f t="shared" si="3"/>
        <v>25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250</v>
      </c>
      <c r="AE68" s="122"/>
      <c r="AF68" s="12">
        <f t="shared" si="5"/>
        <v>1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20</v>
      </c>
      <c r="AO68" s="122"/>
      <c r="AP68" s="12">
        <f t="shared" si="6"/>
        <v>30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300</v>
      </c>
    </row>
    <row r="69" spans="1:4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50</v>
      </c>
      <c r="K69" s="122"/>
      <c r="L69" s="12">
        <f t="shared" si="2"/>
        <v>8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80</v>
      </c>
      <c r="U69" s="122"/>
      <c r="V69" s="12">
        <f t="shared" si="3"/>
        <v>25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250</v>
      </c>
      <c r="AE69" s="122"/>
      <c r="AF69" s="12">
        <f t="shared" si="5"/>
        <v>1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20</v>
      </c>
      <c r="AO69" s="122"/>
      <c r="AP69" s="12">
        <f t="shared" si="6"/>
        <v>30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300</v>
      </c>
    </row>
    <row r="70" spans="1:4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50</v>
      </c>
      <c r="K70" s="122"/>
      <c r="L70" s="12">
        <f t="shared" si="2"/>
        <v>8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80</v>
      </c>
      <c r="U70" s="122"/>
      <c r="V70" s="12">
        <f t="shared" si="3"/>
        <v>25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250</v>
      </c>
      <c r="AE70" s="122"/>
      <c r="AF70" s="12">
        <f t="shared" si="5"/>
        <v>1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20</v>
      </c>
      <c r="AO70" s="122"/>
      <c r="AP70" s="12">
        <f t="shared" si="6"/>
        <v>30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300</v>
      </c>
    </row>
    <row r="71" spans="1:4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50</v>
      </c>
      <c r="K71" s="122"/>
      <c r="L71" s="12">
        <f t="shared" si="2"/>
        <v>8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80</v>
      </c>
      <c r="U71" s="122"/>
      <c r="V71" s="12">
        <f t="shared" si="3"/>
        <v>25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250</v>
      </c>
      <c r="AE71" s="122"/>
      <c r="AF71" s="12">
        <f t="shared" si="5"/>
        <v>1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20</v>
      </c>
      <c r="AO71" s="122"/>
      <c r="AP71" s="12">
        <f t="shared" si="6"/>
        <v>30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300</v>
      </c>
    </row>
    <row r="72" spans="1:4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50</v>
      </c>
      <c r="K72" s="122"/>
      <c r="L72" s="12">
        <f t="shared" si="2"/>
        <v>8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80</v>
      </c>
      <c r="U72" s="122"/>
      <c r="V72" s="12">
        <f t="shared" si="3"/>
        <v>25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250</v>
      </c>
      <c r="AE72" s="122"/>
      <c r="AF72" s="12">
        <f t="shared" si="5"/>
        <v>1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20</v>
      </c>
      <c r="AO72" s="122"/>
      <c r="AP72" s="12">
        <f t="shared" si="6"/>
        <v>30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300</v>
      </c>
    </row>
    <row r="73" spans="1:4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50</v>
      </c>
      <c r="K73" s="122"/>
      <c r="L73" s="12">
        <f t="shared" si="2"/>
        <v>8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80</v>
      </c>
      <c r="U73" s="122"/>
      <c r="V73" s="12">
        <f t="shared" si="3"/>
        <v>25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250</v>
      </c>
      <c r="AE73" s="122"/>
      <c r="AF73" s="12">
        <f t="shared" si="5"/>
        <v>1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20</v>
      </c>
      <c r="AO73" s="122"/>
      <c r="AP73" s="12">
        <f t="shared" si="6"/>
        <v>30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300</v>
      </c>
    </row>
    <row r="74" spans="1:49" x14ac:dyDescent="0.25">
      <c r="A74" s="122"/>
      <c r="B74" s="12">
        <f t="shared" ref="B74:B75" si="15">B73-C74</f>
        <v>5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50</v>
      </c>
      <c r="K74" s="122"/>
      <c r="L74" s="12">
        <f t="shared" ref="L74:L75" si="17">L73-M74</f>
        <v>8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80</v>
      </c>
      <c r="U74" s="122"/>
      <c r="V74" s="12">
        <f t="shared" ref="V74:V75" si="18">V73-W74</f>
        <v>25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250</v>
      </c>
      <c r="AE74" s="122"/>
      <c r="AF74" s="12">
        <f t="shared" ref="AF74:AF75" si="20">AF73-AG74</f>
        <v>1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20</v>
      </c>
      <c r="AO74" s="122"/>
      <c r="AP74" s="12">
        <f t="shared" ref="AP74:AP75" si="21">AP73-AQ74</f>
        <v>30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300</v>
      </c>
    </row>
    <row r="75" spans="1:49" x14ac:dyDescent="0.25">
      <c r="A75" s="122"/>
      <c r="B75" s="12">
        <f t="shared" si="15"/>
        <v>5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50</v>
      </c>
      <c r="K75" s="122"/>
      <c r="L75" s="12">
        <f t="shared" si="17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80</v>
      </c>
      <c r="U75" s="122"/>
      <c r="V75" s="12">
        <f t="shared" si="18"/>
        <v>25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250</v>
      </c>
      <c r="AE75" s="122"/>
      <c r="AF75" s="12">
        <f t="shared" si="20"/>
        <v>1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20</v>
      </c>
      <c r="AO75" s="122"/>
      <c r="AP75" s="12">
        <f t="shared" si="21"/>
        <v>30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300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50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80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250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20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300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1</v>
      </c>
      <c r="AR81" s="45" t="s">
        <v>4</v>
      </c>
      <c r="AS81" s="56">
        <f>AT5+AT6-AQ78+AT7</f>
        <v>30</v>
      </c>
    </row>
    <row r="82" spans="3:46" ht="15.75" thickBot="1" x14ac:dyDescent="0.3"/>
    <row r="83" spans="3:46" ht="15.75" thickBot="1" x14ac:dyDescent="0.3">
      <c r="C83" s="1270" t="s">
        <v>11</v>
      </c>
      <c r="D83" s="1271"/>
      <c r="E83" s="57">
        <f>E5+E6-F78+E7</f>
        <v>50</v>
      </c>
      <c r="F83" s="73"/>
      <c r="M83" s="1270" t="s">
        <v>11</v>
      </c>
      <c r="N83" s="1271"/>
      <c r="O83" s="57">
        <f>O5+O6-P78+O7</f>
        <v>80</v>
      </c>
      <c r="P83" s="73"/>
      <c r="W83" s="1270" t="s">
        <v>11</v>
      </c>
      <c r="X83" s="1271"/>
      <c r="Y83" s="57">
        <f>Y5+Y6-Z78+Y7</f>
        <v>250</v>
      </c>
      <c r="Z83" s="73"/>
      <c r="AG83" s="1270" t="s">
        <v>11</v>
      </c>
      <c r="AH83" s="1271"/>
      <c r="AI83" s="57">
        <f>AI5+AI6-AJ78+AI7</f>
        <v>20</v>
      </c>
      <c r="AJ83" s="73"/>
      <c r="AQ83" s="1270" t="s">
        <v>11</v>
      </c>
      <c r="AR83" s="1271"/>
      <c r="AS83" s="57">
        <f>AS5+AS6-AT78+AS7</f>
        <v>300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K1" workbookViewId="0">
      <selection activeCell="R5" sqref="R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268" t="s">
        <v>330</v>
      </c>
      <c r="B1" s="1268"/>
      <c r="C1" s="1268"/>
      <c r="D1" s="1268"/>
      <c r="E1" s="1268"/>
      <c r="F1" s="1268"/>
      <c r="G1" s="1268"/>
      <c r="H1" s="11">
        <v>1</v>
      </c>
      <c r="L1" s="1272" t="s">
        <v>510</v>
      </c>
      <c r="M1" s="1272"/>
      <c r="N1" s="1272"/>
      <c r="O1" s="1272"/>
      <c r="P1" s="1272"/>
      <c r="Q1" s="1272"/>
      <c r="R1" s="1272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/>
      <c r="Q4" s="73"/>
      <c r="R4" s="73"/>
    </row>
    <row r="5" spans="1:21" ht="15" customHeight="1" x14ac:dyDescent="0.25">
      <c r="A5" s="1273" t="s">
        <v>222</v>
      </c>
      <c r="B5" s="1281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  <c r="L5" s="1273" t="s">
        <v>222</v>
      </c>
      <c r="M5" s="1281" t="s">
        <v>100</v>
      </c>
      <c r="N5" s="199"/>
      <c r="O5" s="149">
        <v>44921</v>
      </c>
      <c r="P5" s="132">
        <v>18568</v>
      </c>
      <c r="Q5" s="73">
        <v>620</v>
      </c>
      <c r="R5" s="132">
        <f>Q31</f>
        <v>0</v>
      </c>
      <c r="S5" s="138">
        <f>P4+P5-R5+P6+P7</f>
        <v>18568</v>
      </c>
    </row>
    <row r="6" spans="1:21" x14ac:dyDescent="0.25">
      <c r="A6" s="1273"/>
      <c r="B6" s="1281"/>
      <c r="C6" s="199"/>
      <c r="D6" s="149"/>
      <c r="E6" s="105"/>
      <c r="F6" s="73"/>
      <c r="L6" s="1273"/>
      <c r="M6" s="1281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6" t="s">
        <v>3</v>
      </c>
    </row>
    <row r="9" spans="1:21" ht="15.75" thickTop="1" x14ac:dyDescent="0.25">
      <c r="A9" s="73"/>
      <c r="B9" s="866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67">
        <f>H9*F9</f>
        <v>32670</v>
      </c>
      <c r="J9" s="737">
        <f>E4+E5+E6+E7-F9</f>
        <v>18351.099999999999</v>
      </c>
      <c r="L9" s="73"/>
      <c r="M9" s="866">
        <f>Q5-N9+Q4+Q6+Q7</f>
        <v>620</v>
      </c>
      <c r="N9" s="15"/>
      <c r="O9" s="92"/>
      <c r="P9" s="195"/>
      <c r="Q9" s="69">
        <f t="shared" ref="Q9:Q30" si="1">O9</f>
        <v>0</v>
      </c>
      <c r="R9" s="70"/>
      <c r="S9" s="71"/>
      <c r="T9" s="867">
        <f>S9*Q9</f>
        <v>0</v>
      </c>
      <c r="U9" s="737">
        <f>P4+P5+P6+P7-Q9</f>
        <v>18568</v>
      </c>
    </row>
    <row r="10" spans="1:21" x14ac:dyDescent="0.25">
      <c r="B10" s="866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68">
        <f t="shared" ref="I10:I30" si="2">H10*F10</f>
        <v>33260</v>
      </c>
      <c r="J10" s="737">
        <f>J9-F10</f>
        <v>17685.899999999998</v>
      </c>
      <c r="M10" s="866">
        <f>M9-N10</f>
        <v>620</v>
      </c>
      <c r="N10" s="15"/>
      <c r="O10" s="92"/>
      <c r="P10" s="195"/>
      <c r="Q10" s="69">
        <f t="shared" si="1"/>
        <v>0</v>
      </c>
      <c r="R10" s="70"/>
      <c r="S10" s="71"/>
      <c r="T10" s="868">
        <f t="shared" ref="T10:T30" si="3">S10*Q10</f>
        <v>0</v>
      </c>
      <c r="U10" s="737">
        <f>U9-Q10</f>
        <v>18568</v>
      </c>
    </row>
    <row r="11" spans="1:21" x14ac:dyDescent="0.25">
      <c r="A11" s="55" t="s">
        <v>32</v>
      </c>
      <c r="B11" s="866">
        <f t="shared" ref="B11:B30" si="4">B10-C11</f>
        <v>596</v>
      </c>
      <c r="C11" s="821">
        <v>24</v>
      </c>
      <c r="D11" s="699">
        <v>666.4</v>
      </c>
      <c r="E11" s="858">
        <v>44873</v>
      </c>
      <c r="F11" s="702">
        <f t="shared" ref="F11:F30" si="5">D11</f>
        <v>666.4</v>
      </c>
      <c r="G11" s="700" t="s">
        <v>252</v>
      </c>
      <c r="H11" s="701">
        <v>50</v>
      </c>
      <c r="I11" s="868">
        <f t="shared" si="2"/>
        <v>33320</v>
      </c>
      <c r="J11" s="737">
        <f t="shared" ref="J11:J12" si="6">J10-F11</f>
        <v>17019.499999999996</v>
      </c>
      <c r="L11" s="55" t="s">
        <v>32</v>
      </c>
      <c r="M11" s="866">
        <f t="shared" ref="M11:M30" si="7">M10-N11</f>
        <v>620</v>
      </c>
      <c r="N11" s="821"/>
      <c r="O11" s="699"/>
      <c r="P11" s="858"/>
      <c r="Q11" s="702">
        <f t="shared" si="1"/>
        <v>0</v>
      </c>
      <c r="R11" s="700"/>
      <c r="S11" s="701"/>
      <c r="T11" s="868">
        <f t="shared" si="3"/>
        <v>0</v>
      </c>
      <c r="U11" s="737">
        <f t="shared" ref="U11:U12" si="8">U10-Q11</f>
        <v>18568</v>
      </c>
    </row>
    <row r="12" spans="1:21" x14ac:dyDescent="0.25">
      <c r="A12" s="85"/>
      <c r="B12" s="866">
        <f t="shared" si="4"/>
        <v>572</v>
      </c>
      <c r="C12" s="821">
        <v>24</v>
      </c>
      <c r="D12" s="699">
        <v>601</v>
      </c>
      <c r="E12" s="858">
        <v>44875</v>
      </c>
      <c r="F12" s="702">
        <f t="shared" si="5"/>
        <v>601</v>
      </c>
      <c r="G12" s="700" t="s">
        <v>261</v>
      </c>
      <c r="H12" s="701">
        <v>50</v>
      </c>
      <c r="I12" s="868">
        <f t="shared" si="2"/>
        <v>30050</v>
      </c>
      <c r="J12" s="737">
        <f t="shared" si="6"/>
        <v>16418.499999999996</v>
      </c>
      <c r="L12" s="85"/>
      <c r="M12" s="866">
        <f t="shared" si="7"/>
        <v>620</v>
      </c>
      <c r="N12" s="821"/>
      <c r="O12" s="699"/>
      <c r="P12" s="858"/>
      <c r="Q12" s="702">
        <f t="shared" si="1"/>
        <v>0</v>
      </c>
      <c r="R12" s="700"/>
      <c r="S12" s="701"/>
      <c r="T12" s="868">
        <f t="shared" si="3"/>
        <v>0</v>
      </c>
      <c r="U12" s="737">
        <f t="shared" si="8"/>
        <v>18568</v>
      </c>
    </row>
    <row r="13" spans="1:21" x14ac:dyDescent="0.25">
      <c r="B13" s="866">
        <f t="shared" si="4"/>
        <v>548</v>
      </c>
      <c r="C13" s="821">
        <v>24</v>
      </c>
      <c r="D13" s="699">
        <v>685.1</v>
      </c>
      <c r="E13" s="858">
        <v>44877</v>
      </c>
      <c r="F13" s="702">
        <f t="shared" si="5"/>
        <v>685.1</v>
      </c>
      <c r="G13" s="700" t="s">
        <v>271</v>
      </c>
      <c r="H13" s="701">
        <v>50</v>
      </c>
      <c r="I13" s="868">
        <f t="shared" si="2"/>
        <v>34255</v>
      </c>
      <c r="J13" s="737">
        <f>J12-F13</f>
        <v>15733.399999999996</v>
      </c>
      <c r="M13" s="866">
        <f t="shared" si="7"/>
        <v>620</v>
      </c>
      <c r="N13" s="821"/>
      <c r="O13" s="699"/>
      <c r="P13" s="858"/>
      <c r="Q13" s="702">
        <f t="shared" si="1"/>
        <v>0</v>
      </c>
      <c r="R13" s="700"/>
      <c r="S13" s="701"/>
      <c r="T13" s="868">
        <f t="shared" si="3"/>
        <v>0</v>
      </c>
      <c r="U13" s="737">
        <f>U12-Q13</f>
        <v>18568</v>
      </c>
    </row>
    <row r="14" spans="1:21" x14ac:dyDescent="0.25">
      <c r="A14" s="55" t="s">
        <v>33</v>
      </c>
      <c r="B14" s="866">
        <f t="shared" si="4"/>
        <v>524</v>
      </c>
      <c r="C14" s="821">
        <v>24</v>
      </c>
      <c r="D14" s="699">
        <v>701.7</v>
      </c>
      <c r="E14" s="858">
        <v>44879</v>
      </c>
      <c r="F14" s="702">
        <f t="shared" si="5"/>
        <v>701.7</v>
      </c>
      <c r="G14" s="700" t="s">
        <v>272</v>
      </c>
      <c r="H14" s="701">
        <v>50</v>
      </c>
      <c r="I14" s="868">
        <f t="shared" si="2"/>
        <v>35085</v>
      </c>
      <c r="J14" s="737">
        <f t="shared" ref="J14:J30" si="9">J13-F14</f>
        <v>15031.699999999995</v>
      </c>
      <c r="L14" s="55" t="s">
        <v>33</v>
      </c>
      <c r="M14" s="866">
        <f t="shared" si="7"/>
        <v>620</v>
      </c>
      <c r="N14" s="821"/>
      <c r="O14" s="699"/>
      <c r="P14" s="858"/>
      <c r="Q14" s="702">
        <f t="shared" si="1"/>
        <v>0</v>
      </c>
      <c r="R14" s="700"/>
      <c r="S14" s="701"/>
      <c r="T14" s="868">
        <f t="shared" si="3"/>
        <v>0</v>
      </c>
      <c r="U14" s="737">
        <f t="shared" ref="U14:U30" si="10">U13-Q14</f>
        <v>18568</v>
      </c>
    </row>
    <row r="15" spans="1:21" x14ac:dyDescent="0.25">
      <c r="A15" s="735"/>
      <c r="B15" s="866">
        <f t="shared" si="4"/>
        <v>500</v>
      </c>
      <c r="C15" s="821">
        <v>24</v>
      </c>
      <c r="D15" s="699">
        <v>739.6</v>
      </c>
      <c r="E15" s="858">
        <v>44881</v>
      </c>
      <c r="F15" s="702">
        <f t="shared" si="5"/>
        <v>739.6</v>
      </c>
      <c r="G15" s="700" t="s">
        <v>279</v>
      </c>
      <c r="H15" s="701">
        <v>50</v>
      </c>
      <c r="I15" s="868">
        <f t="shared" si="2"/>
        <v>36980</v>
      </c>
      <c r="J15" s="737">
        <f t="shared" si="9"/>
        <v>14292.099999999995</v>
      </c>
      <c r="L15" s="735"/>
      <c r="M15" s="866">
        <f t="shared" si="7"/>
        <v>620</v>
      </c>
      <c r="N15" s="821"/>
      <c r="O15" s="699"/>
      <c r="P15" s="858"/>
      <c r="Q15" s="702">
        <f t="shared" si="1"/>
        <v>0</v>
      </c>
      <c r="R15" s="700"/>
      <c r="S15" s="701"/>
      <c r="T15" s="868">
        <f t="shared" si="3"/>
        <v>0</v>
      </c>
      <c r="U15" s="737">
        <f t="shared" si="10"/>
        <v>18568</v>
      </c>
    </row>
    <row r="16" spans="1:21" ht="15.75" x14ac:dyDescent="0.25">
      <c r="A16" s="865"/>
      <c r="B16" s="866">
        <f t="shared" si="4"/>
        <v>476</v>
      </c>
      <c r="C16" s="821">
        <v>24</v>
      </c>
      <c r="D16" s="699">
        <v>688.6</v>
      </c>
      <c r="E16" s="858">
        <v>44883</v>
      </c>
      <c r="F16" s="702">
        <f t="shared" si="5"/>
        <v>688.6</v>
      </c>
      <c r="G16" s="700" t="s">
        <v>287</v>
      </c>
      <c r="H16" s="701">
        <v>50</v>
      </c>
      <c r="I16" s="868">
        <f t="shared" si="2"/>
        <v>34430</v>
      </c>
      <c r="J16" s="737">
        <f t="shared" si="9"/>
        <v>13603.499999999995</v>
      </c>
      <c r="L16" s="865"/>
      <c r="M16" s="866">
        <f t="shared" si="7"/>
        <v>620</v>
      </c>
      <c r="N16" s="821"/>
      <c r="O16" s="699"/>
      <c r="P16" s="858"/>
      <c r="Q16" s="702">
        <f t="shared" si="1"/>
        <v>0</v>
      </c>
      <c r="R16" s="700"/>
      <c r="S16" s="701"/>
      <c r="T16" s="868">
        <f t="shared" si="3"/>
        <v>0</v>
      </c>
      <c r="U16" s="737">
        <f t="shared" si="10"/>
        <v>18568</v>
      </c>
    </row>
    <row r="17" spans="1:21" ht="15.75" x14ac:dyDescent="0.25">
      <c r="A17" s="865"/>
      <c r="B17" s="866">
        <f t="shared" si="4"/>
        <v>452</v>
      </c>
      <c r="C17" s="821">
        <v>24</v>
      </c>
      <c r="D17" s="699">
        <v>712.8</v>
      </c>
      <c r="E17" s="858">
        <v>44884</v>
      </c>
      <c r="F17" s="702">
        <f t="shared" si="5"/>
        <v>712.8</v>
      </c>
      <c r="G17" s="700" t="s">
        <v>291</v>
      </c>
      <c r="H17" s="701">
        <v>50</v>
      </c>
      <c r="I17" s="868">
        <f t="shared" si="2"/>
        <v>35640</v>
      </c>
      <c r="J17" s="737">
        <f t="shared" si="9"/>
        <v>12890.699999999995</v>
      </c>
      <c r="L17" s="865"/>
      <c r="M17" s="866">
        <f t="shared" si="7"/>
        <v>620</v>
      </c>
      <c r="N17" s="821"/>
      <c r="O17" s="699"/>
      <c r="P17" s="858"/>
      <c r="Q17" s="702">
        <f t="shared" si="1"/>
        <v>0</v>
      </c>
      <c r="R17" s="700"/>
      <c r="S17" s="701"/>
      <c r="T17" s="868">
        <f t="shared" si="3"/>
        <v>0</v>
      </c>
      <c r="U17" s="737">
        <f t="shared" si="10"/>
        <v>18568</v>
      </c>
    </row>
    <row r="18" spans="1:21" ht="15.75" x14ac:dyDescent="0.25">
      <c r="A18" s="865"/>
      <c r="B18" s="866">
        <f t="shared" si="4"/>
        <v>428</v>
      </c>
      <c r="C18" s="821">
        <v>24</v>
      </c>
      <c r="D18" s="699">
        <v>714.4</v>
      </c>
      <c r="E18" s="858">
        <v>44888</v>
      </c>
      <c r="F18" s="702">
        <f t="shared" si="5"/>
        <v>714.4</v>
      </c>
      <c r="G18" s="700" t="s">
        <v>296</v>
      </c>
      <c r="H18" s="701">
        <v>50</v>
      </c>
      <c r="I18" s="868">
        <f t="shared" si="2"/>
        <v>35720</v>
      </c>
      <c r="J18" s="737">
        <f t="shared" si="9"/>
        <v>12176.299999999996</v>
      </c>
      <c r="L18" s="865"/>
      <c r="M18" s="866">
        <f t="shared" si="7"/>
        <v>620</v>
      </c>
      <c r="N18" s="821"/>
      <c r="O18" s="699"/>
      <c r="P18" s="858"/>
      <c r="Q18" s="702">
        <f t="shared" si="1"/>
        <v>0</v>
      </c>
      <c r="R18" s="700"/>
      <c r="S18" s="701"/>
      <c r="T18" s="868">
        <f t="shared" si="3"/>
        <v>0</v>
      </c>
      <c r="U18" s="737">
        <f t="shared" si="10"/>
        <v>18568</v>
      </c>
    </row>
    <row r="19" spans="1:21" x14ac:dyDescent="0.25">
      <c r="A19" s="735"/>
      <c r="B19" s="823">
        <f t="shared" si="4"/>
        <v>404</v>
      </c>
      <c r="C19" s="821">
        <v>24</v>
      </c>
      <c r="D19" s="699">
        <v>691.4</v>
      </c>
      <c r="E19" s="858">
        <v>44891</v>
      </c>
      <c r="F19" s="702">
        <f t="shared" si="5"/>
        <v>691.4</v>
      </c>
      <c r="G19" s="700" t="s">
        <v>313</v>
      </c>
      <c r="H19" s="701">
        <v>50</v>
      </c>
      <c r="I19" s="868">
        <f t="shared" si="2"/>
        <v>34570</v>
      </c>
      <c r="J19" s="824">
        <f t="shared" si="9"/>
        <v>11484.899999999996</v>
      </c>
      <c r="L19" s="735"/>
      <c r="M19" s="866">
        <f t="shared" si="7"/>
        <v>620</v>
      </c>
      <c r="N19" s="821"/>
      <c r="O19" s="699"/>
      <c r="P19" s="858"/>
      <c r="Q19" s="702">
        <f t="shared" si="1"/>
        <v>0</v>
      </c>
      <c r="R19" s="700"/>
      <c r="S19" s="701"/>
      <c r="T19" s="868">
        <f t="shared" si="3"/>
        <v>0</v>
      </c>
      <c r="U19" s="737">
        <f t="shared" si="10"/>
        <v>18568</v>
      </c>
    </row>
    <row r="20" spans="1:21" x14ac:dyDescent="0.25">
      <c r="A20" s="735"/>
      <c r="B20" s="866">
        <f t="shared" si="4"/>
        <v>404</v>
      </c>
      <c r="C20" s="821"/>
      <c r="D20" s="993"/>
      <c r="E20" s="994"/>
      <c r="F20" s="995">
        <f t="shared" si="5"/>
        <v>0</v>
      </c>
      <c r="G20" s="996"/>
      <c r="H20" s="997"/>
      <c r="I20" s="868">
        <f t="shared" si="2"/>
        <v>0</v>
      </c>
      <c r="J20" s="737">
        <f t="shared" si="9"/>
        <v>11484.899999999996</v>
      </c>
      <c r="L20" s="735"/>
      <c r="M20" s="866">
        <f t="shared" si="7"/>
        <v>620</v>
      </c>
      <c r="N20" s="821"/>
      <c r="O20" s="699"/>
      <c r="P20" s="858"/>
      <c r="Q20" s="702">
        <f t="shared" si="1"/>
        <v>0</v>
      </c>
      <c r="R20" s="700"/>
      <c r="S20" s="997"/>
      <c r="T20" s="868">
        <f t="shared" si="3"/>
        <v>0</v>
      </c>
      <c r="U20" s="737">
        <f t="shared" si="10"/>
        <v>18568</v>
      </c>
    </row>
    <row r="21" spans="1:21" x14ac:dyDescent="0.25">
      <c r="B21" s="866">
        <f t="shared" si="4"/>
        <v>404</v>
      </c>
      <c r="C21" s="821"/>
      <c r="D21" s="993"/>
      <c r="E21" s="994"/>
      <c r="F21" s="995">
        <f t="shared" si="5"/>
        <v>0</v>
      </c>
      <c r="G21" s="996"/>
      <c r="H21" s="997"/>
      <c r="I21" s="868">
        <f t="shared" si="2"/>
        <v>0</v>
      </c>
      <c r="J21" s="737">
        <f t="shared" si="9"/>
        <v>11484.899999999996</v>
      </c>
      <c r="M21" s="866">
        <f t="shared" si="7"/>
        <v>620</v>
      </c>
      <c r="N21" s="821"/>
      <c r="O21" s="699"/>
      <c r="P21" s="858"/>
      <c r="Q21" s="702">
        <f t="shared" si="1"/>
        <v>0</v>
      </c>
      <c r="R21" s="700"/>
      <c r="S21" s="997"/>
      <c r="T21" s="868">
        <f t="shared" si="3"/>
        <v>0</v>
      </c>
      <c r="U21" s="737">
        <f t="shared" si="10"/>
        <v>18568</v>
      </c>
    </row>
    <row r="22" spans="1:21" x14ac:dyDescent="0.25">
      <c r="B22" s="866">
        <f t="shared" si="4"/>
        <v>404</v>
      </c>
      <c r="C22" s="821"/>
      <c r="D22" s="993"/>
      <c r="E22" s="994"/>
      <c r="F22" s="995">
        <f t="shared" si="5"/>
        <v>0</v>
      </c>
      <c r="G22" s="996"/>
      <c r="H22" s="997"/>
      <c r="I22" s="868">
        <f t="shared" si="2"/>
        <v>0</v>
      </c>
      <c r="J22" s="737">
        <f t="shared" si="9"/>
        <v>11484.899999999996</v>
      </c>
      <c r="M22" s="866">
        <f t="shared" si="7"/>
        <v>620</v>
      </c>
      <c r="N22" s="821"/>
      <c r="O22" s="699"/>
      <c r="P22" s="858"/>
      <c r="Q22" s="702">
        <f t="shared" si="1"/>
        <v>0</v>
      </c>
      <c r="R22" s="700"/>
      <c r="S22" s="997"/>
      <c r="T22" s="868">
        <f t="shared" si="3"/>
        <v>0</v>
      </c>
      <c r="U22" s="737">
        <f t="shared" si="10"/>
        <v>18568</v>
      </c>
    </row>
    <row r="23" spans="1:21" x14ac:dyDescent="0.25">
      <c r="B23" s="866">
        <f t="shared" si="4"/>
        <v>404</v>
      </c>
      <c r="C23" s="821"/>
      <c r="D23" s="993"/>
      <c r="E23" s="994"/>
      <c r="F23" s="995">
        <f t="shared" si="5"/>
        <v>0</v>
      </c>
      <c r="G23" s="996"/>
      <c r="H23" s="997"/>
      <c r="I23" s="868">
        <f t="shared" si="2"/>
        <v>0</v>
      </c>
      <c r="J23" s="737">
        <f t="shared" si="9"/>
        <v>11484.899999999996</v>
      </c>
      <c r="M23" s="866">
        <f t="shared" si="7"/>
        <v>620</v>
      </c>
      <c r="N23" s="821"/>
      <c r="O23" s="699"/>
      <c r="P23" s="858"/>
      <c r="Q23" s="702">
        <f t="shared" si="1"/>
        <v>0</v>
      </c>
      <c r="R23" s="700"/>
      <c r="S23" s="997"/>
      <c r="T23" s="868">
        <f t="shared" si="3"/>
        <v>0</v>
      </c>
      <c r="U23" s="737">
        <f t="shared" si="10"/>
        <v>18568</v>
      </c>
    </row>
    <row r="24" spans="1:21" x14ac:dyDescent="0.25">
      <c r="B24" s="866">
        <f t="shared" si="4"/>
        <v>404</v>
      </c>
      <c r="C24" s="821"/>
      <c r="D24" s="993"/>
      <c r="E24" s="994"/>
      <c r="F24" s="995">
        <f t="shared" si="5"/>
        <v>0</v>
      </c>
      <c r="G24" s="996"/>
      <c r="H24" s="997"/>
      <c r="I24" s="868">
        <f t="shared" si="2"/>
        <v>0</v>
      </c>
      <c r="J24" s="737">
        <f t="shared" si="9"/>
        <v>11484.899999999996</v>
      </c>
      <c r="M24" s="866">
        <f t="shared" si="7"/>
        <v>620</v>
      </c>
      <c r="N24" s="821"/>
      <c r="O24" s="699"/>
      <c r="P24" s="858"/>
      <c r="Q24" s="702">
        <f t="shared" si="1"/>
        <v>0</v>
      </c>
      <c r="R24" s="700"/>
      <c r="S24" s="997"/>
      <c r="T24" s="868">
        <f t="shared" si="3"/>
        <v>0</v>
      </c>
      <c r="U24" s="737">
        <f t="shared" si="10"/>
        <v>18568</v>
      </c>
    </row>
    <row r="25" spans="1:21" x14ac:dyDescent="0.25">
      <c r="B25" s="866">
        <f t="shared" si="4"/>
        <v>404</v>
      </c>
      <c r="C25" s="821"/>
      <c r="D25" s="993"/>
      <c r="E25" s="994"/>
      <c r="F25" s="995">
        <f t="shared" si="5"/>
        <v>0</v>
      </c>
      <c r="G25" s="996"/>
      <c r="H25" s="997"/>
      <c r="I25" s="868">
        <f t="shared" si="2"/>
        <v>0</v>
      </c>
      <c r="J25" s="737">
        <f t="shared" si="9"/>
        <v>11484.899999999996</v>
      </c>
      <c r="M25" s="866">
        <f t="shared" si="7"/>
        <v>620</v>
      </c>
      <c r="N25" s="821"/>
      <c r="O25" s="699"/>
      <c r="P25" s="858"/>
      <c r="Q25" s="702">
        <f t="shared" si="1"/>
        <v>0</v>
      </c>
      <c r="R25" s="700"/>
      <c r="S25" s="997"/>
      <c r="T25" s="868">
        <f t="shared" si="3"/>
        <v>0</v>
      </c>
      <c r="U25" s="737">
        <f t="shared" si="10"/>
        <v>18568</v>
      </c>
    </row>
    <row r="26" spans="1:21" x14ac:dyDescent="0.25">
      <c r="B26" s="866">
        <f t="shared" si="4"/>
        <v>404</v>
      </c>
      <c r="C26" s="821"/>
      <c r="D26" s="993"/>
      <c r="E26" s="994"/>
      <c r="F26" s="995">
        <f t="shared" si="5"/>
        <v>0</v>
      </c>
      <c r="G26" s="996"/>
      <c r="H26" s="997"/>
      <c r="I26" s="868">
        <f t="shared" si="2"/>
        <v>0</v>
      </c>
      <c r="J26" s="737">
        <f t="shared" si="9"/>
        <v>11484.899999999996</v>
      </c>
      <c r="M26" s="866">
        <f t="shared" si="7"/>
        <v>620</v>
      </c>
      <c r="N26" s="821"/>
      <c r="O26" s="699"/>
      <c r="P26" s="858"/>
      <c r="Q26" s="702">
        <f t="shared" si="1"/>
        <v>0</v>
      </c>
      <c r="R26" s="700"/>
      <c r="S26" s="997"/>
      <c r="T26" s="868">
        <f t="shared" si="3"/>
        <v>0</v>
      </c>
      <c r="U26" s="737">
        <f t="shared" si="10"/>
        <v>18568</v>
      </c>
    </row>
    <row r="27" spans="1:21" x14ac:dyDescent="0.25">
      <c r="B27" s="866">
        <f t="shared" si="4"/>
        <v>404</v>
      </c>
      <c r="C27" s="821"/>
      <c r="D27" s="993"/>
      <c r="E27" s="994"/>
      <c r="F27" s="995">
        <f t="shared" si="5"/>
        <v>0</v>
      </c>
      <c r="G27" s="996"/>
      <c r="H27" s="997"/>
      <c r="I27" s="868">
        <f t="shared" si="2"/>
        <v>0</v>
      </c>
      <c r="J27" s="737">
        <f t="shared" si="9"/>
        <v>11484.899999999996</v>
      </c>
      <c r="M27" s="866">
        <f t="shared" si="7"/>
        <v>620</v>
      </c>
      <c r="N27" s="821"/>
      <c r="O27" s="699"/>
      <c r="P27" s="858"/>
      <c r="Q27" s="702">
        <f t="shared" si="1"/>
        <v>0</v>
      </c>
      <c r="R27" s="700"/>
      <c r="S27" s="997"/>
      <c r="T27" s="868">
        <f t="shared" si="3"/>
        <v>0</v>
      </c>
      <c r="U27" s="737">
        <f t="shared" si="10"/>
        <v>18568</v>
      </c>
    </row>
    <row r="28" spans="1:21" x14ac:dyDescent="0.25">
      <c r="B28" s="866">
        <f t="shared" si="4"/>
        <v>404</v>
      </c>
      <c r="C28" s="821"/>
      <c r="D28" s="995"/>
      <c r="E28" s="994"/>
      <c r="F28" s="995">
        <f t="shared" si="5"/>
        <v>0</v>
      </c>
      <c r="G28" s="996"/>
      <c r="H28" s="997"/>
      <c r="I28" s="868">
        <f t="shared" si="2"/>
        <v>0</v>
      </c>
      <c r="J28" s="737">
        <f t="shared" si="9"/>
        <v>11484.899999999996</v>
      </c>
      <c r="M28" s="866">
        <f t="shared" si="7"/>
        <v>620</v>
      </c>
      <c r="N28" s="821"/>
      <c r="O28" s="702"/>
      <c r="P28" s="858"/>
      <c r="Q28" s="702">
        <f t="shared" si="1"/>
        <v>0</v>
      </c>
      <c r="R28" s="700"/>
      <c r="S28" s="997"/>
      <c r="T28" s="868">
        <f t="shared" si="3"/>
        <v>0</v>
      </c>
      <c r="U28" s="737">
        <f t="shared" si="10"/>
        <v>18568</v>
      </c>
    </row>
    <row r="29" spans="1:21" ht="15.75" thickBot="1" x14ac:dyDescent="0.3">
      <c r="B29" s="866">
        <f t="shared" si="4"/>
        <v>404</v>
      </c>
      <c r="C29" s="821"/>
      <c r="D29" s="995"/>
      <c r="E29" s="994"/>
      <c r="F29" s="995">
        <f t="shared" si="5"/>
        <v>0</v>
      </c>
      <c r="G29" s="996"/>
      <c r="H29" s="997"/>
      <c r="I29" s="869">
        <f t="shared" si="2"/>
        <v>0</v>
      </c>
      <c r="J29" s="737">
        <f t="shared" si="9"/>
        <v>11484.899999999996</v>
      </c>
      <c r="M29" s="866">
        <f t="shared" si="7"/>
        <v>620</v>
      </c>
      <c r="N29" s="821"/>
      <c r="O29" s="702"/>
      <c r="P29" s="858"/>
      <c r="Q29" s="702">
        <f t="shared" si="1"/>
        <v>0</v>
      </c>
      <c r="R29" s="700"/>
      <c r="S29" s="997"/>
      <c r="T29" s="869">
        <f t="shared" si="3"/>
        <v>0</v>
      </c>
      <c r="U29" s="737">
        <f t="shared" si="10"/>
        <v>18568</v>
      </c>
    </row>
    <row r="30" spans="1:21" ht="15.75" thickBot="1" x14ac:dyDescent="0.3">
      <c r="B30" s="866">
        <f t="shared" si="4"/>
        <v>404</v>
      </c>
      <c r="C30" s="870"/>
      <c r="D30" s="1009">
        <f t="shared" ref="D30" si="11">C30*B30</f>
        <v>0</v>
      </c>
      <c r="E30" s="1010"/>
      <c r="F30" s="1009">
        <f t="shared" si="5"/>
        <v>0</v>
      </c>
      <c r="G30" s="1011"/>
      <c r="H30" s="1012"/>
      <c r="I30" s="871">
        <f t="shared" si="2"/>
        <v>0</v>
      </c>
      <c r="J30" s="737">
        <f t="shared" si="9"/>
        <v>11484.899999999996</v>
      </c>
      <c r="M30" s="866">
        <f t="shared" si="7"/>
        <v>620</v>
      </c>
      <c r="N30" s="870"/>
      <c r="O30" s="1135">
        <f t="shared" ref="O30" si="12">N30*M30</f>
        <v>0</v>
      </c>
      <c r="P30" s="1136"/>
      <c r="Q30" s="1135">
        <f t="shared" si="1"/>
        <v>0</v>
      </c>
      <c r="R30" s="1137"/>
      <c r="S30" s="1012"/>
      <c r="T30" s="871">
        <f t="shared" si="3"/>
        <v>0</v>
      </c>
      <c r="U30" s="737">
        <f t="shared" si="10"/>
        <v>18568</v>
      </c>
    </row>
    <row r="31" spans="1:21" ht="16.5" thickTop="1" x14ac:dyDescent="0.25">
      <c r="B31" s="735"/>
      <c r="C31" s="821">
        <f>SUM(C9:C30)</f>
        <v>264</v>
      </c>
      <c r="D31" s="872">
        <f>SUM(D9:D30)</f>
        <v>7519.6</v>
      </c>
      <c r="E31" s="873"/>
      <c r="F31" s="702">
        <f>SUM(F9:F30)</f>
        <v>7519.6</v>
      </c>
      <c r="G31" s="874"/>
      <c r="H31" s="871"/>
      <c r="I31" s="875">
        <f>SUM(I9:I30)</f>
        <v>375980</v>
      </c>
      <c r="J31" s="735"/>
      <c r="M31" s="735"/>
      <c r="N31" s="821">
        <f>SUM(N9:N30)</f>
        <v>0</v>
      </c>
      <c r="O31" s="872">
        <f>SUM(O9:O30)</f>
        <v>0</v>
      </c>
      <c r="P31" s="873"/>
      <c r="Q31" s="702">
        <f>SUM(Q9:Q30)</f>
        <v>0</v>
      </c>
      <c r="R31" s="874"/>
      <c r="S31" s="871"/>
      <c r="T31" s="875">
        <f>SUM(T9:T30)</f>
        <v>0</v>
      </c>
      <c r="U31" s="735"/>
    </row>
    <row r="32" spans="1:21" ht="15.75" thickBot="1" x14ac:dyDescent="0.3">
      <c r="B32" s="735"/>
      <c r="C32" s="821"/>
      <c r="D32" s="876"/>
      <c r="E32" s="873"/>
      <c r="F32" s="876"/>
      <c r="G32" s="874"/>
      <c r="H32" s="871"/>
      <c r="I32" s="735"/>
      <c r="J32" s="735"/>
      <c r="M32" s="735"/>
      <c r="N32" s="821"/>
      <c r="O32" s="876"/>
      <c r="P32" s="873"/>
      <c r="Q32" s="876"/>
      <c r="R32" s="874"/>
      <c r="S32" s="871"/>
      <c r="T32" s="735"/>
      <c r="U32" s="735"/>
    </row>
    <row r="33" spans="2:21" x14ac:dyDescent="0.25">
      <c r="B33" s="735"/>
      <c r="C33" s="877" t="s">
        <v>4</v>
      </c>
      <c r="D33" s="878">
        <f>F4+F5+F6+F7-C31</f>
        <v>404</v>
      </c>
      <c r="E33" s="879"/>
      <c r="F33" s="876"/>
      <c r="G33" s="874"/>
      <c r="H33" s="871"/>
      <c r="I33" s="735"/>
      <c r="J33" s="735"/>
      <c r="M33" s="735"/>
      <c r="N33" s="877" t="s">
        <v>4</v>
      </c>
      <c r="O33" s="878">
        <f>Q4+Q5+Q6+Q7-N31</f>
        <v>620</v>
      </c>
      <c r="P33" s="879"/>
      <c r="Q33" s="876"/>
      <c r="R33" s="874"/>
      <c r="S33" s="871"/>
      <c r="T33" s="735"/>
      <c r="U33" s="735"/>
    </row>
    <row r="34" spans="2:21" x14ac:dyDescent="0.25">
      <c r="B34" s="735"/>
      <c r="C34" s="1320" t="s">
        <v>19</v>
      </c>
      <c r="D34" s="1321"/>
      <c r="E34" s="880">
        <f>E4+E5+E6+E7-F31</f>
        <v>11484.9</v>
      </c>
      <c r="F34" s="876"/>
      <c r="G34" s="876"/>
      <c r="H34" s="871"/>
      <c r="I34" s="735"/>
      <c r="J34" s="735"/>
      <c r="M34" s="735"/>
      <c r="N34" s="1320" t="s">
        <v>19</v>
      </c>
      <c r="O34" s="1321"/>
      <c r="P34" s="880">
        <f>P4+P5+P6+P7-Q31</f>
        <v>18568</v>
      </c>
      <c r="Q34" s="876"/>
      <c r="R34" s="876"/>
      <c r="S34" s="871"/>
      <c r="T34" s="735"/>
      <c r="U34" s="735"/>
    </row>
    <row r="35" spans="2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2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24" t="s">
        <v>331</v>
      </c>
      <c r="B1" s="1324"/>
      <c r="C1" s="1324"/>
      <c r="D1" s="1324"/>
      <c r="E1" s="1324"/>
      <c r="F1" s="1324"/>
      <c r="G1" s="1324"/>
      <c r="H1" s="1324"/>
      <c r="I1" s="1324"/>
      <c r="J1" s="99">
        <v>1</v>
      </c>
      <c r="L1" s="1324" t="str">
        <f>A1</f>
        <v>INVENTARIO      DEL MES DE   NOVIEMBRE       2022</v>
      </c>
      <c r="M1" s="1324"/>
      <c r="N1" s="1324"/>
      <c r="O1" s="1324"/>
      <c r="P1" s="1324"/>
      <c r="Q1" s="1324"/>
      <c r="R1" s="1324"/>
      <c r="S1" s="1324"/>
      <c r="T1" s="1324"/>
      <c r="U1" s="99">
        <v>2</v>
      </c>
      <c r="W1" s="1324" t="str">
        <f>L1</f>
        <v>INVENTARIO      DEL MES DE   NOVIEMBRE       2022</v>
      </c>
      <c r="X1" s="1324"/>
      <c r="Y1" s="1324"/>
      <c r="Z1" s="1324"/>
      <c r="AA1" s="1324"/>
      <c r="AB1" s="1324"/>
      <c r="AC1" s="1324"/>
      <c r="AD1" s="1324"/>
      <c r="AE1" s="1324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7"/>
      <c r="B4" s="557"/>
      <c r="C4" s="236"/>
      <c r="D4" s="592"/>
      <c r="E4" s="593"/>
      <c r="F4" s="241"/>
      <c r="G4" s="73"/>
      <c r="L4" s="557"/>
      <c r="M4" s="557"/>
      <c r="N4" s="236">
        <v>80</v>
      </c>
      <c r="O4" s="336">
        <v>44819</v>
      </c>
      <c r="P4" s="856">
        <v>1299.74</v>
      </c>
      <c r="Q4" s="857">
        <v>48</v>
      </c>
      <c r="R4" s="73"/>
      <c r="W4" s="888"/>
      <c r="X4" s="735"/>
      <c r="Y4" s="884"/>
      <c r="Z4" s="885"/>
      <c r="AA4" s="886"/>
      <c r="AB4" s="887"/>
      <c r="AC4" s="73"/>
    </row>
    <row r="5" spans="1:32" ht="15" customHeight="1" x14ac:dyDescent="0.25">
      <c r="A5" s="1326" t="s">
        <v>52</v>
      </c>
      <c r="B5" s="1327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326" t="s">
        <v>52</v>
      </c>
      <c r="M5" s="1327" t="s">
        <v>87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325" t="s">
        <v>222</v>
      </c>
      <c r="X5" s="1328" t="s">
        <v>87</v>
      </c>
      <c r="Y5" s="884"/>
      <c r="Z5" s="885">
        <v>44867</v>
      </c>
      <c r="AA5" s="886">
        <v>18564</v>
      </c>
      <c r="AB5" s="887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326"/>
      <c r="B6" s="1281"/>
      <c r="C6" s="236">
        <v>85</v>
      </c>
      <c r="D6" s="336">
        <v>44764</v>
      </c>
      <c r="E6" s="255">
        <v>4005.63</v>
      </c>
      <c r="F6" s="241">
        <v>160</v>
      </c>
      <c r="G6" s="73"/>
      <c r="L6" s="1326"/>
      <c r="M6" s="1281"/>
      <c r="N6" s="236"/>
      <c r="O6" s="336"/>
      <c r="P6" s="255"/>
      <c r="Q6" s="241"/>
      <c r="R6" s="73"/>
      <c r="W6" s="1325"/>
      <c r="X6" s="1329"/>
      <c r="Y6" s="884"/>
      <c r="Z6" s="885"/>
      <c r="AA6" s="886"/>
      <c r="AB6" s="887"/>
      <c r="AC6" s="73"/>
    </row>
    <row r="7" spans="1:32" ht="15.75" customHeight="1" thickBot="1" x14ac:dyDescent="0.35">
      <c r="A7" s="1326"/>
      <c r="B7" s="1281"/>
      <c r="C7" s="236"/>
      <c r="D7" s="336"/>
      <c r="E7" s="255">
        <v>1.05</v>
      </c>
      <c r="F7" s="241"/>
      <c r="G7" s="73"/>
      <c r="I7" s="372"/>
      <c r="J7" s="372"/>
      <c r="L7" s="1326"/>
      <c r="M7" s="1281"/>
      <c r="N7" s="236"/>
      <c r="O7" s="336"/>
      <c r="P7" s="255"/>
      <c r="Q7" s="241"/>
      <c r="R7" s="73"/>
      <c r="T7" s="372"/>
      <c r="U7" s="372"/>
      <c r="W7" s="1325"/>
      <c r="X7" s="1330"/>
      <c r="Y7" s="884"/>
      <c r="Z7" s="885"/>
      <c r="AA7" s="886"/>
      <c r="AB7" s="887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315" t="s">
        <v>47</v>
      </c>
      <c r="J8" s="1322" t="s">
        <v>4</v>
      </c>
      <c r="M8" s="413"/>
      <c r="N8" s="236"/>
      <c r="O8" s="336"/>
      <c r="P8" s="239"/>
      <c r="Q8" s="240"/>
      <c r="R8" s="73"/>
      <c r="T8" s="1315" t="s">
        <v>47</v>
      </c>
      <c r="U8" s="1322" t="s">
        <v>4</v>
      </c>
      <c r="W8" s="3"/>
      <c r="X8" s="413"/>
      <c r="Y8" s="236"/>
      <c r="Z8" s="336"/>
      <c r="AA8" s="239"/>
      <c r="AB8" s="240"/>
      <c r="AC8" s="73"/>
      <c r="AE8" s="1315" t="s">
        <v>47</v>
      </c>
      <c r="AF8" s="132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16"/>
      <c r="J9" s="132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16"/>
      <c r="U9" s="132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16"/>
      <c r="AF9" s="1323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37">
        <f>P4+P5+P6-Q10+P7+P8</f>
        <v>1299.74</v>
      </c>
      <c r="U10" s="838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37">
        <f>AA4+AA5+AA6-AB10+AA7+AA8</f>
        <v>18564</v>
      </c>
      <c r="AF10" s="838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6">
        <v>110.66</v>
      </c>
      <c r="E24" s="634">
        <v>44776</v>
      </c>
      <c r="F24" s="629">
        <f t="shared" si="6"/>
        <v>110.66</v>
      </c>
      <c r="G24" s="630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6">
        <v>56.86</v>
      </c>
      <c r="E25" s="634">
        <v>44778</v>
      </c>
      <c r="F25" s="629">
        <f t="shared" si="6"/>
        <v>56.86</v>
      </c>
      <c r="G25" s="630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6">
        <v>104.61</v>
      </c>
      <c r="E26" s="634">
        <v>44781</v>
      </c>
      <c r="F26" s="629">
        <f t="shared" si="6"/>
        <v>104.61</v>
      </c>
      <c r="G26" s="630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6">
        <v>56.75</v>
      </c>
      <c r="E27" s="634">
        <v>44783</v>
      </c>
      <c r="F27" s="629">
        <f t="shared" si="6"/>
        <v>56.75</v>
      </c>
      <c r="G27" s="630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6">
        <v>101.28</v>
      </c>
      <c r="E28" s="634">
        <v>44784</v>
      </c>
      <c r="F28" s="629">
        <f t="shared" si="6"/>
        <v>101.28</v>
      </c>
      <c r="G28" s="630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6">
        <v>25.62</v>
      </c>
      <c r="E29" s="634">
        <v>44785</v>
      </c>
      <c r="F29" s="629">
        <f t="shared" si="6"/>
        <v>25.62</v>
      </c>
      <c r="G29" s="630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6">
        <v>53.43</v>
      </c>
      <c r="E30" s="634">
        <v>44785</v>
      </c>
      <c r="F30" s="629">
        <f t="shared" si="6"/>
        <v>53.43</v>
      </c>
      <c r="G30" s="630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6">
        <v>56.1</v>
      </c>
      <c r="E31" s="634">
        <v>44786</v>
      </c>
      <c r="F31" s="629">
        <f t="shared" si="6"/>
        <v>56.1</v>
      </c>
      <c r="G31" s="630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6">
        <v>56.8</v>
      </c>
      <c r="E32" s="634">
        <v>44788</v>
      </c>
      <c r="F32" s="629">
        <f t="shared" si="6"/>
        <v>56.8</v>
      </c>
      <c r="G32" s="630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6">
        <v>105.74</v>
      </c>
      <c r="E33" s="634">
        <v>44788</v>
      </c>
      <c r="F33" s="629">
        <f t="shared" si="6"/>
        <v>105.74</v>
      </c>
      <c r="G33" s="630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6">
        <f>27.67+21.86</f>
        <v>49.53</v>
      </c>
      <c r="E34" s="634">
        <v>44790</v>
      </c>
      <c r="F34" s="629">
        <f t="shared" si="6"/>
        <v>49.53</v>
      </c>
      <c r="G34" s="630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6">
        <v>107.94</v>
      </c>
      <c r="E35" s="634">
        <v>44792</v>
      </c>
      <c r="F35" s="629">
        <f t="shared" si="6"/>
        <v>107.94</v>
      </c>
      <c r="G35" s="630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6">
        <v>102.16</v>
      </c>
      <c r="E36" s="634">
        <v>44792</v>
      </c>
      <c r="F36" s="629">
        <f t="shared" si="6"/>
        <v>102.16</v>
      </c>
      <c r="G36" s="630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6">
        <v>104.16</v>
      </c>
      <c r="E37" s="634">
        <v>44793</v>
      </c>
      <c r="F37" s="629">
        <f t="shared" si="6"/>
        <v>104.16</v>
      </c>
      <c r="G37" s="630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6">
        <v>50.52</v>
      </c>
      <c r="E38" s="634">
        <v>44795</v>
      </c>
      <c r="F38" s="629">
        <f t="shared" si="6"/>
        <v>50.52</v>
      </c>
      <c r="G38" s="630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6">
        <v>49.23</v>
      </c>
      <c r="E39" s="634">
        <v>44798</v>
      </c>
      <c r="F39" s="629">
        <f t="shared" si="6"/>
        <v>49.23</v>
      </c>
      <c r="G39" s="630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6">
        <v>157.43</v>
      </c>
      <c r="E40" s="634">
        <v>44798</v>
      </c>
      <c r="F40" s="629">
        <f t="shared" si="6"/>
        <v>157.43</v>
      </c>
      <c r="G40" s="630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3">
        <v>49.65</v>
      </c>
      <c r="E41" s="681">
        <v>44802</v>
      </c>
      <c r="F41" s="680">
        <f t="shared" si="6"/>
        <v>49.65</v>
      </c>
      <c r="G41" s="682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3">
        <v>55.2</v>
      </c>
      <c r="E42" s="681">
        <v>44803</v>
      </c>
      <c r="F42" s="680">
        <f t="shared" si="6"/>
        <v>55.2</v>
      </c>
      <c r="G42" s="682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3">
        <v>80.010000000000005</v>
      </c>
      <c r="E43" s="681">
        <v>44805</v>
      </c>
      <c r="F43" s="680">
        <f t="shared" si="6"/>
        <v>80.010000000000005</v>
      </c>
      <c r="G43" s="682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3">
        <v>49.1</v>
      </c>
      <c r="E44" s="681">
        <v>44806</v>
      </c>
      <c r="F44" s="680">
        <f t="shared" si="6"/>
        <v>49.1</v>
      </c>
      <c r="G44" s="682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3">
        <v>48.15</v>
      </c>
      <c r="E45" s="681">
        <v>44810</v>
      </c>
      <c r="F45" s="680">
        <f t="shared" si="6"/>
        <v>48.15</v>
      </c>
      <c r="G45" s="682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3">
        <v>46.83</v>
      </c>
      <c r="E46" s="681">
        <v>44810</v>
      </c>
      <c r="F46" s="680">
        <f t="shared" si="6"/>
        <v>46.83</v>
      </c>
      <c r="G46" s="682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3">
        <v>48.3</v>
      </c>
      <c r="E47" s="681">
        <v>44810</v>
      </c>
      <c r="F47" s="680">
        <f t="shared" si="6"/>
        <v>48.3</v>
      </c>
      <c r="G47" s="682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3">
        <v>111.02</v>
      </c>
      <c r="E48" s="681">
        <v>44810</v>
      </c>
      <c r="F48" s="680">
        <f t="shared" si="6"/>
        <v>111.02</v>
      </c>
      <c r="G48" s="682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3">
        <v>53.14</v>
      </c>
      <c r="E49" s="681">
        <v>44813</v>
      </c>
      <c r="F49" s="680">
        <f t="shared" si="6"/>
        <v>53.14</v>
      </c>
      <c r="G49" s="682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3">
        <v>51.27</v>
      </c>
      <c r="E50" s="681">
        <v>44817</v>
      </c>
      <c r="F50" s="680">
        <f t="shared" si="6"/>
        <v>51.27</v>
      </c>
      <c r="G50" s="682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3">
        <v>43.22</v>
      </c>
      <c r="E51" s="681">
        <v>44819</v>
      </c>
      <c r="F51" s="680">
        <f t="shared" si="6"/>
        <v>43.22</v>
      </c>
      <c r="G51" s="682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3">
        <v>60.07</v>
      </c>
      <c r="E52" s="681">
        <v>44819</v>
      </c>
      <c r="F52" s="680">
        <f t="shared" si="6"/>
        <v>60.07</v>
      </c>
      <c r="G52" s="682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3">
        <v>26.45</v>
      </c>
      <c r="E53" s="681">
        <v>44819</v>
      </c>
      <c r="F53" s="680">
        <f t="shared" si="6"/>
        <v>26.45</v>
      </c>
      <c r="G53" s="682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3">
        <v>119.46</v>
      </c>
      <c r="E54" s="681">
        <v>44823</v>
      </c>
      <c r="F54" s="680">
        <f t="shared" si="6"/>
        <v>119.46</v>
      </c>
      <c r="G54" s="682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3">
        <v>103.05</v>
      </c>
      <c r="E55" s="681">
        <v>44824</v>
      </c>
      <c r="F55" s="680">
        <f t="shared" si="6"/>
        <v>103.05</v>
      </c>
      <c r="G55" s="682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3">
        <v>31.03</v>
      </c>
      <c r="E56" s="681">
        <v>44824</v>
      </c>
      <c r="F56" s="680">
        <f t="shared" si="6"/>
        <v>31.03</v>
      </c>
      <c r="G56" s="682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3">
        <v>49.28</v>
      </c>
      <c r="E57" s="681">
        <v>44825</v>
      </c>
      <c r="F57" s="680">
        <f t="shared" si="6"/>
        <v>49.28</v>
      </c>
      <c r="G57" s="682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3">
        <v>108.75</v>
      </c>
      <c r="E58" s="681">
        <v>44825</v>
      </c>
      <c r="F58" s="680">
        <f t="shared" si="6"/>
        <v>108.75</v>
      </c>
      <c r="G58" s="682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3">
        <v>99.85</v>
      </c>
      <c r="E59" s="681">
        <v>44825</v>
      </c>
      <c r="F59" s="680">
        <f t="shared" si="6"/>
        <v>99.85</v>
      </c>
      <c r="G59" s="682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3">
        <v>81.430000000000007</v>
      </c>
      <c r="E60" s="681">
        <v>44826</v>
      </c>
      <c r="F60" s="680">
        <f t="shared" si="6"/>
        <v>81.430000000000007</v>
      </c>
      <c r="G60" s="682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3">
        <v>118.27</v>
      </c>
      <c r="E61" s="681">
        <v>44831</v>
      </c>
      <c r="F61" s="680">
        <f t="shared" si="6"/>
        <v>118.27</v>
      </c>
      <c r="G61" s="682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3">
        <v>53.64</v>
      </c>
      <c r="E62" s="681">
        <v>44835</v>
      </c>
      <c r="F62" s="680">
        <f t="shared" si="6"/>
        <v>53.64</v>
      </c>
      <c r="G62" s="682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0">
        <v>50.31</v>
      </c>
      <c r="E63" s="573">
        <v>44838</v>
      </c>
      <c r="F63" s="537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0">
        <v>58.25</v>
      </c>
      <c r="E64" s="573">
        <v>44840</v>
      </c>
      <c r="F64" s="537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0">
        <v>220.52</v>
      </c>
      <c r="E65" s="573">
        <v>44840</v>
      </c>
      <c r="F65" s="537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0">
        <v>23.95</v>
      </c>
      <c r="E66" s="573">
        <v>44841</v>
      </c>
      <c r="F66" s="537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0">
        <v>149.43</v>
      </c>
      <c r="E67" s="573">
        <v>44842</v>
      </c>
      <c r="F67" s="537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0">
        <v>113.59</v>
      </c>
      <c r="E68" s="573">
        <v>44845</v>
      </c>
      <c r="F68" s="537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0">
        <v>111.26</v>
      </c>
      <c r="E69" s="573">
        <v>44853</v>
      </c>
      <c r="F69" s="537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0">
        <v>123.65</v>
      </c>
      <c r="E70" s="573">
        <v>44853</v>
      </c>
      <c r="F70" s="537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0">
        <v>102.95</v>
      </c>
      <c r="E71" s="573">
        <v>44854</v>
      </c>
      <c r="F71" s="537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0">
        <v>105.15</v>
      </c>
      <c r="E72" s="573">
        <v>44855</v>
      </c>
      <c r="F72" s="537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0">
        <v>56.1</v>
      </c>
      <c r="E73" s="573">
        <v>44856</v>
      </c>
      <c r="F73" s="537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0">
        <v>114.44</v>
      </c>
      <c r="E74" s="573">
        <v>44860</v>
      </c>
      <c r="F74" s="537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0">
        <v>114.31</v>
      </c>
      <c r="E75" s="573">
        <v>44862</v>
      </c>
      <c r="F75" s="537">
        <f t="shared" si="6"/>
        <v>114.31</v>
      </c>
      <c r="G75" s="330" t="s">
        <v>214</v>
      </c>
      <c r="H75" s="331">
        <v>84</v>
      </c>
      <c r="I75" s="837">
        <f t="shared" si="11"/>
        <v>1819.0800000000013</v>
      </c>
      <c r="J75" s="838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45">
        <v>160.03</v>
      </c>
      <c r="E76" s="851">
        <v>44866</v>
      </c>
      <c r="F76" s="839">
        <f t="shared" si="6"/>
        <v>160.03</v>
      </c>
      <c r="G76" s="841" t="s">
        <v>236</v>
      </c>
      <c r="H76" s="842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45">
        <v>106.31</v>
      </c>
      <c r="E77" s="851">
        <v>44867</v>
      </c>
      <c r="F77" s="839">
        <f t="shared" si="6"/>
        <v>106.31</v>
      </c>
      <c r="G77" s="841" t="s">
        <v>237</v>
      </c>
      <c r="H77" s="842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45">
        <v>204.06</v>
      </c>
      <c r="E78" s="851">
        <v>44869</v>
      </c>
      <c r="F78" s="839">
        <f t="shared" si="6"/>
        <v>204.06</v>
      </c>
      <c r="G78" s="841" t="s">
        <v>242</v>
      </c>
      <c r="H78" s="842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45">
        <v>127.98</v>
      </c>
      <c r="E79" s="851">
        <v>44874</v>
      </c>
      <c r="F79" s="839">
        <f t="shared" si="6"/>
        <v>127.98</v>
      </c>
      <c r="G79" s="841" t="s">
        <v>255</v>
      </c>
      <c r="H79" s="842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45">
        <v>26.52</v>
      </c>
      <c r="E80" s="851">
        <v>44875</v>
      </c>
      <c r="F80" s="839">
        <f t="shared" si="6"/>
        <v>26.52</v>
      </c>
      <c r="G80" s="841" t="s">
        <v>259</v>
      </c>
      <c r="H80" s="842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45">
        <v>19.899999999999999</v>
      </c>
      <c r="E81" s="851">
        <v>44875</v>
      </c>
      <c r="F81" s="839">
        <f t="shared" si="6"/>
        <v>19.899999999999999</v>
      </c>
      <c r="G81" s="841" t="s">
        <v>260</v>
      </c>
      <c r="H81" s="842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45">
        <v>50.72</v>
      </c>
      <c r="E82" s="851">
        <v>44877</v>
      </c>
      <c r="F82" s="839">
        <f t="shared" si="6"/>
        <v>50.72</v>
      </c>
      <c r="G82" s="841" t="s">
        <v>267</v>
      </c>
      <c r="H82" s="842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45">
        <v>108.24</v>
      </c>
      <c r="E83" s="851">
        <v>44877</v>
      </c>
      <c r="F83" s="839">
        <f t="shared" si="6"/>
        <v>108.24</v>
      </c>
      <c r="G83" s="841" t="s">
        <v>270</v>
      </c>
      <c r="H83" s="842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45">
        <v>105.45</v>
      </c>
      <c r="E84" s="851">
        <v>44880</v>
      </c>
      <c r="F84" s="839">
        <f t="shared" si="6"/>
        <v>105.45</v>
      </c>
      <c r="G84" s="841" t="s">
        <v>278</v>
      </c>
      <c r="H84" s="842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45">
        <v>79.87</v>
      </c>
      <c r="E85" s="851">
        <v>44881</v>
      </c>
      <c r="F85" s="839">
        <f t="shared" si="6"/>
        <v>79.87</v>
      </c>
      <c r="G85" s="841" t="s">
        <v>280</v>
      </c>
      <c r="H85" s="842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45">
        <v>54.7</v>
      </c>
      <c r="E86" s="851">
        <v>44883</v>
      </c>
      <c r="F86" s="839">
        <f t="shared" si="6"/>
        <v>54.7</v>
      </c>
      <c r="G86" s="841" t="s">
        <v>286</v>
      </c>
      <c r="H86" s="842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45">
        <v>213.28</v>
      </c>
      <c r="E87" s="851">
        <v>44883</v>
      </c>
      <c r="F87" s="839">
        <f t="shared" si="6"/>
        <v>213.28</v>
      </c>
      <c r="G87" s="841" t="s">
        <v>287</v>
      </c>
      <c r="H87" s="842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45">
        <v>26.14</v>
      </c>
      <c r="E88" s="851">
        <v>44883</v>
      </c>
      <c r="F88" s="839">
        <f t="shared" si="6"/>
        <v>26.14</v>
      </c>
      <c r="G88" s="841" t="s">
        <v>290</v>
      </c>
      <c r="H88" s="842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45">
        <v>137.38999999999999</v>
      </c>
      <c r="E89" s="851">
        <v>44889</v>
      </c>
      <c r="F89" s="839">
        <f t="shared" si="6"/>
        <v>137.38999999999999</v>
      </c>
      <c r="G89" s="841" t="s">
        <v>303</v>
      </c>
      <c r="H89" s="842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45">
        <v>72.59</v>
      </c>
      <c r="E90" s="851">
        <v>44890</v>
      </c>
      <c r="F90" s="839">
        <f t="shared" si="6"/>
        <v>72.59</v>
      </c>
      <c r="G90" s="841" t="s">
        <v>306</v>
      </c>
      <c r="H90" s="842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45">
        <v>55.23</v>
      </c>
      <c r="E91" s="851">
        <v>44890</v>
      </c>
      <c r="F91" s="839">
        <f t="shared" si="6"/>
        <v>55.23</v>
      </c>
      <c r="G91" s="841" t="s">
        <v>308</v>
      </c>
      <c r="H91" s="842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45">
        <v>154</v>
      </c>
      <c r="E92" s="851">
        <v>44891</v>
      </c>
      <c r="F92" s="839">
        <f t="shared" si="6"/>
        <v>154</v>
      </c>
      <c r="G92" s="841" t="s">
        <v>316</v>
      </c>
      <c r="H92" s="842">
        <v>84</v>
      </c>
      <c r="I92" s="837">
        <f t="shared" ref="I92:I101" si="19">I91-F92</f>
        <v>116.67000000000121</v>
      </c>
      <c r="J92" s="838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45"/>
      <c r="E93" s="851"/>
      <c r="F93" s="839">
        <f t="shared" si="6"/>
        <v>0</v>
      </c>
      <c r="G93" s="841"/>
      <c r="H93" s="842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45"/>
      <c r="E94" s="851"/>
      <c r="F94" s="839">
        <f t="shared" si="6"/>
        <v>0</v>
      </c>
      <c r="G94" s="841"/>
      <c r="H94" s="842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45"/>
      <c r="E95" s="851"/>
      <c r="F95" s="839">
        <f t="shared" si="6"/>
        <v>0</v>
      </c>
      <c r="G95" s="841"/>
      <c r="H95" s="842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45"/>
      <c r="E96" s="851"/>
      <c r="F96" s="839">
        <f t="shared" si="6"/>
        <v>0</v>
      </c>
      <c r="G96" s="841"/>
      <c r="H96" s="842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45"/>
      <c r="E97" s="851"/>
      <c r="F97" s="839">
        <f t="shared" si="6"/>
        <v>0</v>
      </c>
      <c r="G97" s="841"/>
      <c r="H97" s="842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45"/>
      <c r="E98" s="851"/>
      <c r="F98" s="839">
        <f t="shared" si="6"/>
        <v>0</v>
      </c>
      <c r="G98" s="841"/>
      <c r="H98" s="842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45"/>
      <c r="E99" s="851"/>
      <c r="F99" s="839">
        <f t="shared" si="6"/>
        <v>0</v>
      </c>
      <c r="G99" s="841"/>
      <c r="H99" s="842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45"/>
      <c r="E100" s="851"/>
      <c r="F100" s="839">
        <f t="shared" si="6"/>
        <v>0</v>
      </c>
      <c r="G100" s="841"/>
      <c r="H100" s="842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56">
        <v>0</v>
      </c>
      <c r="E101" s="957"/>
      <c r="F101" s="951">
        <f t="shared" si="6"/>
        <v>0</v>
      </c>
      <c r="G101" s="952"/>
      <c r="H101" s="958"/>
      <c r="I101" s="959">
        <f t="shared" si="19"/>
        <v>116.67000000000121</v>
      </c>
      <c r="J101" s="960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06" t="s">
        <v>11</v>
      </c>
      <c r="D105" s="1307"/>
      <c r="E105" s="145">
        <f>E5+E4+E6+-F102+E7</f>
        <v>116.6700000000008</v>
      </c>
      <c r="F105" s="5"/>
      <c r="L105" s="47"/>
      <c r="N105" s="1306" t="s">
        <v>11</v>
      </c>
      <c r="O105" s="1307"/>
      <c r="P105" s="145">
        <f>P5+P4+P6+-Q102+P7</f>
        <v>1299.74</v>
      </c>
      <c r="Q105" s="5"/>
      <c r="W105" s="47"/>
      <c r="Y105" s="1306" t="s">
        <v>11</v>
      </c>
      <c r="Z105" s="1307"/>
      <c r="AA105" s="145">
        <f>AA5+AA4+AA6+-AB102+AA7</f>
        <v>18564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2"/>
      <c r="B1" s="1272"/>
      <c r="C1" s="1272"/>
      <c r="D1" s="1272"/>
      <c r="E1" s="1272"/>
      <c r="F1" s="1272"/>
      <c r="G1" s="127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333"/>
      <c r="B5" s="1335" t="s">
        <v>78</v>
      </c>
      <c r="C5" s="550"/>
      <c r="D5" s="555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334"/>
      <c r="B6" s="1336"/>
      <c r="C6" s="225"/>
      <c r="D6" s="118"/>
      <c r="E6" s="493"/>
      <c r="F6" s="240"/>
      <c r="I6" s="1337" t="s">
        <v>3</v>
      </c>
      <c r="J6" s="13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38"/>
      <c r="J7" s="1332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06" t="s">
        <v>11</v>
      </c>
      <c r="D100" s="130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2"/>
      <c r="B1" s="1272"/>
      <c r="C1" s="1272"/>
      <c r="D1" s="1272"/>
      <c r="E1" s="1272"/>
      <c r="F1" s="1272"/>
      <c r="G1" s="127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302"/>
      <c r="B5" s="1339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303"/>
      <c r="B6" s="1340"/>
      <c r="C6" s="225"/>
      <c r="D6" s="118"/>
      <c r="E6" s="144"/>
      <c r="F6" s="241"/>
      <c r="I6" s="1337" t="s">
        <v>3</v>
      </c>
      <c r="J6" s="13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38"/>
      <c r="J7" s="1332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06" t="s">
        <v>11</v>
      </c>
      <c r="D33" s="130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24" t="s">
        <v>332</v>
      </c>
      <c r="B1" s="1324"/>
      <c r="C1" s="1324"/>
      <c r="D1" s="1324"/>
      <c r="E1" s="1324"/>
      <c r="F1" s="1324"/>
      <c r="G1" s="1324"/>
      <c r="H1" s="1324"/>
      <c r="I1" s="1324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79"/>
      <c r="B5" s="1341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79" t="s">
        <v>177</v>
      </c>
      <c r="B6" s="1342"/>
      <c r="C6" s="236"/>
      <c r="D6" s="336"/>
      <c r="E6" s="255"/>
      <c r="F6" s="241"/>
      <c r="G6" s="73"/>
    </row>
    <row r="7" spans="1:10" ht="15.75" customHeight="1" thickBot="1" x14ac:dyDescent="0.35">
      <c r="A7" s="579"/>
      <c r="B7" s="1342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315" t="s">
        <v>47</v>
      </c>
      <c r="J8" s="132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16"/>
      <c r="J9" s="1323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37">
        <f>E4+E5+E6-F10+E7+E8</f>
        <v>1950</v>
      </c>
      <c r="J10" s="83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37">
        <f t="shared" si="2"/>
        <v>1550</v>
      </c>
      <c r="J23" s="838">
        <f t="shared" si="3"/>
        <v>155</v>
      </c>
    </row>
    <row r="24" spans="1:10" x14ac:dyDescent="0.25">
      <c r="A24" s="2"/>
      <c r="B24" s="83">
        <v>10</v>
      </c>
      <c r="C24" s="15"/>
      <c r="D24" s="750">
        <f t="shared" si="1"/>
        <v>0</v>
      </c>
      <c r="E24" s="573"/>
      <c r="F24" s="537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0">
        <f t="shared" si="1"/>
        <v>0</v>
      </c>
      <c r="E25" s="573"/>
      <c r="F25" s="537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0">
        <f t="shared" si="1"/>
        <v>0</v>
      </c>
      <c r="E26" s="573"/>
      <c r="F26" s="537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0">
        <f t="shared" si="1"/>
        <v>0</v>
      </c>
      <c r="E27" s="573"/>
      <c r="F27" s="537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0">
        <f t="shared" si="1"/>
        <v>0</v>
      </c>
      <c r="E28" s="573"/>
      <c r="F28" s="537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0">
        <f t="shared" si="1"/>
        <v>0</v>
      </c>
      <c r="E29" s="573"/>
      <c r="F29" s="537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0">
        <f t="shared" si="1"/>
        <v>0</v>
      </c>
      <c r="E30" s="573"/>
      <c r="F30" s="537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0">
        <f t="shared" si="1"/>
        <v>0</v>
      </c>
      <c r="E31" s="573"/>
      <c r="F31" s="537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0">
        <f t="shared" si="1"/>
        <v>0</v>
      </c>
      <c r="E32" s="573"/>
      <c r="F32" s="537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0">
        <f t="shared" si="1"/>
        <v>0</v>
      </c>
      <c r="E33" s="573"/>
      <c r="F33" s="537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0">
        <f t="shared" si="1"/>
        <v>0</v>
      </c>
      <c r="E34" s="573"/>
      <c r="F34" s="537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0">
        <f t="shared" si="1"/>
        <v>0</v>
      </c>
      <c r="E35" s="573"/>
      <c r="F35" s="537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0">
        <f t="shared" si="1"/>
        <v>0</v>
      </c>
      <c r="E36" s="573"/>
      <c r="F36" s="537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0"/>
      <c r="E37" s="573"/>
      <c r="F37" s="537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13">
        <v>0</v>
      </c>
      <c r="E38" s="1014"/>
      <c r="F38" s="537">
        <f t="shared" si="0"/>
        <v>0</v>
      </c>
      <c r="G38" s="1003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306" t="s">
        <v>11</v>
      </c>
      <c r="D42" s="1307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H1" workbookViewId="0">
      <selection activeCell="R5" sqref="R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43" t="s">
        <v>327</v>
      </c>
      <c r="B1" s="1343"/>
      <c r="C1" s="1343"/>
      <c r="D1" s="1343"/>
      <c r="E1" s="1343"/>
      <c r="F1" s="1343"/>
      <c r="G1" s="1343"/>
      <c r="H1" s="269">
        <v>1</v>
      </c>
      <c r="I1" s="395"/>
      <c r="L1" s="1261" t="s">
        <v>340</v>
      </c>
      <c r="M1" s="1261"/>
      <c r="N1" s="1261"/>
      <c r="O1" s="1261"/>
      <c r="P1" s="1261"/>
      <c r="Q1" s="1261"/>
      <c r="R1" s="1261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69"/>
      <c r="S4" s="148"/>
      <c r="T4" s="400"/>
    </row>
    <row r="5" spans="1:21" ht="15" customHeight="1" x14ac:dyDescent="0.25">
      <c r="A5" s="1280" t="s">
        <v>226</v>
      </c>
      <c r="B5" s="1284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  <c r="L5" s="1280" t="s">
        <v>226</v>
      </c>
      <c r="M5" s="1284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280"/>
      <c r="B6" s="1344"/>
      <c r="C6" s="394"/>
      <c r="D6" s="134"/>
      <c r="E6" s="75"/>
      <c r="F6" s="73"/>
      <c r="G6" s="73"/>
      <c r="H6" s="75"/>
      <c r="I6" s="244"/>
      <c r="L6" s="1280"/>
      <c r="M6" s="1344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27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  <c r="L9" s="61"/>
      <c r="M9" s="827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36</v>
      </c>
      <c r="C10" s="15"/>
      <c r="D10" s="69"/>
      <c r="E10" s="858"/>
      <c r="F10" s="699">
        <f t="shared" si="0"/>
        <v>0</v>
      </c>
      <c r="G10" s="700"/>
      <c r="H10" s="701"/>
      <c r="I10" s="244">
        <f>I9-F10</f>
        <v>1008.76</v>
      </c>
      <c r="J10" s="60">
        <f t="shared" ref="J10:J37" si="2">H10*F10</f>
        <v>0</v>
      </c>
      <c r="L10" s="75"/>
      <c r="M10" s="182">
        <f>M9-N10</f>
        <v>40</v>
      </c>
      <c r="N10" s="15"/>
      <c r="O10" s="69"/>
      <c r="P10" s="858"/>
      <c r="Q10" s="699">
        <f t="shared" si="1"/>
        <v>0</v>
      </c>
      <c r="R10" s="700"/>
      <c r="S10" s="701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36</v>
      </c>
      <c r="C11" s="15"/>
      <c r="D11" s="69"/>
      <c r="E11" s="859"/>
      <c r="F11" s="699">
        <f t="shared" si="0"/>
        <v>0</v>
      </c>
      <c r="G11" s="700"/>
      <c r="H11" s="701"/>
      <c r="I11" s="244">
        <f t="shared" ref="I11:I37" si="5">I10-F11</f>
        <v>1008.76</v>
      </c>
      <c r="J11" s="60">
        <f t="shared" si="2"/>
        <v>0</v>
      </c>
      <c r="L11" s="75"/>
      <c r="M11" s="182">
        <f t="shared" ref="M11:M36" si="6">M10-N11</f>
        <v>40</v>
      </c>
      <c r="N11" s="15"/>
      <c r="O11" s="69"/>
      <c r="P11" s="859"/>
      <c r="Q11" s="699">
        <f t="shared" si="1"/>
        <v>0</v>
      </c>
      <c r="R11" s="700"/>
      <c r="S11" s="701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36</v>
      </c>
      <c r="C12" s="15"/>
      <c r="D12" s="69"/>
      <c r="E12" s="859"/>
      <c r="F12" s="699">
        <f t="shared" si="0"/>
        <v>0</v>
      </c>
      <c r="G12" s="700"/>
      <c r="H12" s="701"/>
      <c r="I12" s="244">
        <f t="shared" si="5"/>
        <v>1008.76</v>
      </c>
      <c r="J12" s="60">
        <f t="shared" si="2"/>
        <v>0</v>
      </c>
      <c r="L12" s="61"/>
      <c r="M12" s="182">
        <f t="shared" si="6"/>
        <v>40</v>
      </c>
      <c r="N12" s="15"/>
      <c r="O12" s="69"/>
      <c r="P12" s="859"/>
      <c r="Q12" s="699">
        <f t="shared" si="1"/>
        <v>0</v>
      </c>
      <c r="R12" s="700"/>
      <c r="S12" s="701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36</v>
      </c>
      <c r="C13" s="15"/>
      <c r="D13" s="69"/>
      <c r="E13" s="859"/>
      <c r="F13" s="699">
        <f t="shared" si="0"/>
        <v>0</v>
      </c>
      <c r="G13" s="700"/>
      <c r="H13" s="701"/>
      <c r="I13" s="244">
        <f t="shared" si="5"/>
        <v>1008.76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59"/>
      <c r="Q13" s="699">
        <f t="shared" si="1"/>
        <v>0</v>
      </c>
      <c r="R13" s="700"/>
      <c r="S13" s="701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36</v>
      </c>
      <c r="C14" s="15"/>
      <c r="D14" s="69"/>
      <c r="E14" s="859"/>
      <c r="F14" s="699">
        <f t="shared" si="0"/>
        <v>0</v>
      </c>
      <c r="G14" s="700"/>
      <c r="H14" s="701"/>
      <c r="I14" s="244">
        <f t="shared" si="5"/>
        <v>1008.76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59"/>
      <c r="Q14" s="699">
        <f t="shared" si="1"/>
        <v>0</v>
      </c>
      <c r="R14" s="700"/>
      <c r="S14" s="701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36</v>
      </c>
      <c r="C15" s="15"/>
      <c r="D15" s="92"/>
      <c r="E15" s="846"/>
      <c r="F15" s="699">
        <f t="shared" si="0"/>
        <v>0</v>
      </c>
      <c r="G15" s="700"/>
      <c r="H15" s="701"/>
      <c r="I15" s="244">
        <f t="shared" si="5"/>
        <v>1008.76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46"/>
      <c r="Q15" s="699">
        <f t="shared" si="1"/>
        <v>0</v>
      </c>
      <c r="R15" s="700"/>
      <c r="S15" s="701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36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1008.76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36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1008.76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36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1008.76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36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1008.76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36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1008.76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36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1008.76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36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1008.76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36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1008.76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36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1008.76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36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1008.76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36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1008.76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36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1008.76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36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1008.76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36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1008.76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36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1008.76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36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1008.76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36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1008.76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36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1008.76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36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1008.76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36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1008.76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36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1008.76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36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1008.76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36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1008.76</v>
      </c>
      <c r="J72" s="60">
        <f>SUM(J9:J37)</f>
        <v>0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257" t="s">
        <v>21</v>
      </c>
      <c r="E75" s="1258"/>
      <c r="F75" s="141">
        <f>G5-F73</f>
        <v>0</v>
      </c>
      <c r="M75" s="184"/>
      <c r="O75" s="1257" t="s">
        <v>21</v>
      </c>
      <c r="P75" s="1258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64" t="s">
        <v>4</v>
      </c>
      <c r="P76" s="1065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1273" t="s">
        <v>509</v>
      </c>
      <c r="B5" s="1269" t="s">
        <v>508</v>
      </c>
      <c r="C5" s="392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273"/>
      <c r="B6" s="1269"/>
      <c r="C6" s="230"/>
      <c r="D6" s="134"/>
      <c r="E6" s="78"/>
      <c r="F6" s="62"/>
      <c r="G6" s="47">
        <f>F78</f>
        <v>0</v>
      </c>
      <c r="H6" s="7">
        <f>E6-G6+E7+E5-G5</f>
        <v>577.23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19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577.23</v>
      </c>
    </row>
    <row r="10" spans="1:9" x14ac:dyDescent="0.25">
      <c r="A10" s="194"/>
      <c r="B10" s="83">
        <f>B9-C10</f>
        <v>19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577.23</v>
      </c>
    </row>
    <row r="11" spans="1:9" x14ac:dyDescent="0.25">
      <c r="A11" s="182"/>
      <c r="B11" s="83">
        <f t="shared" ref="B11:B54" si="1">B10-C11</f>
        <v>19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577.23</v>
      </c>
    </row>
    <row r="12" spans="1:9" x14ac:dyDescent="0.25">
      <c r="A12" s="182"/>
      <c r="B12" s="83">
        <f t="shared" si="1"/>
        <v>19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577.23</v>
      </c>
    </row>
    <row r="13" spans="1:9" x14ac:dyDescent="0.25">
      <c r="A13" s="82" t="s">
        <v>33</v>
      </c>
      <c r="B13" s="83">
        <f t="shared" si="1"/>
        <v>19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577.23</v>
      </c>
    </row>
    <row r="14" spans="1:9" x14ac:dyDescent="0.25">
      <c r="A14" s="73"/>
      <c r="B14" s="83">
        <f t="shared" si="1"/>
        <v>19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577.23</v>
      </c>
    </row>
    <row r="15" spans="1:9" x14ac:dyDescent="0.25">
      <c r="A15" s="73"/>
      <c r="B15" s="83">
        <f t="shared" si="1"/>
        <v>19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577.23</v>
      </c>
    </row>
    <row r="16" spans="1:9" x14ac:dyDescent="0.25">
      <c r="B16" s="83">
        <f t="shared" si="1"/>
        <v>19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577.23</v>
      </c>
    </row>
    <row r="17" spans="1:9" x14ac:dyDescent="0.25">
      <c r="B17" s="83">
        <f t="shared" si="1"/>
        <v>19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577.23</v>
      </c>
    </row>
    <row r="18" spans="1:9" x14ac:dyDescent="0.25">
      <c r="A18" s="122"/>
      <c r="B18" s="83">
        <f t="shared" si="1"/>
        <v>19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577.23</v>
      </c>
    </row>
    <row r="19" spans="1:9" x14ac:dyDescent="0.25">
      <c r="A19" s="122"/>
      <c r="B19" s="83">
        <f t="shared" si="1"/>
        <v>19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577.23</v>
      </c>
    </row>
    <row r="20" spans="1:9" x14ac:dyDescent="0.25">
      <c r="A20" s="122"/>
      <c r="B20" s="83">
        <f t="shared" si="1"/>
        <v>19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577.23</v>
      </c>
    </row>
    <row r="21" spans="1:9" x14ac:dyDescent="0.25">
      <c r="A21" s="122"/>
      <c r="B21" s="83">
        <f t="shared" si="1"/>
        <v>19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577.23</v>
      </c>
    </row>
    <row r="22" spans="1:9" x14ac:dyDescent="0.25">
      <c r="A22" s="122"/>
      <c r="B22" s="233">
        <f t="shared" si="1"/>
        <v>19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577.23</v>
      </c>
    </row>
    <row r="23" spans="1:9" x14ac:dyDescent="0.25">
      <c r="A23" s="123"/>
      <c r="B23" s="233">
        <f t="shared" si="1"/>
        <v>19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577.23</v>
      </c>
    </row>
    <row r="24" spans="1:9" x14ac:dyDescent="0.25">
      <c r="A24" s="122"/>
      <c r="B24" s="233">
        <f t="shared" si="1"/>
        <v>19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577.23</v>
      </c>
    </row>
    <row r="25" spans="1:9" x14ac:dyDescent="0.25">
      <c r="A25" s="122"/>
      <c r="B25" s="233">
        <f t="shared" si="1"/>
        <v>19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577.23</v>
      </c>
    </row>
    <row r="26" spans="1:9" x14ac:dyDescent="0.25">
      <c r="A26" s="122"/>
      <c r="B26" s="182">
        <f t="shared" si="1"/>
        <v>19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577.23</v>
      </c>
    </row>
    <row r="27" spans="1:9" x14ac:dyDescent="0.25">
      <c r="A27" s="122"/>
      <c r="B27" s="233">
        <f t="shared" si="1"/>
        <v>19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577.23</v>
      </c>
    </row>
    <row r="28" spans="1:9" x14ac:dyDescent="0.25">
      <c r="A28" s="122"/>
      <c r="B28" s="182">
        <f t="shared" si="1"/>
        <v>19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577.23</v>
      </c>
    </row>
    <row r="29" spans="1:9" x14ac:dyDescent="0.25">
      <c r="A29" s="122"/>
      <c r="B29" s="233">
        <f t="shared" si="1"/>
        <v>19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577.23</v>
      </c>
    </row>
    <row r="30" spans="1:9" x14ac:dyDescent="0.25">
      <c r="A30" s="122"/>
      <c r="B30" s="233">
        <f t="shared" si="1"/>
        <v>19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577.23</v>
      </c>
    </row>
    <row r="31" spans="1:9" x14ac:dyDescent="0.25">
      <c r="A31" s="122"/>
      <c r="B31" s="233">
        <f t="shared" si="1"/>
        <v>19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577.23</v>
      </c>
    </row>
    <row r="32" spans="1:9" x14ac:dyDescent="0.25">
      <c r="A32" s="122"/>
      <c r="B32" s="233">
        <f t="shared" si="1"/>
        <v>19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577.23</v>
      </c>
    </row>
    <row r="33" spans="1:9" x14ac:dyDescent="0.25">
      <c r="A33" s="122"/>
      <c r="B33" s="233">
        <f t="shared" si="1"/>
        <v>19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577.23</v>
      </c>
    </row>
    <row r="34" spans="1:9" x14ac:dyDescent="0.25">
      <c r="A34" s="122"/>
      <c r="B34" s="233">
        <f t="shared" si="1"/>
        <v>19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577.23</v>
      </c>
    </row>
    <row r="35" spans="1:9" x14ac:dyDescent="0.25">
      <c r="A35" s="122"/>
      <c r="B35" s="233">
        <f t="shared" si="1"/>
        <v>19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577.23</v>
      </c>
    </row>
    <row r="36" spans="1:9" x14ac:dyDescent="0.25">
      <c r="A36" s="122" t="s">
        <v>22</v>
      </c>
      <c r="B36" s="233">
        <f t="shared" si="1"/>
        <v>19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577.23</v>
      </c>
    </row>
    <row r="37" spans="1:9" x14ac:dyDescent="0.25">
      <c r="A37" s="123"/>
      <c r="B37" s="233">
        <f t="shared" si="1"/>
        <v>19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577.23</v>
      </c>
    </row>
    <row r="38" spans="1:9" x14ac:dyDescent="0.25">
      <c r="A38" s="122"/>
      <c r="B38" s="233">
        <f t="shared" si="1"/>
        <v>19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577.23</v>
      </c>
    </row>
    <row r="39" spans="1:9" x14ac:dyDescent="0.25">
      <c r="A39" s="122"/>
      <c r="B39" s="83">
        <f t="shared" si="1"/>
        <v>19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577.23</v>
      </c>
    </row>
    <row r="40" spans="1:9" x14ac:dyDescent="0.25">
      <c r="A40" s="122"/>
      <c r="B40" s="83">
        <f t="shared" si="1"/>
        <v>19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577.23</v>
      </c>
    </row>
    <row r="41" spans="1:9" x14ac:dyDescent="0.25">
      <c r="A41" s="122"/>
      <c r="B41" s="83">
        <f t="shared" si="1"/>
        <v>19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577.23</v>
      </c>
    </row>
    <row r="42" spans="1:9" x14ac:dyDescent="0.25">
      <c r="A42" s="122"/>
      <c r="B42" s="83">
        <f t="shared" si="1"/>
        <v>19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577.23</v>
      </c>
    </row>
    <row r="43" spans="1:9" x14ac:dyDescent="0.25">
      <c r="A43" s="122"/>
      <c r="B43" s="83">
        <f t="shared" si="1"/>
        <v>19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577.23</v>
      </c>
    </row>
    <row r="44" spans="1:9" x14ac:dyDescent="0.25">
      <c r="A44" s="122"/>
      <c r="B44" s="83">
        <f t="shared" si="1"/>
        <v>19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577.23</v>
      </c>
    </row>
    <row r="45" spans="1:9" x14ac:dyDescent="0.25">
      <c r="A45" s="122"/>
      <c r="B45" s="83">
        <f t="shared" si="1"/>
        <v>19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577.23</v>
      </c>
    </row>
    <row r="46" spans="1:9" x14ac:dyDescent="0.25">
      <c r="A46" s="122"/>
      <c r="B46" s="83">
        <f t="shared" si="1"/>
        <v>19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577.23</v>
      </c>
    </row>
    <row r="47" spans="1:9" x14ac:dyDescent="0.25">
      <c r="A47" s="122"/>
      <c r="B47" s="83">
        <f t="shared" si="1"/>
        <v>19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577.23</v>
      </c>
    </row>
    <row r="48" spans="1:9" x14ac:dyDescent="0.25">
      <c r="A48" s="122"/>
      <c r="B48" s="83">
        <f t="shared" si="1"/>
        <v>19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577.23</v>
      </c>
    </row>
    <row r="49" spans="1:9" x14ac:dyDescent="0.25">
      <c r="A49" s="122"/>
      <c r="B49" s="83">
        <f t="shared" si="1"/>
        <v>19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577.23</v>
      </c>
    </row>
    <row r="50" spans="1:9" x14ac:dyDescent="0.25">
      <c r="A50" s="122"/>
      <c r="B50" s="83">
        <f t="shared" si="1"/>
        <v>19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577.23</v>
      </c>
    </row>
    <row r="51" spans="1:9" x14ac:dyDescent="0.25">
      <c r="A51" s="122"/>
      <c r="B51" s="83">
        <f t="shared" si="1"/>
        <v>19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577.23</v>
      </c>
    </row>
    <row r="52" spans="1:9" x14ac:dyDescent="0.25">
      <c r="A52" s="122"/>
      <c r="B52" s="83">
        <f t="shared" si="1"/>
        <v>19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577.23</v>
      </c>
    </row>
    <row r="53" spans="1:9" x14ac:dyDescent="0.25">
      <c r="A53" s="122"/>
      <c r="B53" s="83">
        <f t="shared" si="1"/>
        <v>19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577.23</v>
      </c>
    </row>
    <row r="54" spans="1:9" x14ac:dyDescent="0.25">
      <c r="A54" s="122"/>
      <c r="B54" s="83">
        <f t="shared" si="1"/>
        <v>19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577.23</v>
      </c>
    </row>
    <row r="55" spans="1:9" x14ac:dyDescent="0.25">
      <c r="A55" s="122"/>
      <c r="B55" s="12">
        <f>B54-C55</f>
        <v>19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577.23</v>
      </c>
    </row>
    <row r="56" spans="1:9" x14ac:dyDescent="0.25">
      <c r="A56" s="122"/>
      <c r="B56" s="12">
        <f t="shared" ref="B56:B75" si="4">B55-C56</f>
        <v>19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577.23</v>
      </c>
    </row>
    <row r="57" spans="1:9" x14ac:dyDescent="0.25">
      <c r="A57" s="122"/>
      <c r="B57" s="12">
        <f t="shared" si="4"/>
        <v>19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577.23</v>
      </c>
    </row>
    <row r="58" spans="1:9" x14ac:dyDescent="0.25">
      <c r="A58" s="122"/>
      <c r="B58" s="12">
        <f t="shared" si="4"/>
        <v>19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577.23</v>
      </c>
    </row>
    <row r="59" spans="1:9" x14ac:dyDescent="0.25">
      <c r="A59" s="122"/>
      <c r="B59" s="12">
        <f t="shared" si="4"/>
        <v>19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577.23</v>
      </c>
    </row>
    <row r="60" spans="1:9" x14ac:dyDescent="0.25">
      <c r="A60" s="122"/>
      <c r="B60" s="12">
        <f t="shared" si="4"/>
        <v>19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577.23</v>
      </c>
    </row>
    <row r="61" spans="1:9" x14ac:dyDescent="0.25">
      <c r="A61" s="122"/>
      <c r="B61" s="12">
        <f t="shared" si="4"/>
        <v>19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577.23</v>
      </c>
    </row>
    <row r="62" spans="1:9" x14ac:dyDescent="0.25">
      <c r="A62" s="122"/>
      <c r="B62" s="12">
        <f t="shared" si="4"/>
        <v>19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577.23</v>
      </c>
    </row>
    <row r="63" spans="1:9" x14ac:dyDescent="0.25">
      <c r="A63" s="122"/>
      <c r="B63" s="12">
        <f t="shared" si="4"/>
        <v>19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577.23</v>
      </c>
    </row>
    <row r="64" spans="1:9" x14ac:dyDescent="0.25">
      <c r="A64" s="122"/>
      <c r="B64" s="12">
        <f t="shared" si="4"/>
        <v>19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577.23</v>
      </c>
    </row>
    <row r="65" spans="1:9" x14ac:dyDescent="0.25">
      <c r="A65" s="122"/>
      <c r="B65" s="12">
        <f t="shared" si="4"/>
        <v>19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577.23</v>
      </c>
    </row>
    <row r="66" spans="1:9" x14ac:dyDescent="0.25">
      <c r="A66" s="122"/>
      <c r="B66" s="12">
        <f t="shared" si="4"/>
        <v>19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577.23</v>
      </c>
    </row>
    <row r="67" spans="1:9" x14ac:dyDescent="0.25">
      <c r="A67" s="122"/>
      <c r="B67" s="12">
        <f t="shared" si="4"/>
        <v>19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577.23</v>
      </c>
    </row>
    <row r="68" spans="1:9" x14ac:dyDescent="0.25">
      <c r="A68" s="122"/>
      <c r="B68" s="12">
        <f t="shared" si="4"/>
        <v>19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577.23</v>
      </c>
    </row>
    <row r="69" spans="1:9" x14ac:dyDescent="0.25">
      <c r="A69" s="122"/>
      <c r="B69" s="12">
        <f t="shared" si="4"/>
        <v>19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577.23</v>
      </c>
    </row>
    <row r="70" spans="1:9" x14ac:dyDescent="0.25">
      <c r="A70" s="122"/>
      <c r="B70" s="12">
        <f t="shared" si="4"/>
        <v>19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577.23</v>
      </c>
    </row>
    <row r="71" spans="1:9" x14ac:dyDescent="0.25">
      <c r="A71" s="122"/>
      <c r="B71" s="12">
        <f t="shared" si="4"/>
        <v>19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577.23</v>
      </c>
    </row>
    <row r="72" spans="1:9" x14ac:dyDescent="0.25">
      <c r="A72" s="122"/>
      <c r="B72" s="12">
        <f t="shared" si="4"/>
        <v>19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577.23</v>
      </c>
    </row>
    <row r="73" spans="1:9" x14ac:dyDescent="0.25">
      <c r="A73" s="122"/>
      <c r="B73" s="12">
        <f t="shared" si="4"/>
        <v>19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577.23</v>
      </c>
    </row>
    <row r="74" spans="1:9" x14ac:dyDescent="0.25">
      <c r="A74" s="122"/>
      <c r="B74" s="12">
        <f t="shared" si="4"/>
        <v>19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577.23</v>
      </c>
    </row>
    <row r="75" spans="1:9" x14ac:dyDescent="0.25">
      <c r="A75" s="122"/>
      <c r="B75" s="12">
        <f t="shared" si="4"/>
        <v>19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577.23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577.23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19</v>
      </c>
    </row>
    <row r="82" spans="3:6" ht="15.75" thickBot="1" x14ac:dyDescent="0.3"/>
    <row r="83" spans="3:6" ht="15.75" thickBot="1" x14ac:dyDescent="0.3">
      <c r="C83" s="1270" t="s">
        <v>11</v>
      </c>
      <c r="D83" s="1271"/>
      <c r="E83" s="57">
        <f>E5+E6-F78+E7</f>
        <v>577.23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73"/>
      <c r="B5" s="134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73"/>
      <c r="B6" s="1345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6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70" t="s">
        <v>11</v>
      </c>
      <c r="D60" s="127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61" t="s">
        <v>499</v>
      </c>
      <c r="B1" s="1261"/>
      <c r="C1" s="1261"/>
      <c r="D1" s="1261"/>
      <c r="E1" s="1261"/>
      <c r="F1" s="1261"/>
      <c r="G1" s="126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73" t="s">
        <v>505</v>
      </c>
      <c r="B5" s="1284" t="s">
        <v>121</v>
      </c>
      <c r="C5" s="244">
        <v>31.4</v>
      </c>
      <c r="D5" s="134">
        <v>44919</v>
      </c>
      <c r="E5" s="132">
        <v>5020</v>
      </c>
      <c r="F5" s="73">
        <v>220</v>
      </c>
      <c r="G5" s="48">
        <f>F39</f>
        <v>0</v>
      </c>
      <c r="H5" s="138">
        <f>E5-G5</f>
        <v>5020</v>
      </c>
      <c r="I5" s="397"/>
    </row>
    <row r="6" spans="1:10" x14ac:dyDescent="0.25">
      <c r="A6" s="1273"/>
      <c r="B6" s="1284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84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220</v>
      </c>
      <c r="C9" s="15"/>
      <c r="D9" s="69">
        <v>0</v>
      </c>
      <c r="E9" s="253"/>
      <c r="F9" s="92">
        <f>D9</f>
        <v>0</v>
      </c>
      <c r="G9" s="70"/>
      <c r="H9" s="71"/>
      <c r="I9" s="394">
        <f>E4+E5+E6-F9+E7</f>
        <v>5020</v>
      </c>
      <c r="J9" s="60">
        <f>H9*F9</f>
        <v>0</v>
      </c>
    </row>
    <row r="10" spans="1:10" x14ac:dyDescent="0.25">
      <c r="A10" s="75"/>
      <c r="B10" s="182">
        <f>B9-C10</f>
        <v>220</v>
      </c>
      <c r="C10" s="15"/>
      <c r="D10" s="69">
        <v>0</v>
      </c>
      <c r="E10" s="253"/>
      <c r="F10" s="92">
        <f t="shared" ref="F10:F38" si="0">D10</f>
        <v>0</v>
      </c>
      <c r="G10" s="70"/>
      <c r="H10" s="71"/>
      <c r="I10" s="244">
        <f>I9-F10</f>
        <v>5020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220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38" si="3">I10-F11</f>
        <v>5020</v>
      </c>
      <c r="J11" s="60">
        <f t="shared" si="1"/>
        <v>0</v>
      </c>
    </row>
    <row r="12" spans="1:10" x14ac:dyDescent="0.25">
      <c r="A12" s="61"/>
      <c r="B12" s="182">
        <f t="shared" si="2"/>
        <v>220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5020</v>
      </c>
      <c r="J12" s="60">
        <f t="shared" si="1"/>
        <v>0</v>
      </c>
    </row>
    <row r="13" spans="1:10" x14ac:dyDescent="0.25">
      <c r="A13" s="75"/>
      <c r="B13" s="182">
        <f t="shared" si="2"/>
        <v>220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5020</v>
      </c>
      <c r="J13" s="60">
        <f t="shared" si="1"/>
        <v>0</v>
      </c>
    </row>
    <row r="14" spans="1:10" x14ac:dyDescent="0.25">
      <c r="A14" s="75"/>
      <c r="B14" s="182">
        <f t="shared" si="2"/>
        <v>220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5020</v>
      </c>
      <c r="J14" s="60">
        <f t="shared" si="1"/>
        <v>0</v>
      </c>
    </row>
    <row r="15" spans="1:10" x14ac:dyDescent="0.25">
      <c r="A15" s="75"/>
      <c r="B15" s="182">
        <f t="shared" si="2"/>
        <v>220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5020</v>
      </c>
      <c r="J15" s="60">
        <f t="shared" si="1"/>
        <v>0</v>
      </c>
    </row>
    <row r="16" spans="1:10" x14ac:dyDescent="0.25">
      <c r="A16" s="75"/>
      <c r="B16" s="182">
        <f t="shared" si="2"/>
        <v>220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5020</v>
      </c>
      <c r="J16" s="60">
        <f t="shared" si="1"/>
        <v>0</v>
      </c>
    </row>
    <row r="17" spans="1:10" x14ac:dyDescent="0.25">
      <c r="A17" s="75"/>
      <c r="B17" s="182">
        <f t="shared" si="2"/>
        <v>220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5020</v>
      </c>
      <c r="J17" s="60">
        <f t="shared" si="1"/>
        <v>0</v>
      </c>
    </row>
    <row r="18" spans="1:10" x14ac:dyDescent="0.25">
      <c r="A18" s="75"/>
      <c r="B18" s="182">
        <f t="shared" si="2"/>
        <v>220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5020</v>
      </c>
      <c r="J18" s="60">
        <f t="shared" si="1"/>
        <v>0</v>
      </c>
    </row>
    <row r="19" spans="1:10" x14ac:dyDescent="0.25">
      <c r="A19" s="75"/>
      <c r="B19" s="182">
        <f t="shared" si="2"/>
        <v>220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5020</v>
      </c>
      <c r="J19" s="60">
        <f t="shared" si="1"/>
        <v>0</v>
      </c>
    </row>
    <row r="20" spans="1:10" x14ac:dyDescent="0.25">
      <c r="A20" s="75"/>
      <c r="B20" s="182">
        <f t="shared" si="2"/>
        <v>220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5020</v>
      </c>
      <c r="J20" s="60">
        <f t="shared" si="1"/>
        <v>0</v>
      </c>
    </row>
    <row r="21" spans="1:10" x14ac:dyDescent="0.25">
      <c r="A21" s="75"/>
      <c r="B21" s="182">
        <f t="shared" si="2"/>
        <v>220</v>
      </c>
      <c r="C21" s="15"/>
      <c r="D21" s="69">
        <v>0</v>
      </c>
      <c r="E21" s="253"/>
      <c r="F21" s="92">
        <f t="shared" si="0"/>
        <v>0</v>
      </c>
      <c r="G21" s="70"/>
      <c r="H21" s="71"/>
      <c r="I21" s="394">
        <f t="shared" si="3"/>
        <v>5020</v>
      </c>
      <c r="J21" s="60">
        <f t="shared" si="1"/>
        <v>0</v>
      </c>
    </row>
    <row r="22" spans="1:10" x14ac:dyDescent="0.25">
      <c r="A22" s="75"/>
      <c r="B22" s="182">
        <f t="shared" si="2"/>
        <v>220</v>
      </c>
      <c r="C22" s="15"/>
      <c r="D22" s="69">
        <v>0</v>
      </c>
      <c r="E22" s="253"/>
      <c r="F22" s="92">
        <f t="shared" si="0"/>
        <v>0</v>
      </c>
      <c r="G22" s="70"/>
      <c r="H22" s="71"/>
      <c r="I22" s="394">
        <f t="shared" si="3"/>
        <v>5020</v>
      </c>
      <c r="J22" s="60">
        <f t="shared" si="1"/>
        <v>0</v>
      </c>
    </row>
    <row r="23" spans="1:10" x14ac:dyDescent="0.25">
      <c r="A23" s="19"/>
      <c r="B23" s="182">
        <f t="shared" si="2"/>
        <v>220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4">
        <f t="shared" si="3"/>
        <v>5020</v>
      </c>
      <c r="J23" s="60">
        <f t="shared" si="1"/>
        <v>0</v>
      </c>
    </row>
    <row r="24" spans="1:10" x14ac:dyDescent="0.25">
      <c r="A24" s="19"/>
      <c r="B24" s="182">
        <f t="shared" si="2"/>
        <v>220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4">
        <f t="shared" si="3"/>
        <v>5020</v>
      </c>
      <c r="J24" s="60">
        <f t="shared" si="1"/>
        <v>0</v>
      </c>
    </row>
    <row r="25" spans="1:10" x14ac:dyDescent="0.25">
      <c r="A25" s="19"/>
      <c r="B25" s="182">
        <f t="shared" si="2"/>
        <v>220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4">
        <f t="shared" si="3"/>
        <v>5020</v>
      </c>
      <c r="J25" s="60">
        <f t="shared" si="1"/>
        <v>0</v>
      </c>
    </row>
    <row r="26" spans="1:10" x14ac:dyDescent="0.25">
      <c r="A26" s="19"/>
      <c r="B26" s="182">
        <f t="shared" si="2"/>
        <v>220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4">
        <f t="shared" si="3"/>
        <v>5020</v>
      </c>
      <c r="J26" s="60">
        <f t="shared" si="1"/>
        <v>0</v>
      </c>
    </row>
    <row r="27" spans="1:10" x14ac:dyDescent="0.25">
      <c r="A27" s="19"/>
      <c r="B27" s="182">
        <f t="shared" si="2"/>
        <v>220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4">
        <f t="shared" si="3"/>
        <v>5020</v>
      </c>
      <c r="J27" s="60">
        <f t="shared" si="1"/>
        <v>0</v>
      </c>
    </row>
    <row r="28" spans="1:10" x14ac:dyDescent="0.25">
      <c r="A28" s="19"/>
      <c r="B28" s="182">
        <f t="shared" si="2"/>
        <v>220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4">
        <f t="shared" si="3"/>
        <v>5020</v>
      </c>
      <c r="J28" s="60">
        <f t="shared" si="1"/>
        <v>0</v>
      </c>
    </row>
    <row r="29" spans="1:10" x14ac:dyDescent="0.25">
      <c r="A29" s="19"/>
      <c r="B29" s="182">
        <f t="shared" si="2"/>
        <v>220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4">
        <f t="shared" si="3"/>
        <v>5020</v>
      </c>
      <c r="J29" s="60">
        <f t="shared" si="1"/>
        <v>0</v>
      </c>
    </row>
    <row r="30" spans="1:10" x14ac:dyDescent="0.25">
      <c r="A30" s="19"/>
      <c r="B30" s="182">
        <f t="shared" si="2"/>
        <v>220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4">
        <f t="shared" si="3"/>
        <v>5020</v>
      </c>
      <c r="J30" s="60">
        <f t="shared" si="1"/>
        <v>0</v>
      </c>
    </row>
    <row r="31" spans="1:10" x14ac:dyDescent="0.25">
      <c r="A31" s="19"/>
      <c r="B31" s="182">
        <f t="shared" si="2"/>
        <v>220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4">
        <f t="shared" si="3"/>
        <v>5020</v>
      </c>
      <c r="J31" s="60">
        <f t="shared" si="1"/>
        <v>0</v>
      </c>
    </row>
    <row r="32" spans="1:10" x14ac:dyDescent="0.25">
      <c r="A32" s="19"/>
      <c r="B32" s="182">
        <f t="shared" si="2"/>
        <v>220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4">
        <f t="shared" si="3"/>
        <v>5020</v>
      </c>
      <c r="J32" s="60">
        <f t="shared" si="1"/>
        <v>0</v>
      </c>
    </row>
    <row r="33" spans="1:10" x14ac:dyDescent="0.25">
      <c r="A33" s="19"/>
      <c r="B33" s="182">
        <f t="shared" si="2"/>
        <v>220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4">
        <f t="shared" si="3"/>
        <v>5020</v>
      </c>
      <c r="J33" s="60">
        <f t="shared" si="1"/>
        <v>0</v>
      </c>
    </row>
    <row r="34" spans="1:10" x14ac:dyDescent="0.25">
      <c r="A34" s="19"/>
      <c r="B34" s="182">
        <f t="shared" si="2"/>
        <v>220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4">
        <f t="shared" si="3"/>
        <v>5020</v>
      </c>
      <c r="J34" s="60">
        <f t="shared" si="1"/>
        <v>0</v>
      </c>
    </row>
    <row r="35" spans="1:10" x14ac:dyDescent="0.25">
      <c r="A35" s="19"/>
      <c r="B35" s="182">
        <f t="shared" si="2"/>
        <v>220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4">
        <f t="shared" si="3"/>
        <v>5020</v>
      </c>
      <c r="J35" s="60">
        <f t="shared" si="1"/>
        <v>0</v>
      </c>
    </row>
    <row r="36" spans="1:10" x14ac:dyDescent="0.25">
      <c r="A36" s="19"/>
      <c r="B36" s="182">
        <f t="shared" si="2"/>
        <v>220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4">
        <f t="shared" si="3"/>
        <v>5020</v>
      </c>
      <c r="J36" s="60">
        <f t="shared" si="1"/>
        <v>0</v>
      </c>
    </row>
    <row r="37" spans="1:10" x14ac:dyDescent="0.25">
      <c r="B37" s="182">
        <f>B27-C37</f>
        <v>220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5020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220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5020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257" t="s">
        <v>21</v>
      </c>
      <c r="E41" s="1258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Q1" zoomScaleNormal="100" workbookViewId="0">
      <pane ySplit="9" topLeftCell="A10" activePane="bottomLeft" state="frozen"/>
      <selection pane="bottomLeft" activeCell="U15" sqref="U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68" t="s">
        <v>333</v>
      </c>
      <c r="B1" s="1268"/>
      <c r="C1" s="1268"/>
      <c r="D1" s="1268"/>
      <c r="E1" s="1268"/>
      <c r="F1" s="1268"/>
      <c r="G1" s="1268"/>
      <c r="H1" s="11">
        <v>1</v>
      </c>
      <c r="K1" s="1268" t="str">
        <f>A1</f>
        <v xml:space="preserve"> INVENTARIO   DEL MES DE     NOVIEMBRE       2022</v>
      </c>
      <c r="L1" s="1268"/>
      <c r="M1" s="1268"/>
      <c r="N1" s="1268"/>
      <c r="O1" s="1268"/>
      <c r="P1" s="1268"/>
      <c r="Q1" s="1268"/>
      <c r="R1" s="11">
        <v>2</v>
      </c>
      <c r="U1" s="1272" t="s">
        <v>340</v>
      </c>
      <c r="V1" s="1272"/>
      <c r="W1" s="1272"/>
      <c r="X1" s="1272"/>
      <c r="Y1" s="1272"/>
      <c r="Z1" s="1272"/>
      <c r="AA1" s="1272"/>
      <c r="AB1" s="11">
        <v>3</v>
      </c>
    </row>
    <row r="2" spans="1:30" ht="15.75" thickBot="1" x14ac:dyDescent="0.3"/>
    <row r="3" spans="1:30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5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46" t="s">
        <v>52</v>
      </c>
      <c r="B4" s="485"/>
      <c r="C4" s="128"/>
      <c r="D4" s="135"/>
      <c r="E4" s="86">
        <v>142.04</v>
      </c>
      <c r="F4" s="73">
        <v>4</v>
      </c>
      <c r="G4" s="811"/>
      <c r="K4" s="1346" t="s">
        <v>52</v>
      </c>
      <c r="L4" s="485"/>
      <c r="M4" s="128"/>
      <c r="N4" s="135"/>
      <c r="O4" s="86"/>
      <c r="P4" s="73"/>
      <c r="Q4" s="936"/>
      <c r="U4" s="1346" t="s">
        <v>52</v>
      </c>
      <c r="V4" s="485"/>
      <c r="W4" s="128"/>
      <c r="X4" s="135"/>
      <c r="Y4" s="86"/>
      <c r="Z4" s="73"/>
      <c r="AA4" s="1130"/>
    </row>
    <row r="5" spans="1:30" ht="15" customHeight="1" x14ac:dyDescent="0.25">
      <c r="A5" s="1347"/>
      <c r="B5" s="1349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347"/>
      <c r="L5" s="1349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347"/>
      <c r="V5" s="1349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48"/>
      <c r="B6" s="1350"/>
      <c r="C6" s="550"/>
      <c r="D6" s="135"/>
      <c r="E6" s="86"/>
      <c r="F6" s="73"/>
      <c r="G6" s="73"/>
      <c r="K6" s="1348"/>
      <c r="L6" s="1350"/>
      <c r="M6" s="550"/>
      <c r="N6" s="135"/>
      <c r="O6" s="86"/>
      <c r="P6" s="73"/>
      <c r="Q6" s="73"/>
      <c r="U6" s="1348"/>
      <c r="V6" s="1350"/>
      <c r="W6" s="550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22" t="s">
        <v>52</v>
      </c>
      <c r="C7" s="550"/>
      <c r="D7" s="135"/>
      <c r="E7" s="105"/>
      <c r="F7" s="73"/>
      <c r="G7" s="73"/>
      <c r="K7" s="522" t="s">
        <v>52</v>
      </c>
      <c r="M7" s="550"/>
      <c r="N7" s="135"/>
      <c r="O7" s="105"/>
      <c r="P7" s="73"/>
      <c r="Q7" s="73"/>
      <c r="U7" s="522" t="s">
        <v>52</v>
      </c>
      <c r="W7" s="550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6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6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  <c r="V9" s="24" t="s">
        <v>7</v>
      </c>
      <c r="W9" s="20" t="s">
        <v>8</v>
      </c>
      <c r="X9" s="546" t="s">
        <v>3</v>
      </c>
      <c r="Y9" s="23" t="s">
        <v>2</v>
      </c>
      <c r="Z9" s="26" t="s">
        <v>18</v>
      </c>
      <c r="AA9" s="10" t="s">
        <v>15</v>
      </c>
      <c r="AB9" s="24"/>
      <c r="AC9" s="349" t="s">
        <v>53</v>
      </c>
    </row>
    <row r="10" spans="1:30" ht="16.5" thickTop="1" x14ac:dyDescent="0.25">
      <c r="A10" s="819" t="s">
        <v>194</v>
      </c>
      <c r="B10" s="235">
        <f>F4+F5+F6+F7+F8-C10</f>
        <v>99</v>
      </c>
      <c r="C10" s="820">
        <v>5</v>
      </c>
      <c r="D10" s="338">
        <v>142.13999999999999</v>
      </c>
      <c r="E10" s="689">
        <v>44844</v>
      </c>
      <c r="F10" s="338">
        <f t="shared" ref="F10:F57" si="0">D10</f>
        <v>142.13999999999999</v>
      </c>
      <c r="G10" s="676" t="s">
        <v>190</v>
      </c>
      <c r="H10" s="688">
        <v>42</v>
      </c>
      <c r="I10" s="132">
        <f>E6+E5+E4-F10+E7+E8</f>
        <v>3038.05</v>
      </c>
      <c r="K10" s="819" t="s">
        <v>194</v>
      </c>
      <c r="L10" s="845">
        <f>P4+P5+P6+P7+P8-M10</f>
        <v>94</v>
      </c>
      <c r="M10" s="937"/>
      <c r="N10" s="740"/>
      <c r="O10" s="938"/>
      <c r="P10" s="740">
        <f t="shared" ref="P10:P57" si="1">N10</f>
        <v>0</v>
      </c>
      <c r="Q10" s="939"/>
      <c r="R10" s="940"/>
      <c r="S10" s="829">
        <f>O6+O5+O4-P10+O7+O8</f>
        <v>2810.63</v>
      </c>
      <c r="U10" s="819" t="s">
        <v>194</v>
      </c>
      <c r="V10" s="1164">
        <f>Z4+Z5+Z6+Z7+Z8-W10</f>
        <v>205</v>
      </c>
      <c r="W10" s="937"/>
      <c r="X10" s="740"/>
      <c r="Y10" s="938"/>
      <c r="Z10" s="740">
        <f t="shared" ref="Z10:Z57" si="2">X10</f>
        <v>0</v>
      </c>
      <c r="AA10" s="939"/>
      <c r="AB10" s="940"/>
      <c r="AC10" s="697">
        <f>Y6+Y5+Y4-Z10+Y7+Y8</f>
        <v>5922.77</v>
      </c>
      <c r="AD10" s="735"/>
    </row>
    <row r="11" spans="1:30" x14ac:dyDescent="0.25">
      <c r="A11" s="75"/>
      <c r="B11" s="348">
        <f>B10-C11</f>
        <v>98</v>
      </c>
      <c r="C11" s="337">
        <v>1</v>
      </c>
      <c r="D11" s="338">
        <v>29.16</v>
      </c>
      <c r="E11" s="689">
        <v>44847</v>
      </c>
      <c r="F11" s="338">
        <f t="shared" si="0"/>
        <v>29.16</v>
      </c>
      <c r="G11" s="676" t="s">
        <v>193</v>
      </c>
      <c r="H11" s="688">
        <v>42</v>
      </c>
      <c r="I11" s="132">
        <f>I10-F11</f>
        <v>3008.8900000000003</v>
      </c>
      <c r="K11" s="75"/>
      <c r="L11" s="941">
        <f>L10-M11</f>
        <v>94</v>
      </c>
      <c r="M11" s="937"/>
      <c r="N11" s="740"/>
      <c r="O11" s="938"/>
      <c r="P11" s="740">
        <f t="shared" si="1"/>
        <v>0</v>
      </c>
      <c r="Q11" s="939"/>
      <c r="R11" s="940"/>
      <c r="S11" s="697">
        <f>S10-P11</f>
        <v>2810.63</v>
      </c>
      <c r="U11" s="75"/>
      <c r="V11" s="941">
        <f>V10-W11</f>
        <v>205</v>
      </c>
      <c r="W11" s="937"/>
      <c r="X11" s="740"/>
      <c r="Y11" s="938"/>
      <c r="Z11" s="740">
        <f t="shared" si="2"/>
        <v>0</v>
      </c>
      <c r="AA11" s="939"/>
      <c r="AB11" s="940"/>
      <c r="AC11" s="697">
        <f>AC10-Z11</f>
        <v>5922.77</v>
      </c>
    </row>
    <row r="12" spans="1:30" x14ac:dyDescent="0.25">
      <c r="A12" s="75"/>
      <c r="B12" s="348">
        <f t="shared" ref="B12:B58" si="3">B11-C12</f>
        <v>88</v>
      </c>
      <c r="C12" s="337">
        <v>10</v>
      </c>
      <c r="D12" s="338">
        <v>273.66000000000003</v>
      </c>
      <c r="E12" s="689">
        <v>44847</v>
      </c>
      <c r="F12" s="338">
        <f t="shared" si="0"/>
        <v>273.66000000000003</v>
      </c>
      <c r="G12" s="676" t="s">
        <v>196</v>
      </c>
      <c r="H12" s="688">
        <v>30</v>
      </c>
      <c r="I12" s="132">
        <f t="shared" ref="I12:I13" si="4">I11-F12</f>
        <v>2735.2300000000005</v>
      </c>
      <c r="K12" s="75"/>
      <c r="L12" s="941">
        <f t="shared" ref="L12:L58" si="5">L11-M12</f>
        <v>94</v>
      </c>
      <c r="M12" s="937"/>
      <c r="N12" s="740"/>
      <c r="O12" s="938"/>
      <c r="P12" s="740">
        <f t="shared" si="1"/>
        <v>0</v>
      </c>
      <c r="Q12" s="939"/>
      <c r="R12" s="940"/>
      <c r="S12" s="697">
        <f t="shared" ref="S12:S13" si="6">S11-P12</f>
        <v>2810.63</v>
      </c>
      <c r="U12" s="75"/>
      <c r="V12" s="941">
        <f t="shared" ref="V12:V58" si="7">V11-W12</f>
        <v>205</v>
      </c>
      <c r="W12" s="937"/>
      <c r="X12" s="740"/>
      <c r="Y12" s="938"/>
      <c r="Z12" s="740">
        <f t="shared" si="2"/>
        <v>0</v>
      </c>
      <c r="AA12" s="939"/>
      <c r="AB12" s="940"/>
      <c r="AC12" s="697">
        <f t="shared" ref="AC12:AC13" si="8">AC11-Z12</f>
        <v>5922.77</v>
      </c>
    </row>
    <row r="13" spans="1:30" x14ac:dyDescent="0.25">
      <c r="A13" s="55"/>
      <c r="B13" s="348">
        <f t="shared" si="3"/>
        <v>83</v>
      </c>
      <c r="C13" s="337">
        <v>5</v>
      </c>
      <c r="D13" s="338">
        <v>155.86000000000001</v>
      </c>
      <c r="E13" s="689">
        <v>44849</v>
      </c>
      <c r="F13" s="338">
        <f t="shared" si="0"/>
        <v>155.86000000000001</v>
      </c>
      <c r="G13" s="676" t="s">
        <v>198</v>
      </c>
      <c r="H13" s="688">
        <v>30</v>
      </c>
      <c r="I13" s="132">
        <f t="shared" si="4"/>
        <v>2579.3700000000003</v>
      </c>
      <c r="K13" s="55"/>
      <c r="L13" s="941">
        <f t="shared" si="5"/>
        <v>94</v>
      </c>
      <c r="M13" s="937"/>
      <c r="N13" s="740"/>
      <c r="O13" s="938"/>
      <c r="P13" s="740">
        <f t="shared" si="1"/>
        <v>0</v>
      </c>
      <c r="Q13" s="939"/>
      <c r="R13" s="940"/>
      <c r="S13" s="697">
        <f t="shared" si="6"/>
        <v>2810.63</v>
      </c>
      <c r="U13" s="55"/>
      <c r="V13" s="941">
        <f t="shared" si="7"/>
        <v>205</v>
      </c>
      <c r="W13" s="937"/>
      <c r="X13" s="740"/>
      <c r="Y13" s="938"/>
      <c r="Z13" s="740">
        <f t="shared" si="2"/>
        <v>0</v>
      </c>
      <c r="AA13" s="939"/>
      <c r="AB13" s="940"/>
      <c r="AC13" s="697">
        <f t="shared" si="8"/>
        <v>5922.77</v>
      </c>
    </row>
    <row r="14" spans="1:30" x14ac:dyDescent="0.25">
      <c r="A14" s="75"/>
      <c r="B14" s="348">
        <f t="shared" si="3"/>
        <v>82</v>
      </c>
      <c r="C14" s="337">
        <v>1</v>
      </c>
      <c r="D14" s="338">
        <v>29.67</v>
      </c>
      <c r="E14" s="689">
        <v>44853</v>
      </c>
      <c r="F14" s="338">
        <f t="shared" si="0"/>
        <v>29.67</v>
      </c>
      <c r="G14" s="676" t="s">
        <v>199</v>
      </c>
      <c r="H14" s="688">
        <v>30</v>
      </c>
      <c r="I14" s="132">
        <f>I13-F14</f>
        <v>2549.7000000000003</v>
      </c>
      <c r="K14" s="75"/>
      <c r="L14" s="941">
        <f t="shared" si="5"/>
        <v>94</v>
      </c>
      <c r="M14" s="937"/>
      <c r="N14" s="740"/>
      <c r="O14" s="938"/>
      <c r="P14" s="740">
        <f t="shared" si="1"/>
        <v>0</v>
      </c>
      <c r="Q14" s="939"/>
      <c r="R14" s="940"/>
      <c r="S14" s="697">
        <f>S13-P14</f>
        <v>2810.63</v>
      </c>
      <c r="U14" s="75"/>
      <c r="V14" s="941">
        <f t="shared" si="7"/>
        <v>205</v>
      </c>
      <c r="W14" s="937"/>
      <c r="X14" s="740"/>
      <c r="Y14" s="938"/>
      <c r="Z14" s="740">
        <f t="shared" si="2"/>
        <v>0</v>
      </c>
      <c r="AA14" s="939"/>
      <c r="AB14" s="940"/>
      <c r="AC14" s="697">
        <f>AC13-Z14</f>
        <v>5922.77</v>
      </c>
    </row>
    <row r="15" spans="1:30" x14ac:dyDescent="0.25">
      <c r="A15" s="75"/>
      <c r="B15" s="348">
        <f t="shared" si="3"/>
        <v>81</v>
      </c>
      <c r="C15" s="337">
        <v>1</v>
      </c>
      <c r="D15" s="338">
        <v>28.68</v>
      </c>
      <c r="E15" s="689">
        <v>44854</v>
      </c>
      <c r="F15" s="338">
        <f t="shared" si="0"/>
        <v>28.68</v>
      </c>
      <c r="G15" s="676" t="s">
        <v>201</v>
      </c>
      <c r="H15" s="688">
        <v>30</v>
      </c>
      <c r="I15" s="132">
        <f t="shared" ref="I15:I58" si="9">I14-F15</f>
        <v>2521.0200000000004</v>
      </c>
      <c r="K15" s="75"/>
      <c r="L15" s="941">
        <f t="shared" si="5"/>
        <v>94</v>
      </c>
      <c r="M15" s="937"/>
      <c r="N15" s="740"/>
      <c r="O15" s="938"/>
      <c r="P15" s="740">
        <f t="shared" si="1"/>
        <v>0</v>
      </c>
      <c r="Q15" s="939"/>
      <c r="R15" s="940"/>
      <c r="S15" s="697">
        <f t="shared" ref="S15:S58" si="10">S14-P15</f>
        <v>2810.63</v>
      </c>
      <c r="U15" s="75"/>
      <c r="V15" s="941">
        <f t="shared" si="7"/>
        <v>205</v>
      </c>
      <c r="W15" s="937"/>
      <c r="X15" s="740"/>
      <c r="Y15" s="938"/>
      <c r="Z15" s="740">
        <f t="shared" si="2"/>
        <v>0</v>
      </c>
      <c r="AA15" s="939"/>
      <c r="AB15" s="940"/>
      <c r="AC15" s="697">
        <f t="shared" ref="AC15:AC58" si="11">AC14-Z15</f>
        <v>5922.77</v>
      </c>
    </row>
    <row r="16" spans="1:30" x14ac:dyDescent="0.25">
      <c r="B16" s="348">
        <f t="shared" si="3"/>
        <v>78</v>
      </c>
      <c r="C16" s="337">
        <v>3</v>
      </c>
      <c r="D16" s="338">
        <v>90.38</v>
      </c>
      <c r="E16" s="689">
        <v>44854</v>
      </c>
      <c r="F16" s="338">
        <f t="shared" si="0"/>
        <v>90.38</v>
      </c>
      <c r="G16" s="676" t="s">
        <v>203</v>
      </c>
      <c r="H16" s="688">
        <v>30</v>
      </c>
      <c r="I16" s="132">
        <f t="shared" si="9"/>
        <v>2430.6400000000003</v>
      </c>
      <c r="L16" s="941">
        <f t="shared" si="5"/>
        <v>94</v>
      </c>
      <c r="M16" s="937"/>
      <c r="N16" s="740"/>
      <c r="O16" s="938"/>
      <c r="P16" s="740">
        <f t="shared" si="1"/>
        <v>0</v>
      </c>
      <c r="Q16" s="939"/>
      <c r="R16" s="940"/>
      <c r="S16" s="697">
        <f t="shared" si="10"/>
        <v>2810.63</v>
      </c>
      <c r="V16" s="941">
        <f t="shared" si="7"/>
        <v>205</v>
      </c>
      <c r="W16" s="937"/>
      <c r="X16" s="740"/>
      <c r="Y16" s="938"/>
      <c r="Z16" s="740">
        <f t="shared" si="2"/>
        <v>0</v>
      </c>
      <c r="AA16" s="939"/>
      <c r="AB16" s="940"/>
      <c r="AC16" s="697">
        <f t="shared" si="11"/>
        <v>5922.77</v>
      </c>
    </row>
    <row r="17" spans="1:29" x14ac:dyDescent="0.25">
      <c r="B17" s="348">
        <f t="shared" si="3"/>
        <v>77</v>
      </c>
      <c r="C17" s="337">
        <v>1</v>
      </c>
      <c r="D17" s="338">
        <v>30.55</v>
      </c>
      <c r="E17" s="689">
        <v>44855</v>
      </c>
      <c r="F17" s="338">
        <f t="shared" si="0"/>
        <v>30.55</v>
      </c>
      <c r="G17" s="676" t="s">
        <v>204</v>
      </c>
      <c r="H17" s="688">
        <v>30</v>
      </c>
      <c r="I17" s="132">
        <f t="shared" si="9"/>
        <v>2400.09</v>
      </c>
      <c r="L17" s="941">
        <f t="shared" si="5"/>
        <v>94</v>
      </c>
      <c r="M17" s="937"/>
      <c r="N17" s="740"/>
      <c r="O17" s="938"/>
      <c r="P17" s="740">
        <f t="shared" si="1"/>
        <v>0</v>
      </c>
      <c r="Q17" s="939"/>
      <c r="R17" s="940"/>
      <c r="S17" s="697">
        <f t="shared" si="10"/>
        <v>2810.63</v>
      </c>
      <c r="V17" s="941">
        <f t="shared" si="7"/>
        <v>205</v>
      </c>
      <c r="W17" s="937"/>
      <c r="X17" s="740"/>
      <c r="Y17" s="938"/>
      <c r="Z17" s="740">
        <f t="shared" si="2"/>
        <v>0</v>
      </c>
      <c r="AA17" s="939"/>
      <c r="AB17" s="940"/>
      <c r="AC17" s="697">
        <f t="shared" si="11"/>
        <v>5922.77</v>
      </c>
    </row>
    <row r="18" spans="1:29" x14ac:dyDescent="0.25">
      <c r="B18" s="348">
        <f t="shared" si="3"/>
        <v>76</v>
      </c>
      <c r="C18" s="337">
        <v>1</v>
      </c>
      <c r="D18" s="338">
        <v>30.65</v>
      </c>
      <c r="E18" s="689">
        <v>44856</v>
      </c>
      <c r="F18" s="338">
        <f t="shared" si="0"/>
        <v>30.65</v>
      </c>
      <c r="G18" s="676" t="s">
        <v>206</v>
      </c>
      <c r="H18" s="688">
        <v>30</v>
      </c>
      <c r="I18" s="132">
        <f t="shared" si="9"/>
        <v>2369.44</v>
      </c>
      <c r="L18" s="941">
        <f t="shared" si="5"/>
        <v>94</v>
      </c>
      <c r="M18" s="937"/>
      <c r="N18" s="740"/>
      <c r="O18" s="938"/>
      <c r="P18" s="740">
        <f t="shared" si="1"/>
        <v>0</v>
      </c>
      <c r="Q18" s="939"/>
      <c r="R18" s="940"/>
      <c r="S18" s="697">
        <f t="shared" si="10"/>
        <v>2810.63</v>
      </c>
      <c r="V18" s="941">
        <f t="shared" si="7"/>
        <v>205</v>
      </c>
      <c r="W18" s="937"/>
      <c r="X18" s="740"/>
      <c r="Y18" s="938"/>
      <c r="Z18" s="740">
        <f t="shared" si="2"/>
        <v>0</v>
      </c>
      <c r="AA18" s="939"/>
      <c r="AB18" s="940"/>
      <c r="AC18" s="697">
        <f t="shared" si="11"/>
        <v>5922.77</v>
      </c>
    </row>
    <row r="19" spans="1:29" x14ac:dyDescent="0.25">
      <c r="B19" s="348">
        <f t="shared" si="3"/>
        <v>70</v>
      </c>
      <c r="C19" s="337">
        <v>6</v>
      </c>
      <c r="D19" s="338">
        <v>178.63</v>
      </c>
      <c r="E19" s="689">
        <v>44856</v>
      </c>
      <c r="F19" s="338">
        <f t="shared" si="0"/>
        <v>178.63</v>
      </c>
      <c r="G19" s="676" t="s">
        <v>208</v>
      </c>
      <c r="H19" s="688">
        <v>30</v>
      </c>
      <c r="I19" s="132">
        <f t="shared" si="9"/>
        <v>2190.81</v>
      </c>
      <c r="L19" s="941">
        <f t="shared" si="5"/>
        <v>94</v>
      </c>
      <c r="M19" s="937"/>
      <c r="N19" s="740"/>
      <c r="O19" s="938"/>
      <c r="P19" s="740">
        <f t="shared" si="1"/>
        <v>0</v>
      </c>
      <c r="Q19" s="939"/>
      <c r="R19" s="940"/>
      <c r="S19" s="697">
        <f t="shared" si="10"/>
        <v>2810.63</v>
      </c>
      <c r="V19" s="941">
        <f t="shared" si="7"/>
        <v>205</v>
      </c>
      <c r="W19" s="937"/>
      <c r="X19" s="740"/>
      <c r="Y19" s="938"/>
      <c r="Z19" s="740">
        <f t="shared" si="2"/>
        <v>0</v>
      </c>
      <c r="AA19" s="939"/>
      <c r="AB19" s="940"/>
      <c r="AC19" s="697">
        <f t="shared" si="11"/>
        <v>5922.77</v>
      </c>
    </row>
    <row r="20" spans="1:29" x14ac:dyDescent="0.25">
      <c r="B20" s="348">
        <f t="shared" si="3"/>
        <v>68</v>
      </c>
      <c r="C20" s="337">
        <v>2</v>
      </c>
      <c r="D20" s="338">
        <v>61</v>
      </c>
      <c r="E20" s="689">
        <v>44858</v>
      </c>
      <c r="F20" s="338">
        <f t="shared" si="0"/>
        <v>61</v>
      </c>
      <c r="G20" s="676" t="s">
        <v>209</v>
      </c>
      <c r="H20" s="688">
        <v>30</v>
      </c>
      <c r="I20" s="132">
        <f t="shared" si="9"/>
        <v>2129.81</v>
      </c>
      <c r="L20" s="941">
        <f t="shared" si="5"/>
        <v>94</v>
      </c>
      <c r="M20" s="937"/>
      <c r="N20" s="740"/>
      <c r="O20" s="938"/>
      <c r="P20" s="740">
        <f t="shared" si="1"/>
        <v>0</v>
      </c>
      <c r="Q20" s="939"/>
      <c r="R20" s="940"/>
      <c r="S20" s="697">
        <f t="shared" si="10"/>
        <v>2810.63</v>
      </c>
      <c r="V20" s="941">
        <f t="shared" si="7"/>
        <v>205</v>
      </c>
      <c r="W20" s="937"/>
      <c r="X20" s="740"/>
      <c r="Y20" s="938"/>
      <c r="Z20" s="740">
        <f t="shared" si="2"/>
        <v>0</v>
      </c>
      <c r="AA20" s="939"/>
      <c r="AB20" s="940"/>
      <c r="AC20" s="697">
        <f t="shared" si="11"/>
        <v>5922.77</v>
      </c>
    </row>
    <row r="21" spans="1:29" x14ac:dyDescent="0.25">
      <c r="B21" s="348">
        <f t="shared" si="3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6" t="s">
        <v>210</v>
      </c>
      <c r="H21" s="688">
        <v>30</v>
      </c>
      <c r="I21" s="132">
        <f t="shared" si="9"/>
        <v>1915.57</v>
      </c>
      <c r="L21" s="941">
        <f t="shared" si="5"/>
        <v>94</v>
      </c>
      <c r="M21" s="937"/>
      <c r="N21" s="740"/>
      <c r="O21" s="942"/>
      <c r="P21" s="740">
        <f t="shared" si="1"/>
        <v>0</v>
      </c>
      <c r="Q21" s="939"/>
      <c r="R21" s="940"/>
      <c r="S21" s="697">
        <f t="shared" si="10"/>
        <v>2810.63</v>
      </c>
      <c r="V21" s="941">
        <f t="shared" si="7"/>
        <v>205</v>
      </c>
      <c r="W21" s="937"/>
      <c r="X21" s="740"/>
      <c r="Y21" s="942"/>
      <c r="Z21" s="740">
        <f t="shared" si="2"/>
        <v>0</v>
      </c>
      <c r="AA21" s="939"/>
      <c r="AB21" s="940"/>
      <c r="AC21" s="697">
        <f t="shared" si="11"/>
        <v>5922.77</v>
      </c>
    </row>
    <row r="22" spans="1:29" x14ac:dyDescent="0.25">
      <c r="B22" s="348">
        <f t="shared" si="3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6" t="s">
        <v>211</v>
      </c>
      <c r="H22" s="688">
        <v>30</v>
      </c>
      <c r="I22" s="132">
        <f t="shared" si="9"/>
        <v>1885.46</v>
      </c>
      <c r="L22" s="941">
        <f t="shared" si="5"/>
        <v>94</v>
      </c>
      <c r="M22" s="937"/>
      <c r="N22" s="740"/>
      <c r="O22" s="942"/>
      <c r="P22" s="740">
        <f t="shared" si="1"/>
        <v>0</v>
      </c>
      <c r="Q22" s="939"/>
      <c r="R22" s="940"/>
      <c r="S22" s="697">
        <f t="shared" si="10"/>
        <v>2810.63</v>
      </c>
      <c r="V22" s="941">
        <f t="shared" si="7"/>
        <v>205</v>
      </c>
      <c r="W22" s="937"/>
      <c r="X22" s="740"/>
      <c r="Y22" s="942"/>
      <c r="Z22" s="740">
        <f t="shared" si="2"/>
        <v>0</v>
      </c>
      <c r="AA22" s="939"/>
      <c r="AB22" s="940"/>
      <c r="AC22" s="697">
        <f t="shared" si="11"/>
        <v>5922.77</v>
      </c>
    </row>
    <row r="23" spans="1:29" x14ac:dyDescent="0.25">
      <c r="B23" s="348">
        <f t="shared" si="3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6" t="s">
        <v>212</v>
      </c>
      <c r="H23" s="688">
        <v>30</v>
      </c>
      <c r="I23" s="132">
        <f t="shared" si="9"/>
        <v>1674.75</v>
      </c>
      <c r="L23" s="941">
        <f t="shared" si="5"/>
        <v>94</v>
      </c>
      <c r="M23" s="937"/>
      <c r="N23" s="740"/>
      <c r="O23" s="942"/>
      <c r="P23" s="740">
        <f t="shared" si="1"/>
        <v>0</v>
      </c>
      <c r="Q23" s="939"/>
      <c r="R23" s="940"/>
      <c r="S23" s="697">
        <f t="shared" si="10"/>
        <v>2810.63</v>
      </c>
      <c r="V23" s="941">
        <f t="shared" si="7"/>
        <v>205</v>
      </c>
      <c r="W23" s="937"/>
      <c r="X23" s="740"/>
      <c r="Y23" s="942"/>
      <c r="Z23" s="740">
        <f t="shared" si="2"/>
        <v>0</v>
      </c>
      <c r="AA23" s="939"/>
      <c r="AB23" s="940"/>
      <c r="AC23" s="697">
        <f t="shared" si="11"/>
        <v>5922.77</v>
      </c>
    </row>
    <row r="24" spans="1:29" x14ac:dyDescent="0.25">
      <c r="B24" s="348">
        <f t="shared" si="3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6" t="s">
        <v>215</v>
      </c>
      <c r="H24" s="688">
        <v>30</v>
      </c>
      <c r="I24" s="132">
        <f t="shared" si="9"/>
        <v>1642.76</v>
      </c>
      <c r="L24" s="941">
        <f t="shared" si="5"/>
        <v>94</v>
      </c>
      <c r="M24" s="937"/>
      <c r="N24" s="740"/>
      <c r="O24" s="942"/>
      <c r="P24" s="740">
        <f t="shared" si="1"/>
        <v>0</v>
      </c>
      <c r="Q24" s="939"/>
      <c r="R24" s="940"/>
      <c r="S24" s="697">
        <f t="shared" si="10"/>
        <v>2810.63</v>
      </c>
      <c r="V24" s="941">
        <f t="shared" si="7"/>
        <v>205</v>
      </c>
      <c r="W24" s="937"/>
      <c r="X24" s="740"/>
      <c r="Y24" s="942"/>
      <c r="Z24" s="740">
        <f t="shared" si="2"/>
        <v>0</v>
      </c>
      <c r="AA24" s="939"/>
      <c r="AB24" s="940"/>
      <c r="AC24" s="697">
        <f t="shared" si="11"/>
        <v>5922.77</v>
      </c>
    </row>
    <row r="25" spans="1:29" ht="15.75" x14ac:dyDescent="0.25">
      <c r="A25" s="964" t="s">
        <v>318</v>
      </c>
      <c r="B25" s="835">
        <f t="shared" si="3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6" t="s">
        <v>216</v>
      </c>
      <c r="H25" s="688">
        <v>30</v>
      </c>
      <c r="I25" s="829">
        <f t="shared" si="9"/>
        <v>1426</v>
      </c>
      <c r="L25" s="941">
        <f t="shared" si="5"/>
        <v>94</v>
      </c>
      <c r="M25" s="937"/>
      <c r="N25" s="740"/>
      <c r="O25" s="942"/>
      <c r="P25" s="740">
        <f t="shared" si="1"/>
        <v>0</v>
      </c>
      <c r="Q25" s="939"/>
      <c r="R25" s="940"/>
      <c r="S25" s="697">
        <f t="shared" si="10"/>
        <v>2810.63</v>
      </c>
      <c r="V25" s="941">
        <f t="shared" si="7"/>
        <v>205</v>
      </c>
      <c r="W25" s="937"/>
      <c r="X25" s="740"/>
      <c r="Y25" s="942"/>
      <c r="Z25" s="740">
        <f t="shared" si="2"/>
        <v>0</v>
      </c>
      <c r="AA25" s="939"/>
      <c r="AB25" s="940"/>
      <c r="AC25" s="697">
        <f t="shared" si="11"/>
        <v>5922.77</v>
      </c>
    </row>
    <row r="26" spans="1:29" x14ac:dyDescent="0.25">
      <c r="B26" s="835">
        <f t="shared" si="3"/>
        <v>37</v>
      </c>
      <c r="C26" s="337">
        <v>8</v>
      </c>
      <c r="D26" s="946">
        <v>210.23</v>
      </c>
      <c r="E26" s="947">
        <v>44865</v>
      </c>
      <c r="F26" s="946">
        <f t="shared" si="0"/>
        <v>210.23</v>
      </c>
      <c r="G26" s="948" t="s">
        <v>234</v>
      </c>
      <c r="H26" s="949">
        <v>30</v>
      </c>
      <c r="I26" s="829">
        <f t="shared" si="9"/>
        <v>1215.77</v>
      </c>
      <c r="L26" s="941">
        <f t="shared" si="5"/>
        <v>94</v>
      </c>
      <c r="M26" s="937"/>
      <c r="N26" s="740"/>
      <c r="O26" s="942"/>
      <c r="P26" s="740">
        <f t="shared" si="1"/>
        <v>0</v>
      </c>
      <c r="Q26" s="939"/>
      <c r="R26" s="940"/>
      <c r="S26" s="697">
        <f t="shared" si="10"/>
        <v>2810.63</v>
      </c>
      <c r="V26" s="941">
        <f t="shared" si="7"/>
        <v>205</v>
      </c>
      <c r="W26" s="937"/>
      <c r="X26" s="740"/>
      <c r="Y26" s="942"/>
      <c r="Z26" s="740">
        <f t="shared" si="2"/>
        <v>0</v>
      </c>
      <c r="AA26" s="939"/>
      <c r="AB26" s="940"/>
      <c r="AC26" s="697">
        <f t="shared" si="11"/>
        <v>5922.77</v>
      </c>
    </row>
    <row r="27" spans="1:29" x14ac:dyDescent="0.25">
      <c r="B27" s="348">
        <f t="shared" si="3"/>
        <v>37</v>
      </c>
      <c r="C27" s="337"/>
      <c r="D27" s="1015"/>
      <c r="E27" s="1016"/>
      <c r="F27" s="1015">
        <f t="shared" si="0"/>
        <v>0</v>
      </c>
      <c r="G27" s="1017"/>
      <c r="H27" s="1018"/>
      <c r="I27" s="132">
        <f t="shared" si="9"/>
        <v>1215.77</v>
      </c>
      <c r="L27" s="941">
        <f t="shared" si="5"/>
        <v>94</v>
      </c>
      <c r="M27" s="937"/>
      <c r="N27" s="740"/>
      <c r="O27" s="942"/>
      <c r="P27" s="740">
        <f t="shared" si="1"/>
        <v>0</v>
      </c>
      <c r="Q27" s="939"/>
      <c r="R27" s="940"/>
      <c r="S27" s="697">
        <f t="shared" si="10"/>
        <v>2810.63</v>
      </c>
      <c r="V27" s="941">
        <f t="shared" si="7"/>
        <v>205</v>
      </c>
      <c r="W27" s="937"/>
      <c r="X27" s="740"/>
      <c r="Y27" s="942"/>
      <c r="Z27" s="740">
        <f t="shared" si="2"/>
        <v>0</v>
      </c>
      <c r="AA27" s="939"/>
      <c r="AB27" s="940"/>
      <c r="AC27" s="697">
        <f t="shared" si="11"/>
        <v>5922.77</v>
      </c>
    </row>
    <row r="28" spans="1:29" x14ac:dyDescent="0.25">
      <c r="B28" s="348">
        <f t="shared" si="3"/>
        <v>37</v>
      </c>
      <c r="C28" s="337"/>
      <c r="D28" s="1015"/>
      <c r="E28" s="1016"/>
      <c r="F28" s="1015">
        <f t="shared" si="0"/>
        <v>0</v>
      </c>
      <c r="G28" s="1017"/>
      <c r="H28" s="1018"/>
      <c r="I28" s="132">
        <f t="shared" si="9"/>
        <v>1215.77</v>
      </c>
      <c r="L28" s="348">
        <f t="shared" si="5"/>
        <v>94</v>
      </c>
      <c r="M28" s="337"/>
      <c r="N28" s="338"/>
      <c r="O28" s="350"/>
      <c r="P28" s="338">
        <f t="shared" si="1"/>
        <v>0</v>
      </c>
      <c r="Q28" s="676"/>
      <c r="R28" s="688"/>
      <c r="S28" s="132">
        <f t="shared" si="10"/>
        <v>2810.63</v>
      </c>
      <c r="V28" s="348">
        <f t="shared" si="7"/>
        <v>205</v>
      </c>
      <c r="W28" s="337"/>
      <c r="X28" s="338"/>
      <c r="Y28" s="350"/>
      <c r="Z28" s="338">
        <f t="shared" si="2"/>
        <v>0</v>
      </c>
      <c r="AA28" s="676"/>
      <c r="AB28" s="688"/>
      <c r="AC28" s="132">
        <f t="shared" si="11"/>
        <v>5922.77</v>
      </c>
    </row>
    <row r="29" spans="1:29" x14ac:dyDescent="0.25">
      <c r="B29" s="348">
        <f t="shared" si="3"/>
        <v>37</v>
      </c>
      <c r="C29" s="337"/>
      <c r="D29" s="1015"/>
      <c r="E29" s="1016"/>
      <c r="F29" s="1015">
        <f t="shared" si="0"/>
        <v>0</v>
      </c>
      <c r="G29" s="1017"/>
      <c r="H29" s="1018"/>
      <c r="I29" s="132">
        <f t="shared" si="9"/>
        <v>1215.77</v>
      </c>
      <c r="L29" s="348">
        <f t="shared" si="5"/>
        <v>94</v>
      </c>
      <c r="M29" s="337"/>
      <c r="N29" s="338"/>
      <c r="O29" s="350"/>
      <c r="P29" s="338">
        <f t="shared" si="1"/>
        <v>0</v>
      </c>
      <c r="Q29" s="676"/>
      <c r="R29" s="688"/>
      <c r="S29" s="132">
        <f t="shared" si="10"/>
        <v>2810.63</v>
      </c>
      <c r="V29" s="348">
        <f t="shared" si="7"/>
        <v>205</v>
      </c>
      <c r="W29" s="337"/>
      <c r="X29" s="338"/>
      <c r="Y29" s="350"/>
      <c r="Z29" s="338">
        <f t="shared" si="2"/>
        <v>0</v>
      </c>
      <c r="AA29" s="676"/>
      <c r="AB29" s="688"/>
      <c r="AC29" s="132">
        <f t="shared" si="11"/>
        <v>5922.77</v>
      </c>
    </row>
    <row r="30" spans="1:29" x14ac:dyDescent="0.25">
      <c r="B30" s="348">
        <f t="shared" si="3"/>
        <v>37</v>
      </c>
      <c r="C30" s="337"/>
      <c r="D30" s="1015"/>
      <c r="E30" s="1016"/>
      <c r="F30" s="1015">
        <f t="shared" si="0"/>
        <v>0</v>
      </c>
      <c r="G30" s="1017"/>
      <c r="H30" s="1018"/>
      <c r="I30" s="132">
        <f t="shared" si="9"/>
        <v>1215.77</v>
      </c>
      <c r="L30" s="348">
        <f t="shared" si="5"/>
        <v>94</v>
      </c>
      <c r="M30" s="337"/>
      <c r="N30" s="338"/>
      <c r="O30" s="350"/>
      <c r="P30" s="338">
        <f t="shared" si="1"/>
        <v>0</v>
      </c>
      <c r="Q30" s="676"/>
      <c r="R30" s="688"/>
      <c r="S30" s="132">
        <f t="shared" si="10"/>
        <v>2810.63</v>
      </c>
      <c r="V30" s="348">
        <f t="shared" si="7"/>
        <v>205</v>
      </c>
      <c r="W30" s="337"/>
      <c r="X30" s="338"/>
      <c r="Y30" s="350"/>
      <c r="Z30" s="338">
        <f t="shared" si="2"/>
        <v>0</v>
      </c>
      <c r="AA30" s="676"/>
      <c r="AB30" s="688"/>
      <c r="AC30" s="132">
        <f t="shared" si="11"/>
        <v>5922.77</v>
      </c>
    </row>
    <row r="31" spans="1:29" x14ac:dyDescent="0.25">
      <c r="B31" s="348">
        <f t="shared" si="3"/>
        <v>37</v>
      </c>
      <c r="C31" s="337"/>
      <c r="D31" s="1015"/>
      <c r="E31" s="1019"/>
      <c r="F31" s="1015">
        <f t="shared" si="0"/>
        <v>0</v>
      </c>
      <c r="G31" s="1017"/>
      <c r="H31" s="1018"/>
      <c r="I31" s="132">
        <f t="shared" si="9"/>
        <v>1215.77</v>
      </c>
      <c r="L31" s="348">
        <f t="shared" si="5"/>
        <v>94</v>
      </c>
      <c r="M31" s="337"/>
      <c r="N31" s="338"/>
      <c r="O31" s="689"/>
      <c r="P31" s="338">
        <f t="shared" si="1"/>
        <v>0</v>
      </c>
      <c r="Q31" s="676"/>
      <c r="R31" s="688"/>
      <c r="S31" s="132">
        <f t="shared" si="10"/>
        <v>2810.63</v>
      </c>
      <c r="V31" s="348">
        <f t="shared" si="7"/>
        <v>205</v>
      </c>
      <c r="W31" s="337"/>
      <c r="X31" s="338"/>
      <c r="Y31" s="689"/>
      <c r="Z31" s="338">
        <f t="shared" si="2"/>
        <v>0</v>
      </c>
      <c r="AA31" s="676"/>
      <c r="AB31" s="688"/>
      <c r="AC31" s="132">
        <f t="shared" si="11"/>
        <v>5922.77</v>
      </c>
    </row>
    <row r="32" spans="1:29" x14ac:dyDescent="0.25">
      <c r="B32" s="348">
        <f t="shared" si="3"/>
        <v>37</v>
      </c>
      <c r="C32" s="337"/>
      <c r="D32" s="1015"/>
      <c r="E32" s="1019"/>
      <c r="F32" s="1015">
        <f t="shared" si="0"/>
        <v>0</v>
      </c>
      <c r="G32" s="1017"/>
      <c r="H32" s="1018"/>
      <c r="I32" s="132">
        <f t="shared" si="9"/>
        <v>1215.77</v>
      </c>
      <c r="L32" s="348">
        <f t="shared" si="5"/>
        <v>94</v>
      </c>
      <c r="M32" s="337"/>
      <c r="N32" s="338"/>
      <c r="O32" s="689"/>
      <c r="P32" s="338">
        <f t="shared" si="1"/>
        <v>0</v>
      </c>
      <c r="Q32" s="676"/>
      <c r="R32" s="688"/>
      <c r="S32" s="132">
        <f t="shared" si="10"/>
        <v>2810.63</v>
      </c>
      <c r="V32" s="348">
        <f t="shared" si="7"/>
        <v>205</v>
      </c>
      <c r="W32" s="337"/>
      <c r="X32" s="338"/>
      <c r="Y32" s="689"/>
      <c r="Z32" s="338">
        <f t="shared" si="2"/>
        <v>0</v>
      </c>
      <c r="AA32" s="676"/>
      <c r="AB32" s="688"/>
      <c r="AC32" s="132">
        <f t="shared" si="11"/>
        <v>5922.77</v>
      </c>
    </row>
    <row r="33" spans="1:29" x14ac:dyDescent="0.25">
      <c r="B33" s="348">
        <f t="shared" si="3"/>
        <v>37</v>
      </c>
      <c r="C33" s="337"/>
      <c r="D33" s="1015"/>
      <c r="E33" s="1019"/>
      <c r="F33" s="1015">
        <f t="shared" si="0"/>
        <v>0</v>
      </c>
      <c r="G33" s="1017"/>
      <c r="H33" s="1018"/>
      <c r="I33" s="132">
        <f t="shared" si="9"/>
        <v>1215.77</v>
      </c>
      <c r="L33" s="348">
        <f t="shared" si="5"/>
        <v>94</v>
      </c>
      <c r="M33" s="337"/>
      <c r="N33" s="338"/>
      <c r="O33" s="689"/>
      <c r="P33" s="338">
        <f t="shared" si="1"/>
        <v>0</v>
      </c>
      <c r="Q33" s="676"/>
      <c r="R33" s="688"/>
      <c r="S33" s="132">
        <f t="shared" si="10"/>
        <v>2810.63</v>
      </c>
      <c r="V33" s="348">
        <f t="shared" si="7"/>
        <v>205</v>
      </c>
      <c r="W33" s="337"/>
      <c r="X33" s="338"/>
      <c r="Y33" s="689"/>
      <c r="Z33" s="338">
        <f t="shared" si="2"/>
        <v>0</v>
      </c>
      <c r="AA33" s="676"/>
      <c r="AB33" s="688"/>
      <c r="AC33" s="132">
        <f t="shared" si="11"/>
        <v>5922.77</v>
      </c>
    </row>
    <row r="34" spans="1:29" x14ac:dyDescent="0.25">
      <c r="B34" s="348">
        <f t="shared" si="3"/>
        <v>37</v>
      </c>
      <c r="C34" s="337"/>
      <c r="D34" s="1015"/>
      <c r="E34" s="1019"/>
      <c r="F34" s="1015">
        <f t="shared" si="0"/>
        <v>0</v>
      </c>
      <c r="G34" s="1017"/>
      <c r="H34" s="1018"/>
      <c r="I34" s="132">
        <f t="shared" si="9"/>
        <v>1215.77</v>
      </c>
      <c r="L34" s="348">
        <f t="shared" si="5"/>
        <v>94</v>
      </c>
      <c r="M34" s="337"/>
      <c r="N34" s="338"/>
      <c r="O34" s="689"/>
      <c r="P34" s="338">
        <f t="shared" si="1"/>
        <v>0</v>
      </c>
      <c r="Q34" s="676"/>
      <c r="R34" s="688"/>
      <c r="S34" s="132">
        <f t="shared" si="10"/>
        <v>2810.63</v>
      </c>
      <c r="V34" s="348">
        <f t="shared" si="7"/>
        <v>205</v>
      </c>
      <c r="W34" s="337"/>
      <c r="X34" s="338"/>
      <c r="Y34" s="689"/>
      <c r="Z34" s="338">
        <f t="shared" si="2"/>
        <v>0</v>
      </c>
      <c r="AA34" s="676"/>
      <c r="AB34" s="688"/>
      <c r="AC34" s="132">
        <f t="shared" si="11"/>
        <v>5922.77</v>
      </c>
    </row>
    <row r="35" spans="1:29" x14ac:dyDescent="0.25">
      <c r="B35" s="348">
        <f t="shared" si="3"/>
        <v>37</v>
      </c>
      <c r="C35" s="337"/>
      <c r="D35" s="1015"/>
      <c r="E35" s="1019"/>
      <c r="F35" s="1015">
        <f t="shared" si="0"/>
        <v>0</v>
      </c>
      <c r="G35" s="1017"/>
      <c r="H35" s="1018"/>
      <c r="I35" s="132">
        <f t="shared" si="9"/>
        <v>1215.77</v>
      </c>
      <c r="L35" s="348">
        <f t="shared" si="5"/>
        <v>94</v>
      </c>
      <c r="M35" s="337"/>
      <c r="N35" s="338"/>
      <c r="O35" s="689"/>
      <c r="P35" s="338">
        <f t="shared" si="1"/>
        <v>0</v>
      </c>
      <c r="Q35" s="676"/>
      <c r="R35" s="688"/>
      <c r="S35" s="132">
        <f t="shared" si="10"/>
        <v>2810.63</v>
      </c>
      <c r="V35" s="348">
        <f t="shared" si="7"/>
        <v>205</v>
      </c>
      <c r="W35" s="337"/>
      <c r="X35" s="338"/>
      <c r="Y35" s="689"/>
      <c r="Z35" s="338">
        <f t="shared" si="2"/>
        <v>0</v>
      </c>
      <c r="AA35" s="676"/>
      <c r="AB35" s="688"/>
      <c r="AC35" s="132">
        <f t="shared" si="11"/>
        <v>5922.77</v>
      </c>
    </row>
    <row r="36" spans="1:29" x14ac:dyDescent="0.25">
      <c r="B36" s="348">
        <f t="shared" si="3"/>
        <v>37</v>
      </c>
      <c r="C36" s="337"/>
      <c r="D36" s="1015"/>
      <c r="E36" s="1019"/>
      <c r="F36" s="1015">
        <f t="shared" si="0"/>
        <v>0</v>
      </c>
      <c r="G36" s="1017"/>
      <c r="H36" s="1018"/>
      <c r="I36" s="132">
        <f t="shared" si="9"/>
        <v>1215.77</v>
      </c>
      <c r="L36" s="348">
        <f t="shared" si="5"/>
        <v>94</v>
      </c>
      <c r="M36" s="337"/>
      <c r="N36" s="338"/>
      <c r="O36" s="689"/>
      <c r="P36" s="338">
        <f t="shared" si="1"/>
        <v>0</v>
      </c>
      <c r="Q36" s="676"/>
      <c r="R36" s="688"/>
      <c r="S36" s="132">
        <f t="shared" si="10"/>
        <v>2810.63</v>
      </c>
      <c r="V36" s="348">
        <f t="shared" si="7"/>
        <v>205</v>
      </c>
      <c r="W36" s="337"/>
      <c r="X36" s="338"/>
      <c r="Y36" s="689"/>
      <c r="Z36" s="338">
        <f t="shared" si="2"/>
        <v>0</v>
      </c>
      <c r="AA36" s="676"/>
      <c r="AB36" s="688"/>
      <c r="AC36" s="132">
        <f t="shared" si="11"/>
        <v>5922.77</v>
      </c>
    </row>
    <row r="37" spans="1:29" x14ac:dyDescent="0.25">
      <c r="B37" s="348">
        <f t="shared" si="3"/>
        <v>37</v>
      </c>
      <c r="C37" s="337"/>
      <c r="D37" s="1015"/>
      <c r="E37" s="1019"/>
      <c r="F37" s="1015">
        <f t="shared" si="0"/>
        <v>0</v>
      </c>
      <c r="G37" s="1017"/>
      <c r="H37" s="1018"/>
      <c r="I37" s="132">
        <f t="shared" si="9"/>
        <v>1215.77</v>
      </c>
      <c r="L37" s="348">
        <f t="shared" si="5"/>
        <v>94</v>
      </c>
      <c r="M37" s="337"/>
      <c r="N37" s="338"/>
      <c r="O37" s="689"/>
      <c r="P37" s="338">
        <f t="shared" si="1"/>
        <v>0</v>
      </c>
      <c r="Q37" s="676"/>
      <c r="R37" s="688"/>
      <c r="S37" s="132">
        <f t="shared" si="10"/>
        <v>2810.63</v>
      </c>
      <c r="V37" s="348">
        <f t="shared" si="7"/>
        <v>205</v>
      </c>
      <c r="W37" s="337"/>
      <c r="X37" s="338"/>
      <c r="Y37" s="689"/>
      <c r="Z37" s="338">
        <f t="shared" si="2"/>
        <v>0</v>
      </c>
      <c r="AA37" s="676"/>
      <c r="AB37" s="688"/>
      <c r="AC37" s="132">
        <f t="shared" si="11"/>
        <v>5922.77</v>
      </c>
    </row>
    <row r="38" spans="1:29" x14ac:dyDescent="0.25">
      <c r="B38" s="348">
        <f t="shared" si="3"/>
        <v>37</v>
      </c>
      <c r="C38" s="337"/>
      <c r="D38" s="1015"/>
      <c r="E38" s="1019"/>
      <c r="F38" s="1015">
        <f t="shared" si="0"/>
        <v>0</v>
      </c>
      <c r="G38" s="1017"/>
      <c r="H38" s="1018"/>
      <c r="I38" s="132">
        <f t="shared" si="9"/>
        <v>1215.77</v>
      </c>
      <c r="L38" s="348">
        <f t="shared" si="5"/>
        <v>94</v>
      </c>
      <c r="M38" s="337"/>
      <c r="N38" s="338"/>
      <c r="O38" s="689"/>
      <c r="P38" s="338">
        <f t="shared" si="1"/>
        <v>0</v>
      </c>
      <c r="Q38" s="676"/>
      <c r="R38" s="688"/>
      <c r="S38" s="132">
        <f t="shared" si="10"/>
        <v>2810.63</v>
      </c>
      <c r="V38" s="348">
        <f t="shared" si="7"/>
        <v>205</v>
      </c>
      <c r="W38" s="337"/>
      <c r="X38" s="338"/>
      <c r="Y38" s="689"/>
      <c r="Z38" s="338">
        <f t="shared" si="2"/>
        <v>0</v>
      </c>
      <c r="AA38" s="676"/>
      <c r="AB38" s="688"/>
      <c r="AC38" s="132">
        <f t="shared" si="11"/>
        <v>5922.77</v>
      </c>
    </row>
    <row r="39" spans="1:29" x14ac:dyDescent="0.25">
      <c r="B39" s="348">
        <f t="shared" si="3"/>
        <v>37</v>
      </c>
      <c r="C39" s="337"/>
      <c r="D39" s="1015"/>
      <c r="E39" s="1019"/>
      <c r="F39" s="1015">
        <f t="shared" si="0"/>
        <v>0</v>
      </c>
      <c r="G39" s="1017"/>
      <c r="H39" s="1018"/>
      <c r="I39" s="132">
        <f t="shared" si="9"/>
        <v>1215.77</v>
      </c>
      <c r="L39" s="348">
        <f t="shared" si="5"/>
        <v>94</v>
      </c>
      <c r="M39" s="337"/>
      <c r="N39" s="338"/>
      <c r="O39" s="689"/>
      <c r="P39" s="338">
        <f t="shared" si="1"/>
        <v>0</v>
      </c>
      <c r="Q39" s="676"/>
      <c r="R39" s="688"/>
      <c r="S39" s="132">
        <f t="shared" si="10"/>
        <v>2810.63</v>
      </c>
      <c r="V39" s="348">
        <f t="shared" si="7"/>
        <v>205</v>
      </c>
      <c r="W39" s="337"/>
      <c r="X39" s="338"/>
      <c r="Y39" s="689"/>
      <c r="Z39" s="338">
        <f t="shared" si="2"/>
        <v>0</v>
      </c>
      <c r="AA39" s="676"/>
      <c r="AB39" s="688"/>
      <c r="AC39" s="132">
        <f t="shared" si="11"/>
        <v>5922.77</v>
      </c>
    </row>
    <row r="40" spans="1:29" x14ac:dyDescent="0.25">
      <c r="A40" s="75"/>
      <c r="B40" s="348">
        <f t="shared" si="3"/>
        <v>37</v>
      </c>
      <c r="C40" s="337"/>
      <c r="D40" s="946"/>
      <c r="E40" s="950"/>
      <c r="F40" s="946">
        <f t="shared" si="0"/>
        <v>0</v>
      </c>
      <c r="G40" s="948"/>
      <c r="H40" s="949"/>
      <c r="I40" s="132">
        <f t="shared" si="9"/>
        <v>1215.77</v>
      </c>
      <c r="K40" s="75"/>
      <c r="L40" s="348">
        <f t="shared" si="5"/>
        <v>94</v>
      </c>
      <c r="M40" s="337"/>
      <c r="N40" s="338"/>
      <c r="O40" s="689"/>
      <c r="P40" s="338">
        <f t="shared" si="1"/>
        <v>0</v>
      </c>
      <c r="Q40" s="676"/>
      <c r="R40" s="688"/>
      <c r="S40" s="132">
        <f t="shared" si="10"/>
        <v>2810.63</v>
      </c>
      <c r="U40" s="75"/>
      <c r="V40" s="348">
        <f t="shared" si="7"/>
        <v>205</v>
      </c>
      <c r="W40" s="337"/>
      <c r="X40" s="338"/>
      <c r="Y40" s="689"/>
      <c r="Z40" s="338">
        <f t="shared" si="2"/>
        <v>0</v>
      </c>
      <c r="AA40" s="676"/>
      <c r="AB40" s="688"/>
      <c r="AC40" s="132">
        <f t="shared" si="11"/>
        <v>5922.77</v>
      </c>
    </row>
    <row r="41" spans="1:29" x14ac:dyDescent="0.25">
      <c r="B41" s="348">
        <f t="shared" si="3"/>
        <v>37</v>
      </c>
      <c r="C41" s="337"/>
      <c r="D41" s="946"/>
      <c r="E41" s="950"/>
      <c r="F41" s="946">
        <f t="shared" si="0"/>
        <v>0</v>
      </c>
      <c r="G41" s="948"/>
      <c r="H41" s="949"/>
      <c r="I41" s="132">
        <f t="shared" si="9"/>
        <v>1215.77</v>
      </c>
      <c r="L41" s="348">
        <f t="shared" si="5"/>
        <v>94</v>
      </c>
      <c r="M41" s="337"/>
      <c r="N41" s="338"/>
      <c r="O41" s="689"/>
      <c r="P41" s="338">
        <f t="shared" si="1"/>
        <v>0</v>
      </c>
      <c r="Q41" s="676"/>
      <c r="R41" s="688"/>
      <c r="S41" s="132">
        <f t="shared" si="10"/>
        <v>2810.63</v>
      </c>
      <c r="V41" s="348">
        <f t="shared" si="7"/>
        <v>205</v>
      </c>
      <c r="W41" s="337"/>
      <c r="X41" s="338"/>
      <c r="Y41" s="689"/>
      <c r="Z41" s="338">
        <f t="shared" si="2"/>
        <v>0</v>
      </c>
      <c r="AA41" s="676"/>
      <c r="AB41" s="688"/>
      <c r="AC41" s="132">
        <f t="shared" si="11"/>
        <v>5922.77</v>
      </c>
    </row>
    <row r="42" spans="1:29" x14ac:dyDescent="0.25">
      <c r="B42" s="348">
        <f t="shared" si="3"/>
        <v>37</v>
      </c>
      <c r="C42" s="337"/>
      <c r="D42" s="946"/>
      <c r="E42" s="950"/>
      <c r="F42" s="946">
        <f t="shared" si="0"/>
        <v>0</v>
      </c>
      <c r="G42" s="948"/>
      <c r="H42" s="949"/>
      <c r="I42" s="132">
        <f t="shared" si="9"/>
        <v>1215.77</v>
      </c>
      <c r="L42" s="348">
        <f t="shared" si="5"/>
        <v>94</v>
      </c>
      <c r="M42" s="337"/>
      <c r="N42" s="338"/>
      <c r="O42" s="689"/>
      <c r="P42" s="338">
        <f t="shared" si="1"/>
        <v>0</v>
      </c>
      <c r="Q42" s="676"/>
      <c r="R42" s="688"/>
      <c r="S42" s="132">
        <f t="shared" si="10"/>
        <v>2810.63</v>
      </c>
      <c r="V42" s="348">
        <f t="shared" si="7"/>
        <v>205</v>
      </c>
      <c r="W42" s="337"/>
      <c r="X42" s="338"/>
      <c r="Y42" s="689"/>
      <c r="Z42" s="338">
        <f t="shared" si="2"/>
        <v>0</v>
      </c>
      <c r="AA42" s="676"/>
      <c r="AB42" s="688"/>
      <c r="AC42" s="132">
        <f t="shared" si="11"/>
        <v>5922.77</v>
      </c>
    </row>
    <row r="43" spans="1:29" x14ac:dyDescent="0.25">
      <c r="B43" s="348">
        <f t="shared" si="3"/>
        <v>37</v>
      </c>
      <c r="C43" s="337"/>
      <c r="D43" s="946"/>
      <c r="E43" s="950"/>
      <c r="F43" s="946">
        <f t="shared" si="0"/>
        <v>0</v>
      </c>
      <c r="G43" s="948"/>
      <c r="H43" s="949"/>
      <c r="I43" s="132">
        <f t="shared" si="9"/>
        <v>1215.77</v>
      </c>
      <c r="L43" s="348">
        <f t="shared" si="5"/>
        <v>94</v>
      </c>
      <c r="M43" s="337"/>
      <c r="N43" s="338"/>
      <c r="O43" s="689"/>
      <c r="P43" s="338">
        <f t="shared" si="1"/>
        <v>0</v>
      </c>
      <c r="Q43" s="676"/>
      <c r="R43" s="688"/>
      <c r="S43" s="132">
        <f t="shared" si="10"/>
        <v>2810.63</v>
      </c>
      <c r="V43" s="348">
        <f t="shared" si="7"/>
        <v>205</v>
      </c>
      <c r="W43" s="337"/>
      <c r="X43" s="338"/>
      <c r="Y43" s="689"/>
      <c r="Z43" s="338">
        <f t="shared" si="2"/>
        <v>0</v>
      </c>
      <c r="AA43" s="676"/>
      <c r="AB43" s="688"/>
      <c r="AC43" s="132">
        <f t="shared" si="11"/>
        <v>5922.77</v>
      </c>
    </row>
    <row r="44" spans="1:29" x14ac:dyDescent="0.25">
      <c r="B44" s="348">
        <f t="shared" si="3"/>
        <v>37</v>
      </c>
      <c r="C44" s="337"/>
      <c r="D44" s="946"/>
      <c r="E44" s="950"/>
      <c r="F44" s="946">
        <f t="shared" si="0"/>
        <v>0</v>
      </c>
      <c r="G44" s="948"/>
      <c r="H44" s="949"/>
      <c r="I44" s="132">
        <f t="shared" si="9"/>
        <v>1215.77</v>
      </c>
      <c r="L44" s="348">
        <f t="shared" si="5"/>
        <v>94</v>
      </c>
      <c r="M44" s="337"/>
      <c r="N44" s="338"/>
      <c r="O44" s="689"/>
      <c r="P44" s="338">
        <f t="shared" si="1"/>
        <v>0</v>
      </c>
      <c r="Q44" s="676"/>
      <c r="R44" s="688"/>
      <c r="S44" s="132">
        <f t="shared" si="10"/>
        <v>2810.63</v>
      </c>
      <c r="V44" s="348">
        <f t="shared" si="7"/>
        <v>205</v>
      </c>
      <c r="W44" s="337"/>
      <c r="X44" s="338"/>
      <c r="Y44" s="689"/>
      <c r="Z44" s="338">
        <f t="shared" si="2"/>
        <v>0</v>
      </c>
      <c r="AA44" s="676"/>
      <c r="AB44" s="688"/>
      <c r="AC44" s="132">
        <f t="shared" si="11"/>
        <v>5922.77</v>
      </c>
    </row>
    <row r="45" spans="1:29" x14ac:dyDescent="0.25">
      <c r="B45" s="348">
        <f t="shared" si="3"/>
        <v>37</v>
      </c>
      <c r="C45" s="337"/>
      <c r="D45" s="946"/>
      <c r="E45" s="950"/>
      <c r="F45" s="946">
        <f t="shared" si="0"/>
        <v>0</v>
      </c>
      <c r="G45" s="948"/>
      <c r="H45" s="949"/>
      <c r="I45" s="132">
        <f t="shared" si="9"/>
        <v>1215.77</v>
      </c>
      <c r="L45" s="348">
        <f t="shared" si="5"/>
        <v>94</v>
      </c>
      <c r="M45" s="337"/>
      <c r="N45" s="338"/>
      <c r="O45" s="689"/>
      <c r="P45" s="338">
        <f t="shared" si="1"/>
        <v>0</v>
      </c>
      <c r="Q45" s="676"/>
      <c r="R45" s="688"/>
      <c r="S45" s="132">
        <f t="shared" si="10"/>
        <v>2810.63</v>
      </c>
      <c r="V45" s="348">
        <f t="shared" si="7"/>
        <v>205</v>
      </c>
      <c r="W45" s="337"/>
      <c r="X45" s="338"/>
      <c r="Y45" s="689"/>
      <c r="Z45" s="338">
        <f t="shared" si="2"/>
        <v>0</v>
      </c>
      <c r="AA45" s="676"/>
      <c r="AB45" s="688"/>
      <c r="AC45" s="132">
        <f t="shared" si="11"/>
        <v>5922.77</v>
      </c>
    </row>
    <row r="46" spans="1:29" x14ac:dyDescent="0.25">
      <c r="B46" s="348">
        <f t="shared" si="3"/>
        <v>37</v>
      </c>
      <c r="C46" s="337"/>
      <c r="D46" s="946"/>
      <c r="E46" s="950"/>
      <c r="F46" s="946">
        <f t="shared" si="0"/>
        <v>0</v>
      </c>
      <c r="G46" s="948"/>
      <c r="H46" s="949"/>
      <c r="I46" s="132">
        <f t="shared" si="9"/>
        <v>1215.77</v>
      </c>
      <c r="L46" s="348">
        <f t="shared" si="5"/>
        <v>94</v>
      </c>
      <c r="M46" s="337"/>
      <c r="N46" s="338"/>
      <c r="O46" s="689"/>
      <c r="P46" s="338">
        <f t="shared" si="1"/>
        <v>0</v>
      </c>
      <c r="Q46" s="676"/>
      <c r="R46" s="688"/>
      <c r="S46" s="132">
        <f t="shared" si="10"/>
        <v>2810.63</v>
      </c>
      <c r="V46" s="348">
        <f t="shared" si="7"/>
        <v>205</v>
      </c>
      <c r="W46" s="337"/>
      <c r="X46" s="338"/>
      <c r="Y46" s="689"/>
      <c r="Z46" s="338">
        <f t="shared" si="2"/>
        <v>0</v>
      </c>
      <c r="AA46" s="676"/>
      <c r="AB46" s="688"/>
      <c r="AC46" s="132">
        <f t="shared" si="11"/>
        <v>5922.77</v>
      </c>
    </row>
    <row r="47" spans="1:29" x14ac:dyDescent="0.25">
      <c r="B47" s="348">
        <f t="shared" si="3"/>
        <v>37</v>
      </c>
      <c r="C47" s="337"/>
      <c r="D47" s="946"/>
      <c r="E47" s="950"/>
      <c r="F47" s="946">
        <f t="shared" si="0"/>
        <v>0</v>
      </c>
      <c r="G47" s="948"/>
      <c r="H47" s="949"/>
      <c r="I47" s="132">
        <f t="shared" si="9"/>
        <v>1215.77</v>
      </c>
      <c r="L47" s="348">
        <f t="shared" si="5"/>
        <v>94</v>
      </c>
      <c r="M47" s="337"/>
      <c r="N47" s="338"/>
      <c r="O47" s="689"/>
      <c r="P47" s="338">
        <f t="shared" si="1"/>
        <v>0</v>
      </c>
      <c r="Q47" s="676"/>
      <c r="R47" s="688"/>
      <c r="S47" s="132">
        <f t="shared" si="10"/>
        <v>2810.63</v>
      </c>
      <c r="V47" s="348">
        <f t="shared" si="7"/>
        <v>205</v>
      </c>
      <c r="W47" s="337"/>
      <c r="X47" s="338"/>
      <c r="Y47" s="689"/>
      <c r="Z47" s="338">
        <f t="shared" si="2"/>
        <v>0</v>
      </c>
      <c r="AA47" s="676"/>
      <c r="AB47" s="688"/>
      <c r="AC47" s="132">
        <f t="shared" si="11"/>
        <v>5922.77</v>
      </c>
    </row>
    <row r="48" spans="1:29" x14ac:dyDescent="0.25">
      <c r="B48" s="348">
        <f t="shared" si="3"/>
        <v>37</v>
      </c>
      <c r="C48" s="337"/>
      <c r="D48" s="946"/>
      <c r="E48" s="950"/>
      <c r="F48" s="946">
        <f t="shared" si="0"/>
        <v>0</v>
      </c>
      <c r="G48" s="948"/>
      <c r="H48" s="949"/>
      <c r="I48" s="132">
        <f t="shared" si="9"/>
        <v>1215.77</v>
      </c>
      <c r="L48" s="348">
        <f t="shared" si="5"/>
        <v>94</v>
      </c>
      <c r="M48" s="337"/>
      <c r="N48" s="338"/>
      <c r="O48" s="689"/>
      <c r="P48" s="338">
        <f t="shared" si="1"/>
        <v>0</v>
      </c>
      <c r="Q48" s="676"/>
      <c r="R48" s="688"/>
      <c r="S48" s="132">
        <f t="shared" si="10"/>
        <v>2810.63</v>
      </c>
      <c r="V48" s="348">
        <f t="shared" si="7"/>
        <v>205</v>
      </c>
      <c r="W48" s="337"/>
      <c r="X48" s="338"/>
      <c r="Y48" s="689"/>
      <c r="Z48" s="338">
        <f t="shared" si="2"/>
        <v>0</v>
      </c>
      <c r="AA48" s="676"/>
      <c r="AB48" s="688"/>
      <c r="AC48" s="132">
        <f t="shared" si="11"/>
        <v>5922.77</v>
      </c>
    </row>
    <row r="49" spans="1:29" x14ac:dyDescent="0.25">
      <c r="B49" s="348">
        <f t="shared" si="3"/>
        <v>37</v>
      </c>
      <c r="C49" s="337"/>
      <c r="D49" s="946"/>
      <c r="E49" s="950"/>
      <c r="F49" s="946">
        <f t="shared" si="0"/>
        <v>0</v>
      </c>
      <c r="G49" s="948"/>
      <c r="H49" s="949"/>
      <c r="I49" s="132">
        <f t="shared" si="9"/>
        <v>1215.77</v>
      </c>
      <c r="L49" s="348">
        <f t="shared" si="5"/>
        <v>94</v>
      </c>
      <c r="M49" s="337"/>
      <c r="N49" s="338"/>
      <c r="O49" s="689"/>
      <c r="P49" s="338">
        <f t="shared" si="1"/>
        <v>0</v>
      </c>
      <c r="Q49" s="676"/>
      <c r="R49" s="688"/>
      <c r="S49" s="132">
        <f t="shared" si="10"/>
        <v>2810.63</v>
      </c>
      <c r="V49" s="348">
        <f t="shared" si="7"/>
        <v>205</v>
      </c>
      <c r="W49" s="337"/>
      <c r="X49" s="338"/>
      <c r="Y49" s="689"/>
      <c r="Z49" s="338">
        <f t="shared" si="2"/>
        <v>0</v>
      </c>
      <c r="AA49" s="676"/>
      <c r="AB49" s="688"/>
      <c r="AC49" s="132">
        <f t="shared" si="11"/>
        <v>5922.77</v>
      </c>
    </row>
    <row r="50" spans="1:29" x14ac:dyDescent="0.25">
      <c r="B50" s="348">
        <f t="shared" si="3"/>
        <v>37</v>
      </c>
      <c r="C50" s="337"/>
      <c r="D50" s="946"/>
      <c r="E50" s="950"/>
      <c r="F50" s="946">
        <f t="shared" si="0"/>
        <v>0</v>
      </c>
      <c r="G50" s="948"/>
      <c r="H50" s="949"/>
      <c r="I50" s="132">
        <f t="shared" si="9"/>
        <v>1215.77</v>
      </c>
      <c r="L50" s="348">
        <f t="shared" si="5"/>
        <v>94</v>
      </c>
      <c r="M50" s="337"/>
      <c r="N50" s="338"/>
      <c r="O50" s="689"/>
      <c r="P50" s="338">
        <f t="shared" si="1"/>
        <v>0</v>
      </c>
      <c r="Q50" s="676"/>
      <c r="R50" s="688"/>
      <c r="S50" s="132">
        <f t="shared" si="10"/>
        <v>2810.63</v>
      </c>
      <c r="V50" s="348">
        <f t="shared" si="7"/>
        <v>205</v>
      </c>
      <c r="W50" s="337"/>
      <c r="X50" s="338"/>
      <c r="Y50" s="689"/>
      <c r="Z50" s="338">
        <f t="shared" si="2"/>
        <v>0</v>
      </c>
      <c r="AA50" s="676"/>
      <c r="AB50" s="688"/>
      <c r="AC50" s="132">
        <f t="shared" si="11"/>
        <v>5922.77</v>
      </c>
    </row>
    <row r="51" spans="1:29" x14ac:dyDescent="0.25">
      <c r="B51" s="348">
        <f t="shared" si="3"/>
        <v>37</v>
      </c>
      <c r="C51" s="337"/>
      <c r="D51" s="946"/>
      <c r="E51" s="950"/>
      <c r="F51" s="946">
        <f t="shared" si="0"/>
        <v>0</v>
      </c>
      <c r="G51" s="948"/>
      <c r="H51" s="949"/>
      <c r="I51" s="132">
        <f t="shared" si="9"/>
        <v>1215.77</v>
      </c>
      <c r="L51" s="348">
        <f t="shared" si="5"/>
        <v>94</v>
      </c>
      <c r="M51" s="337"/>
      <c r="N51" s="338"/>
      <c r="O51" s="689"/>
      <c r="P51" s="338">
        <f t="shared" si="1"/>
        <v>0</v>
      </c>
      <c r="Q51" s="676"/>
      <c r="R51" s="688"/>
      <c r="S51" s="132">
        <f t="shared" si="10"/>
        <v>2810.63</v>
      </c>
      <c r="V51" s="348">
        <f t="shared" si="7"/>
        <v>205</v>
      </c>
      <c r="W51" s="337"/>
      <c r="X51" s="338"/>
      <c r="Y51" s="689"/>
      <c r="Z51" s="338">
        <f t="shared" si="2"/>
        <v>0</v>
      </c>
      <c r="AA51" s="676"/>
      <c r="AB51" s="688"/>
      <c r="AC51" s="132">
        <f t="shared" si="11"/>
        <v>5922.77</v>
      </c>
    </row>
    <row r="52" spans="1:29" x14ac:dyDescent="0.25">
      <c r="B52" s="348">
        <f t="shared" si="3"/>
        <v>37</v>
      </c>
      <c r="C52" s="337"/>
      <c r="D52" s="946"/>
      <c r="E52" s="950"/>
      <c r="F52" s="946">
        <f t="shared" si="0"/>
        <v>0</v>
      </c>
      <c r="G52" s="948"/>
      <c r="H52" s="949"/>
      <c r="I52" s="132">
        <f t="shared" si="9"/>
        <v>1215.77</v>
      </c>
      <c r="L52" s="348">
        <f t="shared" si="5"/>
        <v>94</v>
      </c>
      <c r="M52" s="337"/>
      <c r="N52" s="338"/>
      <c r="O52" s="689"/>
      <c r="P52" s="338">
        <f t="shared" si="1"/>
        <v>0</v>
      </c>
      <c r="Q52" s="676"/>
      <c r="R52" s="688"/>
      <c r="S52" s="132">
        <f t="shared" si="10"/>
        <v>2810.63</v>
      </c>
      <c r="V52" s="348">
        <f t="shared" si="7"/>
        <v>205</v>
      </c>
      <c r="W52" s="337"/>
      <c r="X52" s="338"/>
      <c r="Y52" s="689"/>
      <c r="Z52" s="338">
        <f t="shared" si="2"/>
        <v>0</v>
      </c>
      <c r="AA52" s="676"/>
      <c r="AB52" s="688"/>
      <c r="AC52" s="132">
        <f t="shared" si="11"/>
        <v>5922.77</v>
      </c>
    </row>
    <row r="53" spans="1:29" x14ac:dyDescent="0.25">
      <c r="B53" s="348">
        <f t="shared" si="3"/>
        <v>37</v>
      </c>
      <c r="C53" s="337"/>
      <c r="D53" s="946"/>
      <c r="E53" s="950"/>
      <c r="F53" s="946">
        <f t="shared" si="0"/>
        <v>0</v>
      </c>
      <c r="G53" s="948"/>
      <c r="H53" s="949"/>
      <c r="I53" s="132">
        <f t="shared" si="9"/>
        <v>1215.77</v>
      </c>
      <c r="L53" s="348">
        <f t="shared" si="5"/>
        <v>94</v>
      </c>
      <c r="M53" s="337"/>
      <c r="N53" s="338"/>
      <c r="O53" s="689"/>
      <c r="P53" s="338">
        <f t="shared" si="1"/>
        <v>0</v>
      </c>
      <c r="Q53" s="676"/>
      <c r="R53" s="688"/>
      <c r="S53" s="132">
        <f t="shared" si="10"/>
        <v>2810.63</v>
      </c>
      <c r="V53" s="348">
        <f t="shared" si="7"/>
        <v>205</v>
      </c>
      <c r="W53" s="337"/>
      <c r="X53" s="338"/>
      <c r="Y53" s="689"/>
      <c r="Z53" s="338">
        <f t="shared" si="2"/>
        <v>0</v>
      </c>
      <c r="AA53" s="676"/>
      <c r="AB53" s="688"/>
      <c r="AC53" s="132">
        <f t="shared" si="11"/>
        <v>5922.77</v>
      </c>
    </row>
    <row r="54" spans="1:29" x14ac:dyDescent="0.25">
      <c r="B54" s="348">
        <f t="shared" si="3"/>
        <v>37</v>
      </c>
      <c r="C54" s="337"/>
      <c r="D54" s="338"/>
      <c r="E54" s="689"/>
      <c r="F54" s="338">
        <f t="shared" si="0"/>
        <v>0</v>
      </c>
      <c r="G54" s="676"/>
      <c r="H54" s="688"/>
      <c r="I54" s="132">
        <f t="shared" si="9"/>
        <v>1215.77</v>
      </c>
      <c r="L54" s="348">
        <f t="shared" si="5"/>
        <v>94</v>
      </c>
      <c r="M54" s="337"/>
      <c r="N54" s="338"/>
      <c r="O54" s="689"/>
      <c r="P54" s="338">
        <f t="shared" si="1"/>
        <v>0</v>
      </c>
      <c r="Q54" s="676"/>
      <c r="R54" s="688"/>
      <c r="S54" s="132">
        <f t="shared" si="10"/>
        <v>2810.63</v>
      </c>
      <c r="V54" s="348">
        <f t="shared" si="7"/>
        <v>205</v>
      </c>
      <c r="W54" s="337"/>
      <c r="X54" s="338"/>
      <c r="Y54" s="689"/>
      <c r="Z54" s="338">
        <f t="shared" si="2"/>
        <v>0</v>
      </c>
      <c r="AA54" s="676"/>
      <c r="AB54" s="688"/>
      <c r="AC54" s="132">
        <f t="shared" si="11"/>
        <v>5922.77</v>
      </c>
    </row>
    <row r="55" spans="1:29" x14ac:dyDescent="0.25">
      <c r="B55" s="348">
        <f t="shared" si="3"/>
        <v>37</v>
      </c>
      <c r="C55" s="337"/>
      <c r="D55" s="338"/>
      <c r="E55" s="689"/>
      <c r="F55" s="338">
        <f t="shared" si="0"/>
        <v>0</v>
      </c>
      <c r="G55" s="676"/>
      <c r="H55" s="688"/>
      <c r="I55" s="132">
        <f t="shared" si="9"/>
        <v>1215.77</v>
      </c>
      <c r="L55" s="348">
        <f t="shared" si="5"/>
        <v>94</v>
      </c>
      <c r="M55" s="337"/>
      <c r="N55" s="338"/>
      <c r="O55" s="689"/>
      <c r="P55" s="338">
        <f t="shared" si="1"/>
        <v>0</v>
      </c>
      <c r="Q55" s="676"/>
      <c r="R55" s="688"/>
      <c r="S55" s="132">
        <f t="shared" si="10"/>
        <v>2810.63</v>
      </c>
      <c r="V55" s="348">
        <f t="shared" si="7"/>
        <v>205</v>
      </c>
      <c r="W55" s="337"/>
      <c r="X55" s="338"/>
      <c r="Y55" s="689"/>
      <c r="Z55" s="338">
        <f t="shared" si="2"/>
        <v>0</v>
      </c>
      <c r="AA55" s="676"/>
      <c r="AB55" s="688"/>
      <c r="AC55" s="132">
        <f t="shared" si="11"/>
        <v>5922.77</v>
      </c>
    </row>
    <row r="56" spans="1:29" x14ac:dyDescent="0.25">
      <c r="B56" s="348">
        <f t="shared" si="3"/>
        <v>37</v>
      </c>
      <c r="C56" s="337"/>
      <c r="D56" s="338"/>
      <c r="E56" s="689"/>
      <c r="F56" s="338">
        <f t="shared" si="0"/>
        <v>0</v>
      </c>
      <c r="G56" s="676"/>
      <c r="H56" s="688"/>
      <c r="I56" s="132">
        <f t="shared" si="9"/>
        <v>1215.77</v>
      </c>
      <c r="L56" s="348">
        <f t="shared" si="5"/>
        <v>94</v>
      </c>
      <c r="M56" s="337"/>
      <c r="N56" s="338"/>
      <c r="O56" s="689"/>
      <c r="P56" s="338">
        <f t="shared" si="1"/>
        <v>0</v>
      </c>
      <c r="Q56" s="676"/>
      <c r="R56" s="688"/>
      <c r="S56" s="132">
        <f t="shared" si="10"/>
        <v>2810.63</v>
      </c>
      <c r="V56" s="348">
        <f t="shared" si="7"/>
        <v>205</v>
      </c>
      <c r="W56" s="337"/>
      <c r="X56" s="338"/>
      <c r="Y56" s="689"/>
      <c r="Z56" s="338">
        <f t="shared" si="2"/>
        <v>0</v>
      </c>
      <c r="AA56" s="676"/>
      <c r="AB56" s="688"/>
      <c r="AC56" s="132">
        <f t="shared" si="11"/>
        <v>5922.77</v>
      </c>
    </row>
    <row r="57" spans="1:29" x14ac:dyDescent="0.25">
      <c r="B57" s="348">
        <f t="shared" si="3"/>
        <v>37</v>
      </c>
      <c r="C57" s="337"/>
      <c r="D57" s="338"/>
      <c r="E57" s="689"/>
      <c r="F57" s="338">
        <f t="shared" si="0"/>
        <v>0</v>
      </c>
      <c r="G57" s="676"/>
      <c r="H57" s="688"/>
      <c r="I57" s="132">
        <f t="shared" si="9"/>
        <v>1215.77</v>
      </c>
      <c r="L57" s="348">
        <f t="shared" si="5"/>
        <v>94</v>
      </c>
      <c r="M57" s="337"/>
      <c r="N57" s="338"/>
      <c r="O57" s="689"/>
      <c r="P57" s="338">
        <f t="shared" si="1"/>
        <v>0</v>
      </c>
      <c r="Q57" s="676"/>
      <c r="R57" s="688"/>
      <c r="S57" s="132">
        <f t="shared" si="10"/>
        <v>2810.63</v>
      </c>
      <c r="V57" s="348">
        <f t="shared" si="7"/>
        <v>205</v>
      </c>
      <c r="W57" s="337"/>
      <c r="X57" s="338"/>
      <c r="Y57" s="689"/>
      <c r="Z57" s="338">
        <f t="shared" si="2"/>
        <v>0</v>
      </c>
      <c r="AA57" s="676"/>
      <c r="AB57" s="688"/>
      <c r="AC57" s="132">
        <f t="shared" si="11"/>
        <v>5922.77</v>
      </c>
    </row>
    <row r="58" spans="1:29" x14ac:dyDescent="0.25">
      <c r="B58" s="348">
        <f t="shared" si="3"/>
        <v>37</v>
      </c>
      <c r="C58" s="337"/>
      <c r="D58" s="338"/>
      <c r="E58" s="489"/>
      <c r="F58" s="338"/>
      <c r="G58" s="676"/>
      <c r="H58" s="688"/>
      <c r="I58" s="132">
        <f t="shared" si="9"/>
        <v>1215.77</v>
      </c>
      <c r="L58" s="348">
        <f t="shared" si="5"/>
        <v>94</v>
      </c>
      <c r="M58" s="337"/>
      <c r="N58" s="338"/>
      <c r="O58" s="489"/>
      <c r="P58" s="338"/>
      <c r="Q58" s="676"/>
      <c r="R58" s="688"/>
      <c r="S58" s="132">
        <f t="shared" si="10"/>
        <v>2810.63</v>
      </c>
      <c r="V58" s="348">
        <f t="shared" si="7"/>
        <v>205</v>
      </c>
      <c r="W58" s="337"/>
      <c r="X58" s="338"/>
      <c r="Y58" s="489"/>
      <c r="Z58" s="338"/>
      <c r="AA58" s="676"/>
      <c r="AB58" s="688"/>
      <c r="AC58" s="132">
        <f t="shared" si="11"/>
        <v>5922.77</v>
      </c>
    </row>
    <row r="59" spans="1:29" x14ac:dyDescent="0.25">
      <c r="B59" s="348"/>
      <c r="C59" s="337"/>
      <c r="D59" s="338"/>
      <c r="E59" s="489"/>
      <c r="F59" s="338"/>
      <c r="G59" s="690"/>
      <c r="H59" s="489"/>
      <c r="I59" s="132"/>
      <c r="L59" s="348"/>
      <c r="M59" s="337"/>
      <c r="N59" s="338"/>
      <c r="O59" s="489"/>
      <c r="P59" s="338"/>
      <c r="Q59" s="690"/>
      <c r="R59" s="489"/>
      <c r="S59" s="132"/>
      <c r="V59" s="348"/>
      <c r="W59" s="337"/>
      <c r="X59" s="338"/>
      <c r="Y59" s="489"/>
      <c r="Z59" s="338"/>
      <c r="AA59" s="690"/>
      <c r="AB59" s="489"/>
      <c r="AC59" s="132"/>
    </row>
    <row r="60" spans="1:29" x14ac:dyDescent="0.25">
      <c r="B60" s="348"/>
      <c r="C60" s="337"/>
      <c r="D60" s="338"/>
      <c r="E60" s="489"/>
      <c r="F60" s="338"/>
      <c r="G60" s="690"/>
      <c r="H60" s="489"/>
      <c r="I60" s="132"/>
      <c r="L60" s="348"/>
      <c r="M60" s="337"/>
      <c r="N60" s="338"/>
      <c r="O60" s="489"/>
      <c r="P60" s="338"/>
      <c r="Q60" s="690"/>
      <c r="R60" s="489"/>
      <c r="S60" s="132"/>
      <c r="V60" s="348"/>
      <c r="W60" s="337"/>
      <c r="X60" s="338"/>
      <c r="Y60" s="489"/>
      <c r="Z60" s="338"/>
      <c r="AA60" s="690"/>
      <c r="AB60" s="489"/>
      <c r="AC60" s="132"/>
    </row>
    <row r="61" spans="1:29" ht="15.75" thickBot="1" x14ac:dyDescent="0.3">
      <c r="B61" s="74"/>
      <c r="C61" s="339"/>
      <c r="D61" s="547"/>
      <c r="E61" s="346"/>
      <c r="F61" s="345"/>
      <c r="G61" s="347"/>
      <c r="H61" s="488"/>
      <c r="I61" s="280"/>
      <c r="L61" s="74"/>
      <c r="M61" s="339"/>
      <c r="N61" s="547"/>
      <c r="O61" s="346"/>
      <c r="P61" s="345"/>
      <c r="Q61" s="347"/>
      <c r="R61" s="488"/>
      <c r="S61" s="280"/>
      <c r="V61" s="74"/>
      <c r="W61" s="339"/>
      <c r="X61" s="547"/>
      <c r="Y61" s="346"/>
      <c r="Z61" s="345"/>
      <c r="AA61" s="347"/>
      <c r="AB61" s="488"/>
      <c r="AC61" s="280"/>
    </row>
    <row r="62" spans="1:2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4"/>
      <c r="D63" s="703"/>
      <c r="E63" s="703"/>
      <c r="F63" s="705"/>
      <c r="G63" s="75"/>
      <c r="H63" s="75"/>
      <c r="K63" s="75"/>
      <c r="L63" s="75"/>
      <c r="M63" s="704"/>
      <c r="N63" s="703"/>
      <c r="O63" s="703"/>
      <c r="P63" s="705"/>
      <c r="Q63" s="75"/>
      <c r="R63" s="75"/>
      <c r="U63" s="75"/>
      <c r="V63" s="75"/>
      <c r="W63" s="704"/>
      <c r="X63" s="703"/>
      <c r="Y63" s="703"/>
      <c r="Z63" s="705"/>
      <c r="AA63" s="75"/>
      <c r="AB63" s="75"/>
    </row>
    <row r="64" spans="1:29" ht="15.75" thickBot="1" x14ac:dyDescent="0.3">
      <c r="A64" s="75"/>
      <c r="B64" s="75"/>
      <c r="C64" s="704"/>
      <c r="D64" s="703"/>
      <c r="E64" s="703"/>
      <c r="F64" s="703"/>
      <c r="G64" s="75"/>
      <c r="H64" s="75"/>
      <c r="K64" s="75"/>
      <c r="L64" s="75"/>
      <c r="M64" s="704"/>
      <c r="N64" s="703"/>
      <c r="O64" s="703"/>
      <c r="P64" s="703"/>
      <c r="Q64" s="75"/>
      <c r="R64" s="75"/>
      <c r="U64" s="75"/>
      <c r="V64" s="75"/>
      <c r="W64" s="704"/>
      <c r="X64" s="703"/>
      <c r="Y64" s="703"/>
      <c r="Z64" s="703"/>
      <c r="AA64" s="75"/>
      <c r="AB64" s="75"/>
    </row>
    <row r="65" spans="1:28" ht="29.25" customHeight="1" x14ac:dyDescent="0.25">
      <c r="A65" s="75"/>
      <c r="B65" s="75"/>
      <c r="C65" s="75"/>
      <c r="D65" s="706" t="s">
        <v>21</v>
      </c>
      <c r="E65" s="707"/>
      <c r="F65" s="708">
        <f>E4+E5+E6+E7+E8-F62</f>
        <v>1215.7700000000002</v>
      </c>
      <c r="G65" s="75"/>
      <c r="H65" s="75"/>
      <c r="K65" s="75"/>
      <c r="L65" s="75"/>
      <c r="M65" s="75"/>
      <c r="N65" s="706" t="s">
        <v>21</v>
      </c>
      <c r="O65" s="707"/>
      <c r="P65" s="708">
        <f>O4+O5+O6+O7+O8-P62</f>
        <v>2810.63</v>
      </c>
      <c r="Q65" s="75"/>
      <c r="R65" s="75"/>
      <c r="U65" s="75"/>
      <c r="V65" s="75"/>
      <c r="W65" s="75"/>
      <c r="X65" s="706" t="s">
        <v>21</v>
      </c>
      <c r="Y65" s="707"/>
      <c r="Z65" s="708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9" t="s">
        <v>4</v>
      </c>
      <c r="E66" s="710"/>
      <c r="F66" s="711">
        <f>F4+F5+F6+F7+F8-C62</f>
        <v>37</v>
      </c>
      <c r="G66" s="75"/>
      <c r="H66" s="75"/>
      <c r="K66" s="75"/>
      <c r="L66" s="75"/>
      <c r="M66" s="75"/>
      <c r="N66" s="709" t="s">
        <v>4</v>
      </c>
      <c r="O66" s="710"/>
      <c r="P66" s="711">
        <f>P4+P5+P6+P7+P8-M62</f>
        <v>94</v>
      </c>
      <c r="Q66" s="75"/>
      <c r="R66" s="75"/>
      <c r="U66" s="75"/>
      <c r="V66" s="75"/>
      <c r="W66" s="75"/>
      <c r="X66" s="709" t="s">
        <v>4</v>
      </c>
      <c r="Y66" s="710"/>
      <c r="Z66" s="711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S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268" t="s">
        <v>334</v>
      </c>
      <c r="B1" s="1268"/>
      <c r="C1" s="1268"/>
      <c r="D1" s="1268"/>
      <c r="E1" s="1268"/>
      <c r="F1" s="1268"/>
      <c r="G1" s="1268"/>
      <c r="H1" s="11">
        <v>1</v>
      </c>
      <c r="K1" s="1268" t="str">
        <f>A1</f>
        <v>INVENTARIO DEL MES DE NOVIEMBRE 2022</v>
      </c>
      <c r="L1" s="1268"/>
      <c r="M1" s="1268"/>
      <c r="N1" s="1268"/>
      <c r="O1" s="1268"/>
      <c r="P1" s="1268"/>
      <c r="Q1" s="1268"/>
      <c r="R1" s="11">
        <v>2</v>
      </c>
      <c r="U1" s="1272" t="s">
        <v>340</v>
      </c>
      <c r="V1" s="1272"/>
      <c r="W1" s="1272"/>
      <c r="X1" s="1272"/>
      <c r="Y1" s="1272"/>
      <c r="Z1" s="1272"/>
      <c r="AA1" s="127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351" t="s">
        <v>120</v>
      </c>
      <c r="C4" s="102"/>
      <c r="D4" s="135"/>
      <c r="E4" s="953">
        <v>811.01</v>
      </c>
      <c r="F4" s="62">
        <v>28</v>
      </c>
      <c r="G4" s="811"/>
      <c r="L4" s="1351" t="s">
        <v>120</v>
      </c>
      <c r="M4" s="102"/>
      <c r="N4" s="135"/>
      <c r="O4" s="86"/>
      <c r="P4" s="73"/>
      <c r="Q4" s="935"/>
      <c r="V4" s="1351" t="s">
        <v>120</v>
      </c>
      <c r="W4" s="102"/>
      <c r="X4" s="135"/>
      <c r="Y4" s="86"/>
      <c r="Z4" s="73"/>
      <c r="AA4" s="1069"/>
    </row>
    <row r="5" spans="1:29" x14ac:dyDescent="0.25">
      <c r="A5" s="75" t="s">
        <v>52</v>
      </c>
      <c r="B5" s="1352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352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352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7" t="s">
        <v>7</v>
      </c>
      <c r="C7" s="638" t="s">
        <v>8</v>
      </c>
      <c r="D7" s="639" t="s">
        <v>17</v>
      </c>
      <c r="E7" s="640" t="s">
        <v>2</v>
      </c>
      <c r="F7" s="641" t="s">
        <v>18</v>
      </c>
      <c r="G7" s="642" t="s">
        <v>15</v>
      </c>
      <c r="H7" s="24"/>
      <c r="L7" s="637" t="s">
        <v>7</v>
      </c>
      <c r="M7" s="638" t="s">
        <v>8</v>
      </c>
      <c r="N7" s="639" t="s">
        <v>17</v>
      </c>
      <c r="O7" s="640" t="s">
        <v>2</v>
      </c>
      <c r="P7" s="641" t="s">
        <v>18</v>
      </c>
      <c r="Q7" s="642" t="s">
        <v>15</v>
      </c>
      <c r="R7" s="24"/>
      <c r="V7" s="637" t="s">
        <v>7</v>
      </c>
      <c r="W7" s="638" t="s">
        <v>8</v>
      </c>
      <c r="X7" s="639" t="s">
        <v>17</v>
      </c>
      <c r="Y7" s="640" t="s">
        <v>2</v>
      </c>
      <c r="Z7" s="641" t="s">
        <v>18</v>
      </c>
      <c r="AA7" s="642" t="s">
        <v>15</v>
      </c>
      <c r="AB7" s="24"/>
    </row>
    <row r="8" spans="1:29" ht="15.75" thickTop="1" x14ac:dyDescent="0.25">
      <c r="A8" s="55"/>
      <c r="B8" s="850">
        <f>F4+F5+F6-C8</f>
        <v>62</v>
      </c>
      <c r="C8" s="619">
        <v>36</v>
      </c>
      <c r="D8" s="625">
        <v>988.57</v>
      </c>
      <c r="E8" s="684">
        <v>44874</v>
      </c>
      <c r="F8" s="517">
        <f>D8</f>
        <v>988.57</v>
      </c>
      <c r="G8" s="518" t="s">
        <v>254</v>
      </c>
      <c r="H8" s="223">
        <v>92</v>
      </c>
      <c r="I8" s="829">
        <f>E4+E5+E6-F8</f>
        <v>1847.7999999999997</v>
      </c>
      <c r="K8" s="55"/>
      <c r="L8" s="850">
        <f>P4+P5+P6-M8</f>
        <v>80</v>
      </c>
      <c r="M8" s="619"/>
      <c r="N8" s="625"/>
      <c r="O8" s="684"/>
      <c r="P8" s="517">
        <f>N8</f>
        <v>0</v>
      </c>
      <c r="Q8" s="518"/>
      <c r="R8" s="223"/>
      <c r="S8" s="829">
        <f>O4+O5+O6-P8</f>
        <v>2081.2600000000002</v>
      </c>
      <c r="U8" s="55"/>
      <c r="V8" s="850">
        <f>Z4+Z5+Z6-W8</f>
        <v>120</v>
      </c>
      <c r="W8" s="619"/>
      <c r="X8" s="625"/>
      <c r="Y8" s="684"/>
      <c r="Z8" s="517">
        <f>X8</f>
        <v>0</v>
      </c>
      <c r="AA8" s="518"/>
      <c r="AB8" s="223"/>
      <c r="AC8" s="829">
        <f>Y4+Y5+Y6-Z8</f>
        <v>2835.98</v>
      </c>
    </row>
    <row r="9" spans="1:29" x14ac:dyDescent="0.25">
      <c r="A9" s="75"/>
      <c r="B9" s="417">
        <f>B8-C9</f>
        <v>59</v>
      </c>
      <c r="C9" s="620">
        <v>3</v>
      </c>
      <c r="D9" s="539">
        <v>92.86</v>
      </c>
      <c r="E9" s="684">
        <v>44876</v>
      </c>
      <c r="F9" s="517">
        <f>D9</f>
        <v>92.86</v>
      </c>
      <c r="G9" s="544" t="s">
        <v>263</v>
      </c>
      <c r="H9" s="685">
        <v>92</v>
      </c>
      <c r="I9" s="132">
        <f>I8-F9</f>
        <v>1754.9399999999998</v>
      </c>
      <c r="K9" s="75"/>
      <c r="L9" s="417">
        <f>L8-M9</f>
        <v>80</v>
      </c>
      <c r="M9" s="620"/>
      <c r="N9" s="539"/>
      <c r="O9" s="684"/>
      <c r="P9" s="517">
        <f>N9</f>
        <v>0</v>
      </c>
      <c r="Q9" s="544"/>
      <c r="R9" s="685"/>
      <c r="S9" s="132">
        <f>S8-P9</f>
        <v>2081.2600000000002</v>
      </c>
      <c r="U9" s="75"/>
      <c r="V9" s="417">
        <f>V8-W9</f>
        <v>120</v>
      </c>
      <c r="W9" s="620"/>
      <c r="X9" s="539"/>
      <c r="Y9" s="684"/>
      <c r="Z9" s="517">
        <f>X9</f>
        <v>0</v>
      </c>
      <c r="AA9" s="544"/>
      <c r="AB9" s="685"/>
      <c r="AC9" s="132">
        <f>AC8-Z9</f>
        <v>2835.98</v>
      </c>
    </row>
    <row r="10" spans="1:29" x14ac:dyDescent="0.25">
      <c r="A10" s="75"/>
      <c r="B10" s="850">
        <f t="shared" ref="B10:B28" si="0">B9-C10</f>
        <v>54</v>
      </c>
      <c r="C10" s="620">
        <v>5</v>
      </c>
      <c r="D10" s="539">
        <v>144.91</v>
      </c>
      <c r="E10" s="684">
        <v>44889</v>
      </c>
      <c r="F10" s="517">
        <f t="shared" ref="F10:F28" si="1">D10</f>
        <v>144.91</v>
      </c>
      <c r="G10" s="544" t="s">
        <v>304</v>
      </c>
      <c r="H10" s="528">
        <v>92</v>
      </c>
      <c r="I10" s="829">
        <f t="shared" ref="I10:I28" si="2">I9-F10</f>
        <v>1610.0299999999997</v>
      </c>
      <c r="K10" s="75"/>
      <c r="L10" s="417">
        <f t="shared" ref="L10:L28" si="3">L9-M10</f>
        <v>80</v>
      </c>
      <c r="M10" s="620"/>
      <c r="N10" s="539"/>
      <c r="O10" s="684"/>
      <c r="P10" s="517">
        <f t="shared" ref="P10:P28" si="4">N10</f>
        <v>0</v>
      </c>
      <c r="Q10" s="544"/>
      <c r="R10" s="528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0"/>
      <c r="X10" s="539"/>
      <c r="Y10" s="684"/>
      <c r="Z10" s="517">
        <f t="shared" ref="Z10:Z28" si="7">X10</f>
        <v>0</v>
      </c>
      <c r="AA10" s="544"/>
      <c r="AB10" s="528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54</v>
      </c>
      <c r="C11" s="620"/>
      <c r="D11" s="1020"/>
      <c r="E11" s="1021"/>
      <c r="F11" s="1022">
        <f t="shared" si="1"/>
        <v>0</v>
      </c>
      <c r="G11" s="1023"/>
      <c r="H11" s="1024"/>
      <c r="I11" s="132">
        <f t="shared" si="2"/>
        <v>1610.0299999999997</v>
      </c>
      <c r="K11" s="55"/>
      <c r="L11" s="417">
        <f t="shared" si="3"/>
        <v>80</v>
      </c>
      <c r="M11" s="620"/>
      <c r="N11" s="539"/>
      <c r="O11" s="684"/>
      <c r="P11" s="517">
        <f t="shared" si="4"/>
        <v>0</v>
      </c>
      <c r="Q11" s="544"/>
      <c r="R11" s="528"/>
      <c r="S11" s="132">
        <f t="shared" si="5"/>
        <v>2081.2600000000002</v>
      </c>
      <c r="U11" s="55"/>
      <c r="V11" s="417">
        <f t="shared" si="6"/>
        <v>120</v>
      </c>
      <c r="W11" s="620"/>
      <c r="X11" s="539"/>
      <c r="Y11" s="684"/>
      <c r="Z11" s="517">
        <f t="shared" si="7"/>
        <v>0</v>
      </c>
      <c r="AA11" s="544"/>
      <c r="AB11" s="528"/>
      <c r="AC11" s="132">
        <f t="shared" si="8"/>
        <v>2835.98</v>
      </c>
    </row>
    <row r="12" spans="1:29" x14ac:dyDescent="0.25">
      <c r="A12" s="75"/>
      <c r="B12" s="417">
        <f t="shared" si="0"/>
        <v>54</v>
      </c>
      <c r="C12" s="620"/>
      <c r="D12" s="1020"/>
      <c r="E12" s="1021"/>
      <c r="F12" s="1022">
        <f t="shared" si="1"/>
        <v>0</v>
      </c>
      <c r="G12" s="1023"/>
      <c r="H12" s="1024"/>
      <c r="I12" s="132">
        <f t="shared" si="2"/>
        <v>1610.0299999999997</v>
      </c>
      <c r="K12" s="75"/>
      <c r="L12" s="417">
        <f t="shared" si="3"/>
        <v>80</v>
      </c>
      <c r="M12" s="620"/>
      <c r="N12" s="539"/>
      <c r="O12" s="684"/>
      <c r="P12" s="517">
        <f t="shared" si="4"/>
        <v>0</v>
      </c>
      <c r="Q12" s="544"/>
      <c r="R12" s="528"/>
      <c r="S12" s="132">
        <f t="shared" si="5"/>
        <v>2081.2600000000002</v>
      </c>
      <c r="U12" s="75"/>
      <c r="V12" s="417">
        <f t="shared" si="6"/>
        <v>120</v>
      </c>
      <c r="W12" s="620"/>
      <c r="X12" s="539"/>
      <c r="Y12" s="684"/>
      <c r="Z12" s="517">
        <f t="shared" si="7"/>
        <v>0</v>
      </c>
      <c r="AA12" s="544"/>
      <c r="AB12" s="528"/>
      <c r="AC12" s="132">
        <f t="shared" si="8"/>
        <v>2835.98</v>
      </c>
    </row>
    <row r="13" spans="1:29" x14ac:dyDescent="0.25">
      <c r="A13" s="75"/>
      <c r="B13" s="417">
        <f t="shared" si="0"/>
        <v>54</v>
      </c>
      <c r="C13" s="620"/>
      <c r="D13" s="1020"/>
      <c r="E13" s="1021"/>
      <c r="F13" s="1022">
        <f t="shared" si="1"/>
        <v>0</v>
      </c>
      <c r="G13" s="1023"/>
      <c r="H13" s="1024"/>
      <c r="I13" s="132">
        <f t="shared" si="2"/>
        <v>1610.0299999999997</v>
      </c>
      <c r="K13" s="75"/>
      <c r="L13" s="417">
        <f t="shared" si="3"/>
        <v>80</v>
      </c>
      <c r="M13" s="620"/>
      <c r="N13" s="539"/>
      <c r="O13" s="684"/>
      <c r="P13" s="517">
        <f t="shared" si="4"/>
        <v>0</v>
      </c>
      <c r="Q13" s="544"/>
      <c r="R13" s="528"/>
      <c r="S13" s="132">
        <f t="shared" si="5"/>
        <v>2081.2600000000002</v>
      </c>
      <c r="U13" s="75"/>
      <c r="V13" s="417">
        <f t="shared" si="6"/>
        <v>120</v>
      </c>
      <c r="W13" s="620"/>
      <c r="X13" s="539"/>
      <c r="Y13" s="684"/>
      <c r="Z13" s="517">
        <f t="shared" si="7"/>
        <v>0</v>
      </c>
      <c r="AA13" s="544"/>
      <c r="AB13" s="528"/>
      <c r="AC13" s="132">
        <f t="shared" si="8"/>
        <v>2835.98</v>
      </c>
    </row>
    <row r="14" spans="1:29" x14ac:dyDescent="0.25">
      <c r="B14" s="417">
        <f t="shared" si="0"/>
        <v>54</v>
      </c>
      <c r="C14" s="620"/>
      <c r="D14" s="1020"/>
      <c r="E14" s="1021"/>
      <c r="F14" s="1022">
        <f t="shared" si="1"/>
        <v>0</v>
      </c>
      <c r="G14" s="1023"/>
      <c r="H14" s="1024"/>
      <c r="I14" s="132">
        <f t="shared" si="2"/>
        <v>1610.0299999999997</v>
      </c>
      <c r="L14" s="417">
        <f t="shared" si="3"/>
        <v>80</v>
      </c>
      <c r="M14" s="620"/>
      <c r="N14" s="539"/>
      <c r="O14" s="684"/>
      <c r="P14" s="517">
        <f t="shared" si="4"/>
        <v>0</v>
      </c>
      <c r="Q14" s="544"/>
      <c r="R14" s="528"/>
      <c r="S14" s="132">
        <f t="shared" si="5"/>
        <v>2081.2600000000002</v>
      </c>
      <c r="V14" s="417">
        <f t="shared" si="6"/>
        <v>120</v>
      </c>
      <c r="W14" s="620"/>
      <c r="X14" s="539"/>
      <c r="Y14" s="684"/>
      <c r="Z14" s="517">
        <f t="shared" si="7"/>
        <v>0</v>
      </c>
      <c r="AA14" s="544"/>
      <c r="AB14" s="528"/>
      <c r="AC14" s="132">
        <f t="shared" si="8"/>
        <v>2835.98</v>
      </c>
    </row>
    <row r="15" spans="1:29" x14ac:dyDescent="0.25">
      <c r="B15" s="417">
        <f t="shared" si="0"/>
        <v>54</v>
      </c>
      <c r="C15" s="620"/>
      <c r="D15" s="1020"/>
      <c r="E15" s="1021"/>
      <c r="F15" s="1022">
        <f t="shared" si="1"/>
        <v>0</v>
      </c>
      <c r="G15" s="1023"/>
      <c r="H15" s="1024"/>
      <c r="I15" s="132">
        <f t="shared" si="2"/>
        <v>1610.0299999999997</v>
      </c>
      <c r="L15" s="417">
        <f t="shared" si="3"/>
        <v>80</v>
      </c>
      <c r="M15" s="620"/>
      <c r="N15" s="539"/>
      <c r="O15" s="684"/>
      <c r="P15" s="517">
        <f t="shared" si="4"/>
        <v>0</v>
      </c>
      <c r="Q15" s="544"/>
      <c r="R15" s="528"/>
      <c r="S15" s="132">
        <f t="shared" si="5"/>
        <v>2081.2600000000002</v>
      </c>
      <c r="V15" s="417">
        <f t="shared" si="6"/>
        <v>120</v>
      </c>
      <c r="W15" s="620"/>
      <c r="X15" s="539"/>
      <c r="Y15" s="684"/>
      <c r="Z15" s="517">
        <f t="shared" si="7"/>
        <v>0</v>
      </c>
      <c r="AA15" s="544"/>
      <c r="AB15" s="528"/>
      <c r="AC15" s="132">
        <f t="shared" si="8"/>
        <v>2835.98</v>
      </c>
    </row>
    <row r="16" spans="1:29" x14ac:dyDescent="0.25">
      <c r="B16" s="417">
        <f t="shared" si="0"/>
        <v>54</v>
      </c>
      <c r="C16" s="620"/>
      <c r="D16" s="1020"/>
      <c r="E16" s="1021"/>
      <c r="F16" s="1022">
        <f t="shared" si="1"/>
        <v>0</v>
      </c>
      <c r="G16" s="1023"/>
      <c r="H16" s="1025"/>
      <c r="I16" s="132">
        <f t="shared" si="2"/>
        <v>1610.0299999999997</v>
      </c>
      <c r="L16" s="417">
        <f t="shared" si="3"/>
        <v>80</v>
      </c>
      <c r="M16" s="620"/>
      <c r="N16" s="539"/>
      <c r="O16" s="684"/>
      <c r="P16" s="517">
        <f t="shared" si="4"/>
        <v>0</v>
      </c>
      <c r="Q16" s="544"/>
      <c r="R16" s="685"/>
      <c r="S16" s="132">
        <f t="shared" si="5"/>
        <v>2081.2600000000002</v>
      </c>
      <c r="V16" s="417">
        <f t="shared" si="6"/>
        <v>120</v>
      </c>
      <c r="W16" s="620"/>
      <c r="X16" s="539"/>
      <c r="Y16" s="684"/>
      <c r="Z16" s="517">
        <f t="shared" si="7"/>
        <v>0</v>
      </c>
      <c r="AA16" s="544"/>
      <c r="AB16" s="685"/>
      <c r="AC16" s="132">
        <f t="shared" si="8"/>
        <v>2835.98</v>
      </c>
    </row>
    <row r="17" spans="1:29" x14ac:dyDescent="0.25">
      <c r="B17" s="417">
        <f t="shared" si="0"/>
        <v>54</v>
      </c>
      <c r="C17" s="620"/>
      <c r="D17" s="1020"/>
      <c r="E17" s="1021"/>
      <c r="F17" s="1022">
        <f t="shared" si="1"/>
        <v>0</v>
      </c>
      <c r="G17" s="1023"/>
      <c r="H17" s="1025"/>
      <c r="I17" s="132">
        <f t="shared" si="2"/>
        <v>1610.0299999999997</v>
      </c>
      <c r="L17" s="417">
        <f t="shared" si="3"/>
        <v>80</v>
      </c>
      <c r="M17" s="620"/>
      <c r="N17" s="539"/>
      <c r="O17" s="684"/>
      <c r="P17" s="517">
        <f t="shared" si="4"/>
        <v>0</v>
      </c>
      <c r="Q17" s="544"/>
      <c r="R17" s="685"/>
      <c r="S17" s="132">
        <f t="shared" si="5"/>
        <v>2081.2600000000002</v>
      </c>
      <c r="V17" s="417">
        <f t="shared" si="6"/>
        <v>120</v>
      </c>
      <c r="W17" s="620"/>
      <c r="X17" s="539"/>
      <c r="Y17" s="684"/>
      <c r="Z17" s="517">
        <f t="shared" si="7"/>
        <v>0</v>
      </c>
      <c r="AA17" s="544"/>
      <c r="AB17" s="685"/>
      <c r="AC17" s="132">
        <f t="shared" si="8"/>
        <v>2835.98</v>
      </c>
    </row>
    <row r="18" spans="1:29" x14ac:dyDescent="0.25">
      <c r="B18" s="417">
        <f t="shared" si="0"/>
        <v>54</v>
      </c>
      <c r="C18" s="620"/>
      <c r="D18" s="1020"/>
      <c r="E18" s="1021"/>
      <c r="F18" s="1022">
        <f t="shared" si="1"/>
        <v>0</v>
      </c>
      <c r="G18" s="1023"/>
      <c r="H18" s="1025"/>
      <c r="I18" s="132">
        <f t="shared" si="2"/>
        <v>1610.0299999999997</v>
      </c>
      <c r="L18" s="417">
        <f t="shared" si="3"/>
        <v>80</v>
      </c>
      <c r="M18" s="620"/>
      <c r="N18" s="539"/>
      <c r="O18" s="684"/>
      <c r="P18" s="517">
        <f t="shared" si="4"/>
        <v>0</v>
      </c>
      <c r="Q18" s="544"/>
      <c r="R18" s="685"/>
      <c r="S18" s="132">
        <f t="shared" si="5"/>
        <v>2081.2600000000002</v>
      </c>
      <c r="V18" s="417">
        <f t="shared" si="6"/>
        <v>120</v>
      </c>
      <c r="W18" s="620"/>
      <c r="X18" s="539"/>
      <c r="Y18" s="684"/>
      <c r="Z18" s="517">
        <f t="shared" si="7"/>
        <v>0</v>
      </c>
      <c r="AA18" s="544"/>
      <c r="AB18" s="685"/>
      <c r="AC18" s="132">
        <f t="shared" si="8"/>
        <v>2835.98</v>
      </c>
    </row>
    <row r="19" spans="1:29" x14ac:dyDescent="0.25">
      <c r="B19" s="417">
        <f t="shared" si="0"/>
        <v>54</v>
      </c>
      <c r="C19" s="620"/>
      <c r="D19" s="1020"/>
      <c r="E19" s="1021"/>
      <c r="F19" s="1022">
        <f t="shared" si="1"/>
        <v>0</v>
      </c>
      <c r="G19" s="1023"/>
      <c r="H19" s="1025"/>
      <c r="I19" s="132">
        <f t="shared" si="2"/>
        <v>1610.0299999999997</v>
      </c>
      <c r="L19" s="417">
        <f t="shared" si="3"/>
        <v>80</v>
      </c>
      <c r="M19" s="620"/>
      <c r="N19" s="539"/>
      <c r="O19" s="684"/>
      <c r="P19" s="517">
        <f t="shared" si="4"/>
        <v>0</v>
      </c>
      <c r="Q19" s="544"/>
      <c r="R19" s="685"/>
      <c r="S19" s="132">
        <f t="shared" si="5"/>
        <v>2081.2600000000002</v>
      </c>
      <c r="V19" s="417">
        <f t="shared" si="6"/>
        <v>120</v>
      </c>
      <c r="W19" s="620"/>
      <c r="X19" s="539"/>
      <c r="Y19" s="684"/>
      <c r="Z19" s="517">
        <f t="shared" si="7"/>
        <v>0</v>
      </c>
      <c r="AA19" s="544"/>
      <c r="AB19" s="685"/>
      <c r="AC19" s="132">
        <f t="shared" si="8"/>
        <v>2835.98</v>
      </c>
    </row>
    <row r="20" spans="1:29" x14ac:dyDescent="0.25">
      <c r="B20" s="417">
        <f t="shared" si="0"/>
        <v>54</v>
      </c>
      <c r="C20" s="620"/>
      <c r="D20" s="1020"/>
      <c r="E20" s="1021"/>
      <c r="F20" s="1022">
        <f t="shared" si="1"/>
        <v>0</v>
      </c>
      <c r="G20" s="1023"/>
      <c r="H20" s="1025"/>
      <c r="I20" s="132">
        <f t="shared" si="2"/>
        <v>1610.0299999999997</v>
      </c>
      <c r="L20" s="417">
        <f t="shared" si="3"/>
        <v>80</v>
      </c>
      <c r="M20" s="620"/>
      <c r="N20" s="539"/>
      <c r="O20" s="684"/>
      <c r="P20" s="517">
        <f t="shared" si="4"/>
        <v>0</v>
      </c>
      <c r="Q20" s="544"/>
      <c r="R20" s="685"/>
      <c r="S20" s="132">
        <f t="shared" si="5"/>
        <v>2081.2600000000002</v>
      </c>
      <c r="V20" s="417">
        <f t="shared" si="6"/>
        <v>120</v>
      </c>
      <c r="W20" s="620"/>
      <c r="X20" s="539"/>
      <c r="Y20" s="684"/>
      <c r="Z20" s="517">
        <f t="shared" si="7"/>
        <v>0</v>
      </c>
      <c r="AA20" s="544"/>
      <c r="AB20" s="685"/>
      <c r="AC20" s="132">
        <f t="shared" si="8"/>
        <v>2835.98</v>
      </c>
    </row>
    <row r="21" spans="1:29" x14ac:dyDescent="0.25">
      <c r="B21" s="417">
        <f t="shared" si="0"/>
        <v>54</v>
      </c>
      <c r="C21" s="620"/>
      <c r="D21" s="1020"/>
      <c r="E21" s="1021"/>
      <c r="F21" s="1022">
        <f t="shared" si="1"/>
        <v>0</v>
      </c>
      <c r="G21" s="1023"/>
      <c r="H21" s="1026"/>
      <c r="I21" s="132">
        <f t="shared" si="2"/>
        <v>1610.0299999999997</v>
      </c>
      <c r="L21" s="417">
        <f t="shared" si="3"/>
        <v>80</v>
      </c>
      <c r="M21" s="620"/>
      <c r="N21" s="539"/>
      <c r="O21" s="684"/>
      <c r="P21" s="517">
        <f t="shared" si="4"/>
        <v>0</v>
      </c>
      <c r="Q21" s="544"/>
      <c r="R21" s="751"/>
      <c r="S21" s="132">
        <f t="shared" si="5"/>
        <v>2081.2600000000002</v>
      </c>
      <c r="V21" s="417">
        <f t="shared" si="6"/>
        <v>120</v>
      </c>
      <c r="W21" s="620"/>
      <c r="X21" s="539"/>
      <c r="Y21" s="684"/>
      <c r="Z21" s="517">
        <f t="shared" si="7"/>
        <v>0</v>
      </c>
      <c r="AA21" s="544"/>
      <c r="AB21" s="751"/>
      <c r="AC21" s="132">
        <f t="shared" si="8"/>
        <v>2835.98</v>
      </c>
    </row>
    <row r="22" spans="1:29" x14ac:dyDescent="0.25">
      <c r="B22" s="417">
        <f t="shared" si="0"/>
        <v>54</v>
      </c>
      <c r="C22" s="620"/>
      <c r="D22" s="1020"/>
      <c r="E22" s="1021"/>
      <c r="F22" s="1022">
        <f t="shared" si="1"/>
        <v>0</v>
      </c>
      <c r="G22" s="1023"/>
      <c r="H22" s="1026"/>
      <c r="I22" s="132">
        <f t="shared" si="2"/>
        <v>1610.0299999999997</v>
      </c>
      <c r="L22" s="417">
        <f t="shared" si="3"/>
        <v>80</v>
      </c>
      <c r="M22" s="620"/>
      <c r="N22" s="539"/>
      <c r="O22" s="684"/>
      <c r="P22" s="517">
        <f t="shared" si="4"/>
        <v>0</v>
      </c>
      <c r="Q22" s="544"/>
      <c r="R22" s="751"/>
      <c r="S22" s="132">
        <f t="shared" si="5"/>
        <v>2081.2600000000002</v>
      </c>
      <c r="V22" s="417">
        <f t="shared" si="6"/>
        <v>120</v>
      </c>
      <c r="W22" s="620"/>
      <c r="X22" s="539"/>
      <c r="Y22" s="684"/>
      <c r="Z22" s="517">
        <f t="shared" si="7"/>
        <v>0</v>
      </c>
      <c r="AA22" s="544"/>
      <c r="AB22" s="751"/>
      <c r="AC22" s="132">
        <f t="shared" si="8"/>
        <v>2835.98</v>
      </c>
    </row>
    <row r="23" spans="1:29" x14ac:dyDescent="0.25">
      <c r="B23" s="417">
        <f t="shared" si="0"/>
        <v>54</v>
      </c>
      <c r="C23" s="620"/>
      <c r="D23" s="1020"/>
      <c r="E23" s="1021"/>
      <c r="F23" s="1022">
        <f t="shared" si="1"/>
        <v>0</v>
      </c>
      <c r="G23" s="1023"/>
      <c r="H23" s="1026"/>
      <c r="I23" s="132">
        <f t="shared" si="2"/>
        <v>1610.0299999999997</v>
      </c>
      <c r="L23" s="417">
        <f t="shared" si="3"/>
        <v>80</v>
      </c>
      <c r="M23" s="620"/>
      <c r="N23" s="539"/>
      <c r="O23" s="684"/>
      <c r="P23" s="517">
        <f t="shared" si="4"/>
        <v>0</v>
      </c>
      <c r="Q23" s="544"/>
      <c r="R23" s="751"/>
      <c r="S23" s="132">
        <f t="shared" si="5"/>
        <v>2081.2600000000002</v>
      </c>
      <c r="V23" s="417">
        <f t="shared" si="6"/>
        <v>120</v>
      </c>
      <c r="W23" s="620"/>
      <c r="X23" s="539"/>
      <c r="Y23" s="684"/>
      <c r="Z23" s="517">
        <f t="shared" si="7"/>
        <v>0</v>
      </c>
      <c r="AA23" s="544"/>
      <c r="AB23" s="751"/>
      <c r="AC23" s="132">
        <f t="shared" si="8"/>
        <v>2835.98</v>
      </c>
    </row>
    <row r="24" spans="1:29" x14ac:dyDescent="0.25">
      <c r="B24" s="417">
        <f t="shared" si="0"/>
        <v>54</v>
      </c>
      <c r="C24" s="620"/>
      <c r="D24" s="1020"/>
      <c r="E24" s="1021"/>
      <c r="F24" s="1022">
        <f t="shared" si="1"/>
        <v>0</v>
      </c>
      <c r="G24" s="1023"/>
      <c r="H24" s="1026"/>
      <c r="I24" s="132">
        <f t="shared" si="2"/>
        <v>1610.0299999999997</v>
      </c>
      <c r="L24" s="417">
        <f t="shared" si="3"/>
        <v>80</v>
      </c>
      <c r="M24" s="620"/>
      <c r="N24" s="539"/>
      <c r="O24" s="684"/>
      <c r="P24" s="517">
        <f t="shared" si="4"/>
        <v>0</v>
      </c>
      <c r="Q24" s="544"/>
      <c r="R24" s="751"/>
      <c r="S24" s="132">
        <f t="shared" si="5"/>
        <v>2081.2600000000002</v>
      </c>
      <c r="V24" s="417">
        <f t="shared" si="6"/>
        <v>120</v>
      </c>
      <c r="W24" s="620"/>
      <c r="X24" s="539"/>
      <c r="Y24" s="684"/>
      <c r="Z24" s="517">
        <f t="shared" si="7"/>
        <v>0</v>
      </c>
      <c r="AA24" s="544"/>
      <c r="AB24" s="751"/>
      <c r="AC24" s="132">
        <f t="shared" si="8"/>
        <v>2835.98</v>
      </c>
    </row>
    <row r="25" spans="1:29" x14ac:dyDescent="0.25">
      <c r="B25" s="417">
        <f t="shared" si="0"/>
        <v>54</v>
      </c>
      <c r="C25" s="620"/>
      <c r="D25" s="1020"/>
      <c r="E25" s="1021"/>
      <c r="F25" s="1022">
        <f t="shared" si="1"/>
        <v>0</v>
      </c>
      <c r="G25" s="1023"/>
      <c r="H25" s="1026"/>
      <c r="I25" s="132">
        <f t="shared" si="2"/>
        <v>1610.0299999999997</v>
      </c>
      <c r="L25" s="417">
        <f t="shared" si="3"/>
        <v>80</v>
      </c>
      <c r="M25" s="620"/>
      <c r="N25" s="539"/>
      <c r="O25" s="684"/>
      <c r="P25" s="517">
        <f t="shared" si="4"/>
        <v>0</v>
      </c>
      <c r="Q25" s="544"/>
      <c r="S25" s="132">
        <f t="shared" si="5"/>
        <v>2081.2600000000002</v>
      </c>
      <c r="V25" s="417">
        <f t="shared" si="6"/>
        <v>120</v>
      </c>
      <c r="W25" s="620"/>
      <c r="X25" s="539"/>
      <c r="Y25" s="684"/>
      <c r="Z25" s="517">
        <f t="shared" si="7"/>
        <v>0</v>
      </c>
      <c r="AA25" s="544"/>
      <c r="AC25" s="132">
        <f t="shared" si="8"/>
        <v>2835.98</v>
      </c>
    </row>
    <row r="26" spans="1:29" x14ac:dyDescent="0.25">
      <c r="B26" s="417">
        <f t="shared" si="0"/>
        <v>54</v>
      </c>
      <c r="C26" s="620"/>
      <c r="D26" s="1020"/>
      <c r="E26" s="1021"/>
      <c r="F26" s="1022">
        <f t="shared" si="1"/>
        <v>0</v>
      </c>
      <c r="G26" s="1027"/>
      <c r="H26" s="1026"/>
      <c r="I26" s="132">
        <f t="shared" si="2"/>
        <v>1610.0299999999997</v>
      </c>
      <c r="L26" s="417">
        <f t="shared" si="3"/>
        <v>80</v>
      </c>
      <c r="M26" s="620"/>
      <c r="N26" s="539"/>
      <c r="O26" s="684"/>
      <c r="P26" s="517">
        <f t="shared" si="4"/>
        <v>0</v>
      </c>
      <c r="Q26" s="545"/>
      <c r="S26" s="132">
        <f t="shared" si="5"/>
        <v>2081.2600000000002</v>
      </c>
      <c r="V26" s="417">
        <f t="shared" si="6"/>
        <v>120</v>
      </c>
      <c r="W26" s="620"/>
      <c r="X26" s="539"/>
      <c r="Y26" s="684"/>
      <c r="Z26" s="517">
        <f t="shared" si="7"/>
        <v>0</v>
      </c>
      <c r="AA26" s="545"/>
      <c r="AC26" s="132">
        <f t="shared" si="8"/>
        <v>2835.98</v>
      </c>
    </row>
    <row r="27" spans="1:29" x14ac:dyDescent="0.25">
      <c r="B27" s="417">
        <f t="shared" si="0"/>
        <v>54</v>
      </c>
      <c r="C27" s="620"/>
      <c r="D27" s="686"/>
      <c r="E27" s="684"/>
      <c r="F27" s="517">
        <f t="shared" si="1"/>
        <v>0</v>
      </c>
      <c r="G27" s="518"/>
      <c r="H27" s="17"/>
      <c r="I27" s="132">
        <f t="shared" si="2"/>
        <v>1610.0299999999997</v>
      </c>
      <c r="L27" s="417">
        <f t="shared" si="3"/>
        <v>80</v>
      </c>
      <c r="M27" s="620"/>
      <c r="N27" s="686"/>
      <c r="O27" s="684"/>
      <c r="P27" s="517">
        <f t="shared" si="4"/>
        <v>0</v>
      </c>
      <c r="Q27" s="518"/>
      <c r="R27" s="17"/>
      <c r="S27" s="132">
        <f t="shared" si="5"/>
        <v>2081.2600000000002</v>
      </c>
      <c r="V27" s="417">
        <f t="shared" si="6"/>
        <v>120</v>
      </c>
      <c r="W27" s="620"/>
      <c r="X27" s="686"/>
      <c r="Y27" s="684"/>
      <c r="Z27" s="517">
        <f t="shared" si="7"/>
        <v>0</v>
      </c>
      <c r="AA27" s="518"/>
      <c r="AB27" s="17"/>
      <c r="AC27" s="132">
        <f t="shared" si="8"/>
        <v>2835.98</v>
      </c>
    </row>
    <row r="28" spans="1:29" x14ac:dyDescent="0.25">
      <c r="B28" s="417">
        <f t="shared" si="0"/>
        <v>54</v>
      </c>
      <c r="C28" s="620"/>
      <c r="D28" s="686"/>
      <c r="E28" s="118"/>
      <c r="F28" s="517">
        <f t="shared" si="1"/>
        <v>0</v>
      </c>
      <c r="G28" s="518"/>
      <c r="H28" s="17"/>
      <c r="I28" s="132">
        <f t="shared" si="2"/>
        <v>1610.0299999999997</v>
      </c>
      <c r="L28" s="417">
        <f t="shared" si="3"/>
        <v>80</v>
      </c>
      <c r="M28" s="620"/>
      <c r="N28" s="686"/>
      <c r="O28" s="118"/>
      <c r="P28" s="517">
        <f t="shared" si="4"/>
        <v>0</v>
      </c>
      <c r="Q28" s="518"/>
      <c r="R28" s="17"/>
      <c r="S28" s="132">
        <f t="shared" si="5"/>
        <v>2081.2600000000002</v>
      </c>
      <c r="V28" s="417">
        <f t="shared" si="6"/>
        <v>120</v>
      </c>
      <c r="W28" s="620"/>
      <c r="X28" s="686"/>
      <c r="Y28" s="118"/>
      <c r="Z28" s="517">
        <f t="shared" si="7"/>
        <v>0</v>
      </c>
      <c r="AA28" s="518"/>
      <c r="AB28" s="17"/>
      <c r="AC28" s="132">
        <f t="shared" si="8"/>
        <v>2835.98</v>
      </c>
    </row>
    <row r="29" spans="1:29" x14ac:dyDescent="0.25">
      <c r="B29" s="418"/>
      <c r="C29" s="620"/>
      <c r="D29" s="687"/>
      <c r="E29" s="118"/>
      <c r="F29" s="14"/>
      <c r="G29" s="31"/>
      <c r="H29" s="17"/>
      <c r="L29" s="418"/>
      <c r="M29" s="620"/>
      <c r="N29" s="687"/>
      <c r="O29" s="118"/>
      <c r="P29" s="14"/>
      <c r="Q29" s="31"/>
      <c r="R29" s="17"/>
      <c r="V29" s="418"/>
      <c r="W29" s="620"/>
      <c r="X29" s="687"/>
      <c r="Y29" s="118"/>
      <c r="Z29" s="14"/>
      <c r="AA29" s="31"/>
      <c r="AB29" s="17"/>
    </row>
    <row r="30" spans="1:29" x14ac:dyDescent="0.25">
      <c r="B30" s="418"/>
      <c r="C30" s="620"/>
      <c r="D30" s="540"/>
      <c r="E30" s="118"/>
      <c r="F30" s="6"/>
      <c r="L30" s="418"/>
      <c r="M30" s="620"/>
      <c r="N30" s="540"/>
      <c r="O30" s="118"/>
      <c r="P30" s="6"/>
      <c r="V30" s="418"/>
      <c r="W30" s="620"/>
      <c r="X30" s="540"/>
      <c r="Y30" s="118"/>
      <c r="Z30" s="6"/>
    </row>
    <row r="31" spans="1:29" ht="15.75" thickBot="1" x14ac:dyDescent="0.3">
      <c r="B31" s="495"/>
      <c r="C31" s="621"/>
      <c r="D31" s="617"/>
      <c r="E31" s="4"/>
      <c r="F31" s="76"/>
      <c r="G31" s="24"/>
      <c r="L31" s="495"/>
      <c r="M31" s="621"/>
      <c r="N31" s="617"/>
      <c r="O31" s="4"/>
      <c r="P31" s="76"/>
      <c r="Q31" s="24"/>
      <c r="V31" s="495"/>
      <c r="W31" s="621"/>
      <c r="X31" s="617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7" t="s">
        <v>21</v>
      </c>
      <c r="E33" s="808"/>
      <c r="F33" s="141">
        <f>E5-D32</f>
        <v>1981.36</v>
      </c>
      <c r="G33" s="75"/>
      <c r="H33" s="75"/>
      <c r="K33" s="75"/>
      <c r="L33" s="75"/>
      <c r="M33" s="75"/>
      <c r="N33" s="930" t="s">
        <v>21</v>
      </c>
      <c r="O33" s="931"/>
      <c r="P33" s="141">
        <f>O5-N32</f>
        <v>2081.2600000000002</v>
      </c>
      <c r="Q33" s="75"/>
      <c r="R33" s="75"/>
      <c r="U33" s="75"/>
      <c r="V33" s="75"/>
      <c r="W33" s="75"/>
      <c r="X33" s="1062" t="s">
        <v>21</v>
      </c>
      <c r="Y33" s="1063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9" t="s">
        <v>4</v>
      </c>
      <c r="E34" s="810"/>
      <c r="F34" s="49" t="e">
        <f>F4+F5-C32</f>
        <v>#REF!</v>
      </c>
      <c r="G34" s="75"/>
      <c r="H34" s="75"/>
      <c r="K34" s="75"/>
      <c r="L34" s="75"/>
      <c r="M34" s="75"/>
      <c r="N34" s="932" t="s">
        <v>4</v>
      </c>
      <c r="O34" s="933"/>
      <c r="P34" s="49">
        <f>P4+P5-M32</f>
        <v>80</v>
      </c>
      <c r="Q34" s="75"/>
      <c r="R34" s="75"/>
      <c r="U34" s="75"/>
      <c r="V34" s="75"/>
      <c r="W34" s="75"/>
      <c r="X34" s="1064" t="s">
        <v>4</v>
      </c>
      <c r="Y34" s="1065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8" t="s">
        <v>335</v>
      </c>
      <c r="B1" s="1268"/>
      <c r="C1" s="1268"/>
      <c r="D1" s="1268"/>
      <c r="E1" s="1268"/>
      <c r="F1" s="1268"/>
      <c r="G1" s="12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1" t="s">
        <v>145</v>
      </c>
      <c r="C4" s="102"/>
      <c r="D4" s="135"/>
      <c r="E4" s="86"/>
      <c r="F4" s="73"/>
      <c r="G4" s="238"/>
    </row>
    <row r="5" spans="1:9" x14ac:dyDescent="0.25">
      <c r="A5" s="1280" t="s">
        <v>97</v>
      </c>
      <c r="B5" s="135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8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2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5">
        <v>13.61</v>
      </c>
      <c r="E9" s="590">
        <v>44840</v>
      </c>
      <c r="F9" s="745">
        <f t="shared" si="0"/>
        <v>13.61</v>
      </c>
      <c r="G9" s="752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60">
        <f t="shared" ref="B10:B26" si="1">B9-C10</f>
        <v>141</v>
      </c>
      <c r="C10" s="15">
        <v>2</v>
      </c>
      <c r="D10" s="745">
        <v>27.22</v>
      </c>
      <c r="E10" s="590">
        <v>44846</v>
      </c>
      <c r="F10" s="745">
        <f t="shared" si="0"/>
        <v>27.22</v>
      </c>
      <c r="G10" s="753" t="s">
        <v>192</v>
      </c>
      <c r="H10" s="754">
        <v>57</v>
      </c>
      <c r="I10" s="829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5"/>
      <c r="E11" s="633"/>
      <c r="F11" s="635">
        <f t="shared" si="0"/>
        <v>0</v>
      </c>
      <c r="G11" s="1028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5"/>
      <c r="E12" s="633"/>
      <c r="F12" s="635">
        <f t="shared" si="0"/>
        <v>0</v>
      </c>
      <c r="G12" s="1028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5"/>
      <c r="E13" s="633"/>
      <c r="F13" s="635">
        <f t="shared" si="0"/>
        <v>0</v>
      </c>
      <c r="G13" s="1028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5"/>
      <c r="E14" s="633"/>
      <c r="F14" s="635">
        <f t="shared" si="0"/>
        <v>0</v>
      </c>
      <c r="G14" s="1028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5"/>
      <c r="E15" s="633"/>
      <c r="F15" s="635">
        <f t="shared" si="0"/>
        <v>0</v>
      </c>
      <c r="G15" s="1028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5"/>
      <c r="E16" s="633"/>
      <c r="F16" s="635">
        <f t="shared" si="0"/>
        <v>0</v>
      </c>
      <c r="G16" s="1028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29"/>
      <c r="E17" s="633"/>
      <c r="F17" s="635">
        <f t="shared" si="0"/>
        <v>0</v>
      </c>
      <c r="G17" s="1028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5"/>
      <c r="E18" s="633"/>
      <c r="F18" s="635">
        <f t="shared" si="0"/>
        <v>0</v>
      </c>
      <c r="G18" s="1028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5"/>
      <c r="E19" s="633"/>
      <c r="F19" s="635">
        <f t="shared" si="0"/>
        <v>0</v>
      </c>
      <c r="G19" s="1028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5"/>
      <c r="E20" s="633"/>
      <c r="F20" s="635">
        <f t="shared" si="0"/>
        <v>0</v>
      </c>
      <c r="G20" s="1028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5"/>
      <c r="E21" s="633"/>
      <c r="F21" s="635">
        <f t="shared" si="0"/>
        <v>0</v>
      </c>
      <c r="G21" s="1028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5"/>
      <c r="E22" s="633"/>
      <c r="F22" s="635">
        <f t="shared" si="0"/>
        <v>0</v>
      </c>
      <c r="G22" s="1028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5"/>
      <c r="E23" s="633"/>
      <c r="F23" s="635">
        <f t="shared" si="0"/>
        <v>0</v>
      </c>
      <c r="G23" s="1028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5"/>
      <c r="E24" s="633"/>
      <c r="F24" s="635">
        <f t="shared" si="0"/>
        <v>0</v>
      </c>
      <c r="G24" s="643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5"/>
      <c r="E25" s="633"/>
      <c r="F25" s="635">
        <f t="shared" si="0"/>
        <v>0</v>
      </c>
      <c r="G25" s="643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5"/>
      <c r="E26" s="633"/>
      <c r="F26" s="635">
        <f t="shared" si="0"/>
        <v>0</v>
      </c>
      <c r="G26" s="643"/>
      <c r="H26" s="380"/>
      <c r="I26" s="132">
        <f t="shared" si="2"/>
        <v>1919.0100000000002</v>
      </c>
    </row>
    <row r="27" spans="1:9" x14ac:dyDescent="0.25">
      <c r="B27" s="106"/>
      <c r="C27" s="15"/>
      <c r="D27" s="635"/>
      <c r="E27" s="633"/>
      <c r="F27" s="635">
        <f t="shared" si="0"/>
        <v>0</v>
      </c>
      <c r="G27" s="643"/>
      <c r="H27" s="1029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7"/>
      <c r="F30" s="6"/>
    </row>
    <row r="31" spans="1:9" ht="15.75" thickBot="1" x14ac:dyDescent="0.3">
      <c r="B31" s="74"/>
      <c r="C31" s="87"/>
      <c r="D31" s="76"/>
      <c r="E31" s="818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3" t="s">
        <v>83</v>
      </c>
      <c r="C4" s="102"/>
      <c r="D4" s="135"/>
      <c r="E4" s="86"/>
      <c r="F4" s="73"/>
      <c r="G4" s="238"/>
    </row>
    <row r="5" spans="1:9" x14ac:dyDescent="0.25">
      <c r="A5" s="75"/>
      <c r="B5" s="1354"/>
      <c r="C5" s="102"/>
      <c r="D5" s="135"/>
      <c r="E5" s="86"/>
      <c r="F5" s="73"/>
      <c r="G5" s="541">
        <f>F32</f>
        <v>0</v>
      </c>
      <c r="H5" s="138">
        <f>E5-G5</f>
        <v>0</v>
      </c>
    </row>
    <row r="6" spans="1:9" ht="15.75" thickBot="1" x14ac:dyDescent="0.3">
      <c r="B6" s="538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2"/>
      <c r="D9" s="105"/>
      <c r="E9" s="543"/>
      <c r="F9" s="92">
        <f t="shared" si="0"/>
        <v>0</v>
      </c>
      <c r="G9" s="544"/>
      <c r="H9" s="71"/>
      <c r="I9" s="47">
        <f>I8-D9</f>
        <v>0</v>
      </c>
    </row>
    <row r="10" spans="1:9" x14ac:dyDescent="0.25">
      <c r="A10" s="75"/>
      <c r="B10" s="2"/>
      <c r="C10" s="542"/>
      <c r="D10" s="105"/>
      <c r="E10" s="543"/>
      <c r="F10" s="92">
        <f t="shared" si="0"/>
        <v>0</v>
      </c>
      <c r="G10" s="544"/>
      <c r="H10" s="71"/>
      <c r="I10" s="47">
        <f t="shared" ref="I10:I28" si="1">I9-D10</f>
        <v>0</v>
      </c>
    </row>
    <row r="11" spans="1:9" x14ac:dyDescent="0.25">
      <c r="A11" s="55"/>
      <c r="B11" s="2"/>
      <c r="C11" s="542"/>
      <c r="D11" s="105"/>
      <c r="E11" s="543"/>
      <c r="F11" s="92">
        <f t="shared" si="0"/>
        <v>0</v>
      </c>
      <c r="G11" s="544"/>
      <c r="H11" s="71"/>
      <c r="I11" s="47">
        <f t="shared" si="1"/>
        <v>0</v>
      </c>
    </row>
    <row r="12" spans="1:9" x14ac:dyDescent="0.25">
      <c r="A12" s="75"/>
      <c r="B12" s="2"/>
      <c r="C12" s="542"/>
      <c r="D12" s="105"/>
      <c r="E12" s="543"/>
      <c r="F12" s="92">
        <f t="shared" si="0"/>
        <v>0</v>
      </c>
      <c r="G12" s="544"/>
      <c r="H12" s="71"/>
      <c r="I12" s="47">
        <f t="shared" si="1"/>
        <v>0</v>
      </c>
    </row>
    <row r="13" spans="1:9" x14ac:dyDescent="0.25">
      <c r="A13" s="75"/>
      <c r="B13" s="2"/>
      <c r="C13" s="542"/>
      <c r="D13" s="105"/>
      <c r="E13" s="543"/>
      <c r="F13" s="92">
        <f t="shared" si="0"/>
        <v>0</v>
      </c>
      <c r="G13" s="544"/>
      <c r="H13" s="71"/>
      <c r="I13" s="47">
        <f t="shared" si="1"/>
        <v>0</v>
      </c>
    </row>
    <row r="14" spans="1:9" x14ac:dyDescent="0.25">
      <c r="B14" s="2"/>
      <c r="C14" s="542"/>
      <c r="D14" s="105"/>
      <c r="E14" s="543"/>
      <c r="F14" s="92">
        <f t="shared" si="0"/>
        <v>0</v>
      </c>
      <c r="G14" s="544"/>
      <c r="H14" s="71"/>
      <c r="I14" s="47">
        <f t="shared" si="1"/>
        <v>0</v>
      </c>
    </row>
    <row r="15" spans="1:9" x14ac:dyDescent="0.25">
      <c r="B15" s="2"/>
      <c r="C15" s="542"/>
      <c r="D15" s="105"/>
      <c r="E15" s="543"/>
      <c r="F15" s="92">
        <f t="shared" si="0"/>
        <v>0</v>
      </c>
      <c r="G15" s="544"/>
      <c r="H15" s="71"/>
      <c r="I15" s="47">
        <f t="shared" si="1"/>
        <v>0</v>
      </c>
    </row>
    <row r="16" spans="1:9" x14ac:dyDescent="0.25">
      <c r="B16" s="2"/>
      <c r="C16" s="542"/>
      <c r="D16" s="105"/>
      <c r="E16" s="543"/>
      <c r="F16" s="92">
        <f t="shared" si="0"/>
        <v>0</v>
      </c>
      <c r="G16" s="544"/>
      <c r="H16" s="71"/>
      <c r="I16" s="47">
        <f t="shared" si="1"/>
        <v>0</v>
      </c>
    </row>
    <row r="17" spans="1:9" x14ac:dyDescent="0.25">
      <c r="B17" s="2"/>
      <c r="C17" s="53"/>
      <c r="D17" s="105"/>
      <c r="E17" s="543"/>
      <c r="F17" s="92">
        <f t="shared" si="0"/>
        <v>0</v>
      </c>
      <c r="G17" s="544"/>
      <c r="H17" s="71"/>
      <c r="I17" s="47">
        <f t="shared" si="1"/>
        <v>0</v>
      </c>
    </row>
    <row r="18" spans="1:9" x14ac:dyDescent="0.25">
      <c r="B18" s="2"/>
      <c r="C18" s="542"/>
      <c r="D18" s="105"/>
      <c r="E18" s="543"/>
      <c r="F18" s="92">
        <f t="shared" si="0"/>
        <v>0</v>
      </c>
      <c r="G18" s="544"/>
      <c r="H18" s="71"/>
      <c r="I18" s="47">
        <f t="shared" si="1"/>
        <v>0</v>
      </c>
    </row>
    <row r="19" spans="1:9" x14ac:dyDescent="0.25">
      <c r="B19" s="2"/>
      <c r="C19" s="542"/>
      <c r="D19" s="105"/>
      <c r="E19" s="543"/>
      <c r="F19" s="92">
        <f t="shared" si="0"/>
        <v>0</v>
      </c>
      <c r="G19" s="544"/>
      <c r="H19" s="71"/>
      <c r="I19" s="47">
        <f t="shared" si="1"/>
        <v>0</v>
      </c>
    </row>
    <row r="20" spans="1:9" x14ac:dyDescent="0.25">
      <c r="B20" s="2"/>
      <c r="C20" s="542"/>
      <c r="D20" s="105"/>
      <c r="E20" s="543"/>
      <c r="F20" s="92">
        <f t="shared" si="0"/>
        <v>0</v>
      </c>
      <c r="G20" s="544"/>
      <c r="H20" s="71"/>
      <c r="I20" s="47">
        <f t="shared" si="1"/>
        <v>0</v>
      </c>
    </row>
    <row r="21" spans="1:9" x14ac:dyDescent="0.25">
      <c r="B21" s="2"/>
      <c r="C21" s="542"/>
      <c r="D21" s="105"/>
      <c r="E21" s="543"/>
      <c r="F21" s="92">
        <f t="shared" si="0"/>
        <v>0</v>
      </c>
      <c r="G21" s="544"/>
      <c r="H21" s="71"/>
      <c r="I21" s="47">
        <f t="shared" si="1"/>
        <v>0</v>
      </c>
    </row>
    <row r="22" spans="1:9" x14ac:dyDescent="0.25">
      <c r="B22" s="2"/>
      <c r="C22" s="542"/>
      <c r="D22" s="105"/>
      <c r="E22" s="543"/>
      <c r="F22" s="92">
        <f t="shared" si="0"/>
        <v>0</v>
      </c>
      <c r="G22" s="544"/>
      <c r="H22" s="71"/>
      <c r="I22" s="47">
        <f t="shared" si="1"/>
        <v>0</v>
      </c>
    </row>
    <row r="23" spans="1:9" x14ac:dyDescent="0.25">
      <c r="B23" s="2"/>
      <c r="C23" s="542"/>
      <c r="D23" s="105"/>
      <c r="E23" s="543"/>
      <c r="F23" s="92">
        <f t="shared" si="0"/>
        <v>0</v>
      </c>
      <c r="G23" s="544"/>
      <c r="H23" s="71"/>
      <c r="I23" s="47">
        <f t="shared" si="1"/>
        <v>0</v>
      </c>
    </row>
    <row r="24" spans="1:9" x14ac:dyDescent="0.25">
      <c r="B24" s="2"/>
      <c r="C24" s="542"/>
      <c r="D24" s="105"/>
      <c r="E24" s="543"/>
      <c r="F24" s="92">
        <f t="shared" si="0"/>
        <v>0</v>
      </c>
      <c r="G24" s="544"/>
      <c r="H24" s="71"/>
      <c r="I24" s="47">
        <f t="shared" si="1"/>
        <v>0</v>
      </c>
    </row>
    <row r="25" spans="1:9" x14ac:dyDescent="0.25">
      <c r="B25" s="2"/>
      <c r="C25" s="542"/>
      <c r="D25" s="105"/>
      <c r="E25" s="543"/>
      <c r="F25" s="92">
        <f t="shared" si="0"/>
        <v>0</v>
      </c>
      <c r="G25" s="544"/>
      <c r="H25" s="71"/>
      <c r="I25" s="47">
        <f t="shared" si="1"/>
        <v>0</v>
      </c>
    </row>
    <row r="26" spans="1:9" x14ac:dyDescent="0.25">
      <c r="B26" s="109"/>
      <c r="C26" s="542"/>
      <c r="D26" s="105"/>
      <c r="E26" s="543"/>
      <c r="F26" s="92">
        <f t="shared" si="0"/>
        <v>0</v>
      </c>
      <c r="G26" s="545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1" t="s">
        <v>101</v>
      </c>
      <c r="C4" s="102"/>
      <c r="D4" s="135"/>
      <c r="E4" s="86"/>
      <c r="F4" s="73"/>
      <c r="G4" s="238"/>
    </row>
    <row r="5" spans="1:9" x14ac:dyDescent="0.25">
      <c r="A5" s="1273"/>
      <c r="B5" s="135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7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5" t="s">
        <v>102</v>
      </c>
      <c r="C4" s="102"/>
      <c r="D4" s="135"/>
      <c r="E4" s="86"/>
      <c r="F4" s="73"/>
      <c r="G4" s="238"/>
    </row>
    <row r="5" spans="1:9" x14ac:dyDescent="0.25">
      <c r="A5" s="1273" t="s">
        <v>507</v>
      </c>
      <c r="B5" s="1356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27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6"/>
      <c r="E9" s="615"/>
      <c r="F9" s="616">
        <f t="shared" si="0"/>
        <v>0</v>
      </c>
      <c r="G9" s="490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6"/>
      <c r="E10" s="615"/>
      <c r="F10" s="616">
        <f t="shared" si="0"/>
        <v>0</v>
      </c>
      <c r="G10" s="490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6"/>
      <c r="E11" s="615"/>
      <c r="F11" s="616">
        <f t="shared" si="0"/>
        <v>0</v>
      </c>
      <c r="G11" s="490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6"/>
      <c r="E12" s="615"/>
      <c r="F12" s="616">
        <f t="shared" si="0"/>
        <v>0</v>
      </c>
      <c r="G12" s="490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5"/>
      <c r="E13" s="631"/>
      <c r="F13" s="635">
        <f t="shared" si="0"/>
        <v>0</v>
      </c>
      <c r="G13" s="643"/>
      <c r="H13" s="380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5"/>
      <c r="E14" s="631"/>
      <c r="F14" s="635">
        <f t="shared" si="0"/>
        <v>0</v>
      </c>
      <c r="G14" s="643"/>
      <c r="H14" s="380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5"/>
      <c r="E15" s="631"/>
      <c r="F15" s="635">
        <f t="shared" si="0"/>
        <v>0</v>
      </c>
      <c r="G15" s="643"/>
      <c r="H15" s="380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5"/>
      <c r="E16" s="631"/>
      <c r="F16" s="635">
        <f t="shared" si="0"/>
        <v>0</v>
      </c>
      <c r="G16" s="643"/>
      <c r="H16" s="380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9"/>
      <c r="E17" s="631"/>
      <c r="F17" s="635">
        <f t="shared" si="0"/>
        <v>0</v>
      </c>
      <c r="G17" s="643"/>
      <c r="H17" s="380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5"/>
      <c r="E18" s="631"/>
      <c r="F18" s="635">
        <f t="shared" si="0"/>
        <v>0</v>
      </c>
      <c r="G18" s="643"/>
      <c r="H18" s="380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5"/>
      <c r="E19" s="631"/>
      <c r="F19" s="635">
        <f t="shared" si="0"/>
        <v>0</v>
      </c>
      <c r="G19" s="643"/>
      <c r="H19" s="380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5"/>
      <c r="E20" s="631"/>
      <c r="F20" s="635">
        <f t="shared" si="0"/>
        <v>0</v>
      </c>
      <c r="G20" s="643"/>
      <c r="H20" s="380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5"/>
      <c r="E21" s="631"/>
      <c r="F21" s="635">
        <f t="shared" si="0"/>
        <v>0</v>
      </c>
      <c r="G21" s="643"/>
      <c r="H21" s="380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4"/>
      <c r="E22" s="645"/>
      <c r="F22" s="635">
        <f t="shared" si="0"/>
        <v>0</v>
      </c>
      <c r="G22" s="643"/>
      <c r="H22" s="380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72" t="s">
        <v>499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74"/>
      <c r="C5" s="392"/>
      <c r="D5" s="134"/>
      <c r="E5" s="208"/>
      <c r="F5" s="62"/>
      <c r="G5" s="5"/>
    </row>
    <row r="6" spans="1:9" ht="20.25" x14ac:dyDescent="0.3">
      <c r="A6" s="1165" t="s">
        <v>52</v>
      </c>
      <c r="B6" s="1274"/>
      <c r="C6" s="230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3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3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3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3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3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3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3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3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3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3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3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3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3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3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3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70" t="s">
        <v>11</v>
      </c>
      <c r="D83" s="1271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Q1" zoomScaleNormal="100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8" t="s">
        <v>321</v>
      </c>
      <c r="B1" s="1268"/>
      <c r="C1" s="1268"/>
      <c r="D1" s="1268"/>
      <c r="E1" s="1268"/>
      <c r="F1" s="1268"/>
      <c r="G1" s="1268"/>
      <c r="H1" s="11">
        <v>1</v>
      </c>
      <c r="K1" s="1268" t="str">
        <f>A1</f>
        <v>INVENTARIO   DEL MES DE    NOVIEMBRE 2022</v>
      </c>
      <c r="L1" s="1268"/>
      <c r="M1" s="1268"/>
      <c r="N1" s="1268"/>
      <c r="O1" s="1268"/>
      <c r="P1" s="1268"/>
      <c r="Q1" s="1268"/>
      <c r="R1" s="11">
        <v>2</v>
      </c>
      <c r="U1" s="1272" t="s">
        <v>340</v>
      </c>
      <c r="V1" s="1272"/>
      <c r="W1" s="1272"/>
      <c r="X1" s="1272"/>
      <c r="Y1" s="1272"/>
      <c r="Z1" s="1272"/>
      <c r="AA1" s="127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  <c r="U4" s="12"/>
      <c r="V4" s="12"/>
      <c r="W4" s="230"/>
      <c r="X4" s="134"/>
      <c r="Y4" s="78"/>
      <c r="Z4" s="62"/>
      <c r="AA4" s="155"/>
      <c r="AB4" s="155"/>
    </row>
    <row r="5" spans="1:29" ht="15" customHeight="1" x14ac:dyDescent="0.25">
      <c r="A5" s="226" t="s">
        <v>65</v>
      </c>
      <c r="B5" s="1275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275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  <c r="U5" s="226" t="s">
        <v>65</v>
      </c>
      <c r="V5" s="1275" t="s">
        <v>63</v>
      </c>
      <c r="W5" s="392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5"/>
      <c r="B6" s="1275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275"/>
      <c r="M6" s="484"/>
      <c r="N6" s="134"/>
      <c r="O6" s="69"/>
      <c r="P6" s="73"/>
      <c r="Q6" s="47">
        <f>P48</f>
        <v>0</v>
      </c>
      <c r="R6" s="7">
        <f>O6-Q6+O7+O5-Q5</f>
        <v>507.83</v>
      </c>
      <c r="U6" s="405"/>
      <c r="V6" s="1275"/>
      <c r="W6" s="484"/>
      <c r="X6" s="134"/>
      <c r="Y6" s="69"/>
      <c r="Z6" s="73"/>
      <c r="AA6" s="47">
        <f>Z48</f>
        <v>0</v>
      </c>
      <c r="AB6" s="7">
        <f>Y6-AA6+Y7+Y5-AA5</f>
        <v>503.78</v>
      </c>
    </row>
    <row r="7" spans="1:2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  <c r="V7" s="19"/>
      <c r="W7" s="230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25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24">
        <f>E6-F9+E5+E7+E4</f>
        <v>511.01000000000005</v>
      </c>
      <c r="K9" s="80" t="s">
        <v>32</v>
      </c>
      <c r="L9" s="825">
        <f>P6-M9+P5+P7+P4</f>
        <v>43</v>
      </c>
      <c r="M9" s="15"/>
      <c r="N9" s="69"/>
      <c r="O9" s="202"/>
      <c r="P9" s="69">
        <f>N9</f>
        <v>0</v>
      </c>
      <c r="Q9" s="70"/>
      <c r="R9" s="71"/>
      <c r="S9" s="824">
        <f>O6-P9+O5+O7+O4</f>
        <v>507.83</v>
      </c>
      <c r="U9" s="80" t="s">
        <v>32</v>
      </c>
      <c r="V9" s="897">
        <f>Z6-W9+Z5+Z7+Z4</f>
        <v>42</v>
      </c>
      <c r="W9" s="821"/>
      <c r="X9" s="702"/>
      <c r="Y9" s="733"/>
      <c r="Z9" s="702">
        <f>X9</f>
        <v>0</v>
      </c>
      <c r="AA9" s="700"/>
      <c r="AB9" s="701"/>
      <c r="AC9" s="737">
        <f>Y6-Z9+Y5+Y7+Y4</f>
        <v>503.78</v>
      </c>
    </row>
    <row r="10" spans="1:29" x14ac:dyDescent="0.25">
      <c r="A10" s="194"/>
      <c r="B10" s="83">
        <f>B9-C10</f>
        <v>42</v>
      </c>
      <c r="C10" s="15">
        <v>1</v>
      </c>
      <c r="D10" s="839">
        <v>12.2</v>
      </c>
      <c r="E10" s="840">
        <v>44872</v>
      </c>
      <c r="F10" s="839">
        <f>D10</f>
        <v>12.2</v>
      </c>
      <c r="G10" s="841" t="s">
        <v>248</v>
      </c>
      <c r="H10" s="842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  <c r="U10" s="194"/>
      <c r="V10" s="83">
        <f>V9-W10</f>
        <v>42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503.78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9">
        <v>118.47</v>
      </c>
      <c r="E11" s="840">
        <v>44872</v>
      </c>
      <c r="F11" s="839">
        <f>D11</f>
        <v>118.47</v>
      </c>
      <c r="G11" s="841" t="s">
        <v>250</v>
      </c>
      <c r="H11" s="842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  <c r="U11" s="182"/>
      <c r="V11" s="83">
        <f t="shared" ref="V11:V45" si="4">V10-W11</f>
        <v>42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503.78</v>
      </c>
    </row>
    <row r="12" spans="1:29" x14ac:dyDescent="0.25">
      <c r="A12" s="182"/>
      <c r="B12" s="83">
        <f t="shared" si="0"/>
        <v>27</v>
      </c>
      <c r="C12" s="15">
        <v>5</v>
      </c>
      <c r="D12" s="839">
        <v>59.94</v>
      </c>
      <c r="E12" s="840">
        <v>44876</v>
      </c>
      <c r="F12" s="839">
        <f>D12</f>
        <v>59.94</v>
      </c>
      <c r="G12" s="841" t="s">
        <v>262</v>
      </c>
      <c r="H12" s="842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  <c r="U12" s="182"/>
      <c r="V12" s="83">
        <f t="shared" si="4"/>
        <v>42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503.78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9">
        <v>119.76</v>
      </c>
      <c r="E13" s="840">
        <v>44882</v>
      </c>
      <c r="F13" s="839">
        <f t="shared" ref="F13:F45" si="6">D13</f>
        <v>119.76</v>
      </c>
      <c r="G13" s="841" t="s">
        <v>282</v>
      </c>
      <c r="H13" s="842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7">N13</f>
        <v>0</v>
      </c>
      <c r="Q13" s="70"/>
      <c r="R13" s="71"/>
      <c r="S13" s="105">
        <f t="shared" si="3"/>
        <v>507.83</v>
      </c>
      <c r="U13" s="82" t="s">
        <v>33</v>
      </c>
      <c r="V13" s="83">
        <f t="shared" si="4"/>
        <v>42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503.78</v>
      </c>
    </row>
    <row r="14" spans="1:29" x14ac:dyDescent="0.25">
      <c r="A14" s="73"/>
      <c r="B14" s="825">
        <f t="shared" si="0"/>
        <v>9</v>
      </c>
      <c r="C14" s="15">
        <v>8</v>
      </c>
      <c r="D14" s="839">
        <v>94.28</v>
      </c>
      <c r="E14" s="840">
        <v>44887</v>
      </c>
      <c r="F14" s="839">
        <f t="shared" si="6"/>
        <v>94.28</v>
      </c>
      <c r="G14" s="841" t="s">
        <v>295</v>
      </c>
      <c r="H14" s="842">
        <v>98</v>
      </c>
      <c r="I14" s="824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7"/>
        <v>0</v>
      </c>
      <c r="Q14" s="70"/>
      <c r="R14" s="71"/>
      <c r="S14" s="105">
        <f t="shared" si="3"/>
        <v>507.83</v>
      </c>
      <c r="U14" s="73"/>
      <c r="V14" s="83">
        <f t="shared" si="4"/>
        <v>42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503.78</v>
      </c>
    </row>
    <row r="15" spans="1:29" x14ac:dyDescent="0.25">
      <c r="A15" s="73"/>
      <c r="B15" s="83">
        <f t="shared" si="0"/>
        <v>9</v>
      </c>
      <c r="C15" s="15"/>
      <c r="D15" s="537"/>
      <c r="E15" s="732"/>
      <c r="F15" s="537">
        <f t="shared" si="6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507.83</v>
      </c>
      <c r="U15" s="73"/>
      <c r="V15" s="83">
        <f t="shared" si="4"/>
        <v>42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503.78</v>
      </c>
    </row>
    <row r="16" spans="1:29" x14ac:dyDescent="0.25">
      <c r="B16" s="83">
        <f t="shared" si="0"/>
        <v>9</v>
      </c>
      <c r="C16" s="15"/>
      <c r="D16" s="537"/>
      <c r="E16" s="732"/>
      <c r="F16" s="537">
        <f t="shared" si="6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7"/>
        <v>0</v>
      </c>
      <c r="Q16" s="70"/>
      <c r="R16" s="71"/>
      <c r="S16" s="105">
        <f t="shared" si="3"/>
        <v>507.83</v>
      </c>
      <c r="V16" s="83">
        <f t="shared" si="4"/>
        <v>42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503.78</v>
      </c>
    </row>
    <row r="17" spans="1:29" x14ac:dyDescent="0.25">
      <c r="B17" s="83">
        <f t="shared" si="0"/>
        <v>9</v>
      </c>
      <c r="C17" s="15"/>
      <c r="D17" s="537"/>
      <c r="E17" s="732"/>
      <c r="F17" s="537">
        <f t="shared" si="6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7"/>
        <v>0</v>
      </c>
      <c r="Q17" s="70"/>
      <c r="R17" s="71"/>
      <c r="S17" s="105">
        <f t="shared" si="3"/>
        <v>507.83</v>
      </c>
      <c r="V17" s="83">
        <f t="shared" si="4"/>
        <v>42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503.78</v>
      </c>
    </row>
    <row r="18" spans="1:29" x14ac:dyDescent="0.25">
      <c r="A18" s="122"/>
      <c r="B18" s="83">
        <f t="shared" si="0"/>
        <v>9</v>
      </c>
      <c r="C18" s="15"/>
      <c r="D18" s="537"/>
      <c r="E18" s="732"/>
      <c r="F18" s="537">
        <f t="shared" si="6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7"/>
        <v>0</v>
      </c>
      <c r="Q18" s="70"/>
      <c r="R18" s="71"/>
      <c r="S18" s="105">
        <f t="shared" si="3"/>
        <v>507.83</v>
      </c>
      <c r="U18" s="122"/>
      <c r="V18" s="83">
        <f t="shared" si="4"/>
        <v>42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503.78</v>
      </c>
    </row>
    <row r="19" spans="1:29" x14ac:dyDescent="0.25">
      <c r="A19" s="122"/>
      <c r="B19" s="83">
        <f t="shared" si="0"/>
        <v>9</v>
      </c>
      <c r="C19" s="15"/>
      <c r="D19" s="537"/>
      <c r="E19" s="732"/>
      <c r="F19" s="537">
        <f t="shared" si="6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7"/>
        <v>0</v>
      </c>
      <c r="Q19" s="70"/>
      <c r="R19" s="71"/>
      <c r="S19" s="105">
        <f t="shared" si="3"/>
        <v>507.83</v>
      </c>
      <c r="U19" s="122"/>
      <c r="V19" s="83">
        <f t="shared" si="4"/>
        <v>42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503.78</v>
      </c>
    </row>
    <row r="20" spans="1:29" x14ac:dyDescent="0.25">
      <c r="A20" s="122"/>
      <c r="B20" s="83">
        <f t="shared" si="0"/>
        <v>9</v>
      </c>
      <c r="C20" s="15"/>
      <c r="D20" s="537"/>
      <c r="E20" s="732"/>
      <c r="F20" s="537">
        <f t="shared" si="6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507.83</v>
      </c>
      <c r="U20" s="122"/>
      <c r="V20" s="83">
        <f t="shared" si="4"/>
        <v>42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503.78</v>
      </c>
    </row>
    <row r="21" spans="1:29" x14ac:dyDescent="0.25">
      <c r="A21" s="122"/>
      <c r="B21" s="83">
        <f t="shared" si="0"/>
        <v>9</v>
      </c>
      <c r="C21" s="15"/>
      <c r="D21" s="537"/>
      <c r="E21" s="732"/>
      <c r="F21" s="537">
        <f t="shared" si="6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507.83</v>
      </c>
      <c r="U21" s="122"/>
      <c r="V21" s="83">
        <f t="shared" si="4"/>
        <v>42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503.78</v>
      </c>
    </row>
    <row r="22" spans="1:29" x14ac:dyDescent="0.25">
      <c r="A22" s="122"/>
      <c r="B22" s="233">
        <f t="shared" si="0"/>
        <v>9</v>
      </c>
      <c r="C22" s="15"/>
      <c r="D22" s="537"/>
      <c r="E22" s="732"/>
      <c r="F22" s="537">
        <f t="shared" si="6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507.83</v>
      </c>
      <c r="U22" s="122"/>
      <c r="V22" s="233">
        <f t="shared" si="4"/>
        <v>42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503.78</v>
      </c>
    </row>
    <row r="23" spans="1:29" x14ac:dyDescent="0.25">
      <c r="A23" s="123"/>
      <c r="B23" s="233">
        <f t="shared" si="0"/>
        <v>9</v>
      </c>
      <c r="C23" s="15"/>
      <c r="D23" s="537"/>
      <c r="E23" s="732"/>
      <c r="F23" s="537">
        <f t="shared" si="6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507.83</v>
      </c>
      <c r="U23" s="123"/>
      <c r="V23" s="233">
        <f t="shared" si="4"/>
        <v>42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503.78</v>
      </c>
    </row>
    <row r="24" spans="1:29" x14ac:dyDescent="0.25">
      <c r="A24" s="122"/>
      <c r="B24" s="233">
        <f t="shared" si="0"/>
        <v>9</v>
      </c>
      <c r="C24" s="15"/>
      <c r="D24" s="537"/>
      <c r="E24" s="732"/>
      <c r="F24" s="537">
        <f t="shared" si="6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507.83</v>
      </c>
      <c r="U24" s="122"/>
      <c r="V24" s="233">
        <f t="shared" si="4"/>
        <v>42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503.78</v>
      </c>
    </row>
    <row r="25" spans="1:29" x14ac:dyDescent="0.25">
      <c r="A25" s="122"/>
      <c r="B25" s="233">
        <f t="shared" si="0"/>
        <v>9</v>
      </c>
      <c r="C25" s="15"/>
      <c r="D25" s="537"/>
      <c r="E25" s="732"/>
      <c r="F25" s="537">
        <f t="shared" si="6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507.83</v>
      </c>
      <c r="U25" s="122"/>
      <c r="V25" s="233">
        <f t="shared" si="4"/>
        <v>42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503.78</v>
      </c>
    </row>
    <row r="26" spans="1:29" x14ac:dyDescent="0.25">
      <c r="A26" s="122"/>
      <c r="B26" s="182">
        <f t="shared" si="0"/>
        <v>9</v>
      </c>
      <c r="C26" s="15"/>
      <c r="D26" s="537"/>
      <c r="E26" s="732"/>
      <c r="F26" s="537">
        <f t="shared" si="6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507.83</v>
      </c>
      <c r="U26" s="122"/>
      <c r="V26" s="182">
        <f t="shared" si="4"/>
        <v>42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503.78</v>
      </c>
    </row>
    <row r="27" spans="1:29" x14ac:dyDescent="0.25">
      <c r="A27" s="122"/>
      <c r="B27" s="233">
        <f t="shared" si="0"/>
        <v>9</v>
      </c>
      <c r="C27" s="15"/>
      <c r="D27" s="537"/>
      <c r="E27" s="732"/>
      <c r="F27" s="537">
        <f t="shared" si="6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507.83</v>
      </c>
      <c r="U27" s="122"/>
      <c r="V27" s="233">
        <f t="shared" si="4"/>
        <v>42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503.78</v>
      </c>
    </row>
    <row r="28" spans="1:29" x14ac:dyDescent="0.25">
      <c r="A28" s="122"/>
      <c r="B28" s="182">
        <f t="shared" si="0"/>
        <v>9</v>
      </c>
      <c r="C28" s="15"/>
      <c r="D28" s="537"/>
      <c r="E28" s="732"/>
      <c r="F28" s="537">
        <f t="shared" si="6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507.83</v>
      </c>
      <c r="U28" s="122"/>
      <c r="V28" s="182">
        <f t="shared" si="4"/>
        <v>42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503.78</v>
      </c>
    </row>
    <row r="29" spans="1:29" x14ac:dyDescent="0.25">
      <c r="A29" s="122"/>
      <c r="B29" s="233">
        <f t="shared" si="0"/>
        <v>9</v>
      </c>
      <c r="C29" s="15"/>
      <c r="D29" s="537"/>
      <c r="E29" s="732"/>
      <c r="F29" s="537">
        <f t="shared" si="6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507.83</v>
      </c>
      <c r="U29" s="122"/>
      <c r="V29" s="233">
        <f t="shared" si="4"/>
        <v>42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503.78</v>
      </c>
    </row>
    <row r="30" spans="1:29" x14ac:dyDescent="0.25">
      <c r="A30" s="122"/>
      <c r="B30" s="233">
        <f t="shared" si="0"/>
        <v>9</v>
      </c>
      <c r="C30" s="15"/>
      <c r="D30" s="537"/>
      <c r="E30" s="732"/>
      <c r="F30" s="537">
        <f t="shared" si="6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507.83</v>
      </c>
      <c r="U30" s="122"/>
      <c r="V30" s="233">
        <f t="shared" si="4"/>
        <v>42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503.78</v>
      </c>
    </row>
    <row r="31" spans="1:29" x14ac:dyDescent="0.25">
      <c r="A31" s="122"/>
      <c r="B31" s="233">
        <f t="shared" si="0"/>
        <v>9</v>
      </c>
      <c r="C31" s="15"/>
      <c r="D31" s="537"/>
      <c r="E31" s="732"/>
      <c r="F31" s="537">
        <f t="shared" si="6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507.83</v>
      </c>
      <c r="U31" s="122"/>
      <c r="V31" s="233">
        <f t="shared" si="4"/>
        <v>42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503.78</v>
      </c>
    </row>
    <row r="32" spans="1:29" x14ac:dyDescent="0.25">
      <c r="A32" s="122"/>
      <c r="B32" s="233">
        <f t="shared" si="0"/>
        <v>9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507.83</v>
      </c>
      <c r="U32" s="122"/>
      <c r="V32" s="233">
        <f t="shared" si="4"/>
        <v>42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503.78</v>
      </c>
    </row>
    <row r="33" spans="1:29" x14ac:dyDescent="0.25">
      <c r="A33" s="122"/>
      <c r="B33" s="233">
        <f t="shared" si="0"/>
        <v>9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507.83</v>
      </c>
      <c r="U33" s="122"/>
      <c r="V33" s="233">
        <f t="shared" si="4"/>
        <v>42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503.78</v>
      </c>
    </row>
    <row r="34" spans="1:29" x14ac:dyDescent="0.25">
      <c r="A34" s="122"/>
      <c r="B34" s="233">
        <f t="shared" si="0"/>
        <v>9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507.83</v>
      </c>
      <c r="U34" s="122"/>
      <c r="V34" s="233">
        <f t="shared" si="4"/>
        <v>42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503.78</v>
      </c>
    </row>
    <row r="35" spans="1:29" x14ac:dyDescent="0.25">
      <c r="A35" s="122"/>
      <c r="B35" s="233">
        <f t="shared" si="0"/>
        <v>9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507.83</v>
      </c>
      <c r="U35" s="122"/>
      <c r="V35" s="233">
        <f t="shared" si="4"/>
        <v>42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503.78</v>
      </c>
    </row>
    <row r="36" spans="1:2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507.83</v>
      </c>
      <c r="U36" s="122" t="s">
        <v>22</v>
      </c>
      <c r="V36" s="233">
        <f t="shared" si="4"/>
        <v>42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503.78</v>
      </c>
    </row>
    <row r="37" spans="1:29" x14ac:dyDescent="0.25">
      <c r="A37" s="123"/>
      <c r="B37" s="233">
        <f t="shared" si="0"/>
        <v>9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507.83</v>
      </c>
      <c r="U37" s="123"/>
      <c r="V37" s="233">
        <f t="shared" si="4"/>
        <v>42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503.78</v>
      </c>
    </row>
    <row r="38" spans="1:29" x14ac:dyDescent="0.25">
      <c r="A38" s="122"/>
      <c r="B38" s="233">
        <f t="shared" si="0"/>
        <v>9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507.83</v>
      </c>
      <c r="U38" s="122"/>
      <c r="V38" s="233">
        <f t="shared" si="4"/>
        <v>42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503.78</v>
      </c>
    </row>
    <row r="39" spans="1:29" x14ac:dyDescent="0.25">
      <c r="A39" s="122"/>
      <c r="B39" s="83">
        <f t="shared" si="0"/>
        <v>9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507.83</v>
      </c>
      <c r="U39" s="122"/>
      <c r="V39" s="83">
        <f t="shared" si="4"/>
        <v>42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503.78</v>
      </c>
    </row>
    <row r="40" spans="1:29" x14ac:dyDescent="0.25">
      <c r="A40" s="122"/>
      <c r="B40" s="83">
        <f t="shared" si="0"/>
        <v>9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507.83</v>
      </c>
      <c r="U40" s="122"/>
      <c r="V40" s="83">
        <f t="shared" si="4"/>
        <v>42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503.78</v>
      </c>
    </row>
    <row r="41" spans="1:29" x14ac:dyDescent="0.25">
      <c r="A41" s="122"/>
      <c r="B41" s="83">
        <f t="shared" si="0"/>
        <v>9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507.83</v>
      </c>
      <c r="U41" s="122"/>
      <c r="V41" s="83">
        <f t="shared" si="4"/>
        <v>42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503.78</v>
      </c>
    </row>
    <row r="42" spans="1:29" x14ac:dyDescent="0.25">
      <c r="A42" s="122"/>
      <c r="B42" s="83">
        <f t="shared" si="0"/>
        <v>9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507.83</v>
      </c>
      <c r="U42" s="122"/>
      <c r="V42" s="83">
        <f t="shared" si="4"/>
        <v>42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503.78</v>
      </c>
    </row>
    <row r="43" spans="1:29" x14ac:dyDescent="0.25">
      <c r="A43" s="122"/>
      <c r="B43" s="83">
        <f t="shared" si="0"/>
        <v>9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507.83</v>
      </c>
      <c r="U43" s="122"/>
      <c r="V43" s="83">
        <f t="shared" si="4"/>
        <v>42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503.78</v>
      </c>
    </row>
    <row r="44" spans="1:29" x14ac:dyDescent="0.25">
      <c r="A44" s="122"/>
      <c r="B44" s="83">
        <f t="shared" si="0"/>
        <v>9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507.83</v>
      </c>
      <c r="U44" s="122"/>
      <c r="V44" s="83">
        <f t="shared" si="4"/>
        <v>42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503.78</v>
      </c>
    </row>
    <row r="45" spans="1:2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507.83</v>
      </c>
      <c r="U45" s="122"/>
      <c r="V45" s="83">
        <f t="shared" si="4"/>
        <v>42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503.78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  <c r="X51" s="45" t="s">
        <v>4</v>
      </c>
      <c r="Y51" s="56">
        <f>Z5+Z6-W48+Z7</f>
        <v>42</v>
      </c>
    </row>
    <row r="52" spans="3:26" ht="15.75" thickBot="1" x14ac:dyDescent="0.3"/>
    <row r="53" spans="3:26" ht="15.75" thickBot="1" x14ac:dyDescent="0.3">
      <c r="C53" s="1270" t="s">
        <v>11</v>
      </c>
      <c r="D53" s="1271"/>
      <c r="E53" s="57">
        <f>E5+E6-F48+E7</f>
        <v>94.550000000000068</v>
      </c>
      <c r="F53" s="73"/>
      <c r="M53" s="1270" t="s">
        <v>11</v>
      </c>
      <c r="N53" s="1271"/>
      <c r="O53" s="57">
        <f>O5+O6-P48+O7</f>
        <v>507.83</v>
      </c>
      <c r="P53" s="73"/>
      <c r="W53" s="1270" t="s">
        <v>11</v>
      </c>
      <c r="X53" s="1271"/>
      <c r="Y53" s="57">
        <f>Y5+Y6-Z48+Y7</f>
        <v>503.78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6">
        <v>44894</v>
      </c>
      <c r="E4" s="1032">
        <v>248.57</v>
      </c>
      <c r="F4" s="883">
        <v>21</v>
      </c>
      <c r="G4" s="155"/>
      <c r="H4" s="155"/>
    </row>
    <row r="5" spans="1:9" ht="15.75" customHeight="1" x14ac:dyDescent="0.25">
      <c r="A5" s="226" t="s">
        <v>62</v>
      </c>
      <c r="B5" s="1276" t="s">
        <v>72</v>
      </c>
      <c r="C5" s="591">
        <v>85</v>
      </c>
      <c r="D5" s="1030">
        <v>44897</v>
      </c>
      <c r="E5" s="853">
        <v>106.18</v>
      </c>
      <c r="F5" s="883">
        <v>9</v>
      </c>
      <c r="G5" s="5"/>
    </row>
    <row r="6" spans="1:9" x14ac:dyDescent="0.25">
      <c r="A6" s="226"/>
      <c r="B6" s="1276"/>
      <c r="C6" s="392">
        <v>85</v>
      </c>
      <c r="D6" s="716">
        <v>44911</v>
      </c>
      <c r="E6" s="1031">
        <v>508.54</v>
      </c>
      <c r="F6" s="883">
        <v>43</v>
      </c>
      <c r="G6" s="47">
        <f>F42</f>
        <v>0</v>
      </c>
      <c r="H6" s="7">
        <f>E6-G6+E7+E5-G5+E4</f>
        <v>863.29</v>
      </c>
    </row>
    <row r="7" spans="1:9" ht="15.75" thickBot="1" x14ac:dyDescent="0.3">
      <c r="B7" s="19"/>
      <c r="C7" s="392"/>
      <c r="D7" s="716"/>
      <c r="E7" s="1032"/>
      <c r="F7" s="88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97">
        <f>F6-C9+F5+F7+F4</f>
        <v>73</v>
      </c>
      <c r="C9" s="821"/>
      <c r="D9" s="702"/>
      <c r="E9" s="733"/>
      <c r="F9" s="702">
        <f t="shared" ref="F9:F40" si="0">D9</f>
        <v>0</v>
      </c>
      <c r="G9" s="700"/>
      <c r="H9" s="701"/>
      <c r="I9" s="737">
        <f>E6-F9+E5+E7+E4</f>
        <v>863.29</v>
      </c>
    </row>
    <row r="10" spans="1:9" x14ac:dyDescent="0.25">
      <c r="A10" s="194"/>
      <c r="B10" s="897">
        <f>B9-C10</f>
        <v>73</v>
      </c>
      <c r="C10" s="714"/>
      <c r="D10" s="702"/>
      <c r="E10" s="733"/>
      <c r="F10" s="702">
        <f t="shared" si="0"/>
        <v>0</v>
      </c>
      <c r="G10" s="700"/>
      <c r="H10" s="701"/>
      <c r="I10" s="737">
        <f>I9-F10</f>
        <v>863.29</v>
      </c>
    </row>
    <row r="11" spans="1:9" x14ac:dyDescent="0.25">
      <c r="A11" s="182"/>
      <c r="B11" s="897">
        <f t="shared" ref="B11:B40" si="1">B10-C11</f>
        <v>73</v>
      </c>
      <c r="C11" s="714"/>
      <c r="D11" s="702"/>
      <c r="E11" s="733"/>
      <c r="F11" s="702">
        <f t="shared" si="0"/>
        <v>0</v>
      </c>
      <c r="G11" s="700"/>
      <c r="H11" s="701"/>
      <c r="I11" s="737">
        <f t="shared" ref="I11:I40" si="2">I10-F11</f>
        <v>863.29</v>
      </c>
    </row>
    <row r="12" spans="1:9" x14ac:dyDescent="0.25">
      <c r="A12" s="182"/>
      <c r="B12" s="897">
        <f t="shared" si="1"/>
        <v>73</v>
      </c>
      <c r="C12" s="714"/>
      <c r="D12" s="702"/>
      <c r="E12" s="733"/>
      <c r="F12" s="702">
        <f t="shared" si="0"/>
        <v>0</v>
      </c>
      <c r="G12" s="700"/>
      <c r="H12" s="701"/>
      <c r="I12" s="737">
        <f t="shared" si="2"/>
        <v>863.29</v>
      </c>
    </row>
    <row r="13" spans="1:9" x14ac:dyDescent="0.25">
      <c r="A13" s="82" t="s">
        <v>33</v>
      </c>
      <c r="B13" s="897">
        <f t="shared" si="1"/>
        <v>73</v>
      </c>
      <c r="C13" s="714"/>
      <c r="D13" s="702"/>
      <c r="E13" s="733"/>
      <c r="F13" s="702">
        <f t="shared" si="0"/>
        <v>0</v>
      </c>
      <c r="G13" s="700"/>
      <c r="H13" s="701"/>
      <c r="I13" s="737">
        <f t="shared" si="2"/>
        <v>863.29</v>
      </c>
    </row>
    <row r="14" spans="1:9" x14ac:dyDescent="0.25">
      <c r="A14" s="73"/>
      <c r="B14" s="897">
        <f t="shared" si="1"/>
        <v>73</v>
      </c>
      <c r="C14" s="714"/>
      <c r="D14" s="702"/>
      <c r="E14" s="733"/>
      <c r="F14" s="702">
        <f t="shared" si="0"/>
        <v>0</v>
      </c>
      <c r="G14" s="700"/>
      <c r="H14" s="701"/>
      <c r="I14" s="737">
        <f t="shared" si="2"/>
        <v>863.29</v>
      </c>
    </row>
    <row r="15" spans="1:9" x14ac:dyDescent="0.25">
      <c r="A15" s="73"/>
      <c r="B15" s="897">
        <f t="shared" si="1"/>
        <v>73</v>
      </c>
      <c r="C15" s="714"/>
      <c r="D15" s="702"/>
      <c r="E15" s="733"/>
      <c r="F15" s="702">
        <f t="shared" si="0"/>
        <v>0</v>
      </c>
      <c r="G15" s="700"/>
      <c r="H15" s="701"/>
      <c r="I15" s="737">
        <f t="shared" si="2"/>
        <v>863.29</v>
      </c>
    </row>
    <row r="16" spans="1:9" x14ac:dyDescent="0.25">
      <c r="B16" s="897">
        <f t="shared" si="1"/>
        <v>73</v>
      </c>
      <c r="C16" s="714"/>
      <c r="D16" s="702"/>
      <c r="E16" s="733"/>
      <c r="F16" s="702">
        <f t="shared" si="0"/>
        <v>0</v>
      </c>
      <c r="G16" s="700"/>
      <c r="H16" s="701"/>
      <c r="I16" s="737">
        <f t="shared" si="2"/>
        <v>863.29</v>
      </c>
    </row>
    <row r="17" spans="1:9" x14ac:dyDescent="0.25">
      <c r="B17" s="897">
        <f t="shared" si="1"/>
        <v>73</v>
      </c>
      <c r="C17" s="714"/>
      <c r="D17" s="702"/>
      <c r="E17" s="733"/>
      <c r="F17" s="702">
        <f t="shared" si="0"/>
        <v>0</v>
      </c>
      <c r="G17" s="700"/>
      <c r="H17" s="701"/>
      <c r="I17" s="737">
        <f t="shared" si="2"/>
        <v>863.29</v>
      </c>
    </row>
    <row r="18" spans="1:9" x14ac:dyDescent="0.25">
      <c r="A18" s="122"/>
      <c r="B18" s="897">
        <f t="shared" si="1"/>
        <v>73</v>
      </c>
      <c r="C18" s="714"/>
      <c r="D18" s="702"/>
      <c r="E18" s="733"/>
      <c r="F18" s="702">
        <f t="shared" si="0"/>
        <v>0</v>
      </c>
      <c r="G18" s="700"/>
      <c r="H18" s="701"/>
      <c r="I18" s="737">
        <f t="shared" si="2"/>
        <v>863.29</v>
      </c>
    </row>
    <row r="19" spans="1:9" x14ac:dyDescent="0.25">
      <c r="A19" s="122"/>
      <c r="B19" s="83">
        <f t="shared" si="1"/>
        <v>73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863.29</v>
      </c>
    </row>
    <row r="20" spans="1:9" x14ac:dyDescent="0.25">
      <c r="A20" s="122"/>
      <c r="B20" s="83">
        <f t="shared" si="1"/>
        <v>73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863.29</v>
      </c>
    </row>
    <row r="21" spans="1:9" x14ac:dyDescent="0.25">
      <c r="A21" s="122"/>
      <c r="B21" s="83">
        <f t="shared" si="1"/>
        <v>73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863.29</v>
      </c>
    </row>
    <row r="22" spans="1:9" x14ac:dyDescent="0.25">
      <c r="A22" s="122"/>
      <c r="B22" s="233">
        <f t="shared" si="1"/>
        <v>73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863.29</v>
      </c>
    </row>
    <row r="23" spans="1:9" x14ac:dyDescent="0.25">
      <c r="A23" s="123"/>
      <c r="B23" s="233">
        <f t="shared" si="1"/>
        <v>73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863.29</v>
      </c>
    </row>
    <row r="24" spans="1:9" x14ac:dyDescent="0.25">
      <c r="A24" s="122"/>
      <c r="B24" s="233">
        <f t="shared" si="1"/>
        <v>73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863.29</v>
      </c>
    </row>
    <row r="25" spans="1:9" x14ac:dyDescent="0.25">
      <c r="A25" s="122"/>
      <c r="B25" s="233">
        <f t="shared" si="1"/>
        <v>73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863.29</v>
      </c>
    </row>
    <row r="26" spans="1:9" x14ac:dyDescent="0.25">
      <c r="A26" s="122"/>
      <c r="B26" s="182">
        <f t="shared" si="1"/>
        <v>73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863.29</v>
      </c>
    </row>
    <row r="27" spans="1:9" x14ac:dyDescent="0.25">
      <c r="A27" s="122"/>
      <c r="B27" s="233">
        <f t="shared" si="1"/>
        <v>73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863.29</v>
      </c>
    </row>
    <row r="28" spans="1:9" x14ac:dyDescent="0.25">
      <c r="A28" s="122"/>
      <c r="B28" s="182">
        <f t="shared" si="1"/>
        <v>73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863.29</v>
      </c>
    </row>
    <row r="29" spans="1:9" x14ac:dyDescent="0.25">
      <c r="A29" s="122"/>
      <c r="B29" s="233">
        <f t="shared" si="1"/>
        <v>73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863.29</v>
      </c>
    </row>
    <row r="30" spans="1:9" x14ac:dyDescent="0.25">
      <c r="A30" s="122"/>
      <c r="B30" s="233">
        <f t="shared" si="1"/>
        <v>73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863.29</v>
      </c>
    </row>
    <row r="31" spans="1:9" x14ac:dyDescent="0.25">
      <c r="A31" s="122"/>
      <c r="B31" s="233">
        <f t="shared" si="1"/>
        <v>73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863.29</v>
      </c>
    </row>
    <row r="32" spans="1:9" x14ac:dyDescent="0.25">
      <c r="A32" s="122"/>
      <c r="B32" s="233">
        <f t="shared" si="1"/>
        <v>73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863.29</v>
      </c>
    </row>
    <row r="33" spans="1:9" x14ac:dyDescent="0.25">
      <c r="A33" s="122"/>
      <c r="B33" s="233">
        <f t="shared" si="1"/>
        <v>73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863.29</v>
      </c>
    </row>
    <row r="34" spans="1:9" x14ac:dyDescent="0.25">
      <c r="A34" s="122"/>
      <c r="B34" s="233">
        <f t="shared" si="1"/>
        <v>73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863.29</v>
      </c>
    </row>
    <row r="35" spans="1:9" x14ac:dyDescent="0.25">
      <c r="A35" s="122"/>
      <c r="B35" s="233">
        <f t="shared" si="1"/>
        <v>73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863.29</v>
      </c>
    </row>
    <row r="36" spans="1:9" x14ac:dyDescent="0.25">
      <c r="A36" s="122" t="s">
        <v>22</v>
      </c>
      <c r="B36" s="233">
        <f t="shared" si="1"/>
        <v>73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863.29</v>
      </c>
    </row>
    <row r="37" spans="1:9" x14ac:dyDescent="0.25">
      <c r="A37" s="123"/>
      <c r="B37" s="233">
        <f t="shared" si="1"/>
        <v>73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863.29</v>
      </c>
    </row>
    <row r="38" spans="1:9" x14ac:dyDescent="0.25">
      <c r="A38" s="122"/>
      <c r="B38" s="233">
        <f t="shared" si="1"/>
        <v>73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863.29</v>
      </c>
    </row>
    <row r="39" spans="1:9" x14ac:dyDescent="0.25">
      <c r="A39" s="122"/>
      <c r="B39" s="83">
        <f t="shared" si="1"/>
        <v>73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863.29</v>
      </c>
    </row>
    <row r="40" spans="1:9" x14ac:dyDescent="0.25">
      <c r="A40" s="122"/>
      <c r="B40" s="83">
        <f t="shared" si="1"/>
        <v>73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863.29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52</v>
      </c>
    </row>
    <row r="46" spans="1:9" ht="15.75" thickBot="1" x14ac:dyDescent="0.3"/>
    <row r="47" spans="1:9" ht="15.75" thickBot="1" x14ac:dyDescent="0.3">
      <c r="C47" s="1270" t="s">
        <v>11</v>
      </c>
      <c r="D47" s="1271"/>
      <c r="E47" s="57">
        <f>E5+E6-F42+E7</f>
        <v>614.72</v>
      </c>
      <c r="F47" s="73"/>
    </row>
    <row r="50" spans="1:7" x14ac:dyDescent="0.25">
      <c r="A50" s="226"/>
      <c r="B50" s="1273"/>
      <c r="C50" s="483"/>
      <c r="D50" s="232"/>
      <c r="E50" s="78"/>
      <c r="F50" s="62"/>
      <c r="G50" s="5"/>
    </row>
    <row r="51" spans="1:7" x14ac:dyDescent="0.25">
      <c r="A51" s="226"/>
      <c r="B51" s="1273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8" t="s">
        <v>227</v>
      </c>
      <c r="B1" s="1268"/>
      <c r="C1" s="1268"/>
      <c r="D1" s="1268"/>
      <c r="E1" s="1268"/>
      <c r="F1" s="1268"/>
      <c r="G1" s="1268"/>
      <c r="H1" s="11">
        <v>1</v>
      </c>
      <c r="K1" s="1272" t="s">
        <v>339</v>
      </c>
      <c r="L1" s="1272"/>
      <c r="M1" s="1272"/>
      <c r="N1" s="1272"/>
      <c r="O1" s="1272"/>
      <c r="P1" s="1272"/>
      <c r="Q1" s="12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274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274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274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274"/>
      <c r="M6" s="392">
        <v>99</v>
      </c>
      <c r="N6" s="134">
        <v>44911</v>
      </c>
      <c r="O6" s="208">
        <v>1008.29</v>
      </c>
      <c r="P6" s="62">
        <v>82</v>
      </c>
      <c r="Q6" s="47">
        <f>P78</f>
        <v>0</v>
      </c>
      <c r="R6" s="7">
        <f>O6-Q6+O7+O5-Q5+O4</f>
        <v>2013.1599999999999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2013.1599999999999</v>
      </c>
    </row>
    <row r="10" spans="1:19" x14ac:dyDescent="0.25">
      <c r="A10" s="194"/>
      <c r="B10" s="889">
        <f>B9-C10</f>
        <v>114</v>
      </c>
      <c r="C10" s="821">
        <v>10</v>
      </c>
      <c r="D10" s="702">
        <v>122.47</v>
      </c>
      <c r="E10" s="733">
        <v>44877</v>
      </c>
      <c r="F10" s="702">
        <f t="shared" ref="F10:F72" si="2">D10</f>
        <v>122.47</v>
      </c>
      <c r="G10" s="700" t="s">
        <v>269</v>
      </c>
      <c r="H10" s="701">
        <v>101</v>
      </c>
      <c r="I10" s="737">
        <f>I9-F10</f>
        <v>1363.1699999999998</v>
      </c>
      <c r="K10" s="194"/>
      <c r="L10" s="889">
        <f>L9-M10</f>
        <v>166</v>
      </c>
      <c r="M10" s="821"/>
      <c r="N10" s="702"/>
      <c r="O10" s="733"/>
      <c r="P10" s="702">
        <f t="shared" si="1"/>
        <v>0</v>
      </c>
      <c r="Q10" s="700"/>
      <c r="R10" s="701"/>
      <c r="S10" s="737">
        <f>S9-P10</f>
        <v>2013.1599999999999</v>
      </c>
    </row>
    <row r="11" spans="1:19" x14ac:dyDescent="0.25">
      <c r="A11" s="182"/>
      <c r="B11" s="889">
        <f t="shared" ref="B11:B74" si="3">B10-C11</f>
        <v>104</v>
      </c>
      <c r="C11" s="821">
        <v>10</v>
      </c>
      <c r="D11" s="702">
        <v>120.75</v>
      </c>
      <c r="E11" s="733">
        <v>44877</v>
      </c>
      <c r="F11" s="702">
        <f t="shared" si="2"/>
        <v>120.75</v>
      </c>
      <c r="G11" s="700" t="s">
        <v>271</v>
      </c>
      <c r="H11" s="701">
        <v>101</v>
      </c>
      <c r="I11" s="737">
        <f t="shared" ref="I11:I74" si="4">I10-F11</f>
        <v>1242.4199999999998</v>
      </c>
      <c r="K11" s="182"/>
      <c r="L11" s="889">
        <f t="shared" ref="L11:L74" si="5">L10-M11</f>
        <v>166</v>
      </c>
      <c r="M11" s="821"/>
      <c r="N11" s="702"/>
      <c r="O11" s="733"/>
      <c r="P11" s="702">
        <f t="shared" si="1"/>
        <v>0</v>
      </c>
      <c r="Q11" s="700"/>
      <c r="R11" s="701"/>
      <c r="S11" s="737">
        <f t="shared" ref="S11:S74" si="6">S10-P11</f>
        <v>2013.1599999999999</v>
      </c>
    </row>
    <row r="12" spans="1:19" x14ac:dyDescent="0.25">
      <c r="A12" s="182"/>
      <c r="B12" s="889">
        <f t="shared" si="3"/>
        <v>94</v>
      </c>
      <c r="C12" s="821">
        <v>10</v>
      </c>
      <c r="D12" s="702">
        <v>116.04</v>
      </c>
      <c r="E12" s="733">
        <v>44879</v>
      </c>
      <c r="F12" s="702">
        <f t="shared" si="2"/>
        <v>116.04</v>
      </c>
      <c r="G12" s="700" t="s">
        <v>274</v>
      </c>
      <c r="H12" s="701">
        <v>101</v>
      </c>
      <c r="I12" s="737">
        <f t="shared" si="4"/>
        <v>1126.3799999999999</v>
      </c>
      <c r="K12" s="182"/>
      <c r="L12" s="889">
        <f t="shared" si="5"/>
        <v>166</v>
      </c>
      <c r="M12" s="821"/>
      <c r="N12" s="702"/>
      <c r="O12" s="733"/>
      <c r="P12" s="702">
        <f t="shared" si="1"/>
        <v>0</v>
      </c>
      <c r="Q12" s="700"/>
      <c r="R12" s="701"/>
      <c r="S12" s="737">
        <f t="shared" si="6"/>
        <v>2013.1599999999999</v>
      </c>
    </row>
    <row r="13" spans="1:19" x14ac:dyDescent="0.25">
      <c r="A13" s="82" t="s">
        <v>33</v>
      </c>
      <c r="B13" s="889">
        <f t="shared" si="3"/>
        <v>84</v>
      </c>
      <c r="C13" s="821">
        <v>10</v>
      </c>
      <c r="D13" s="702">
        <v>121.61</v>
      </c>
      <c r="E13" s="733">
        <v>44879</v>
      </c>
      <c r="F13" s="702">
        <f t="shared" si="2"/>
        <v>121.61</v>
      </c>
      <c r="G13" s="700" t="s">
        <v>273</v>
      </c>
      <c r="H13" s="701">
        <v>101</v>
      </c>
      <c r="I13" s="737">
        <f t="shared" si="4"/>
        <v>1004.7699999999999</v>
      </c>
      <c r="K13" s="82" t="s">
        <v>33</v>
      </c>
      <c r="L13" s="889">
        <f t="shared" si="5"/>
        <v>166</v>
      </c>
      <c r="M13" s="821"/>
      <c r="N13" s="702"/>
      <c r="O13" s="733"/>
      <c r="P13" s="702">
        <f t="shared" si="1"/>
        <v>0</v>
      </c>
      <c r="Q13" s="700"/>
      <c r="R13" s="701"/>
      <c r="S13" s="737">
        <f t="shared" si="6"/>
        <v>2013.1599999999999</v>
      </c>
    </row>
    <row r="14" spans="1:19" x14ac:dyDescent="0.25">
      <c r="A14" s="73"/>
      <c r="B14" s="889">
        <f t="shared" si="3"/>
        <v>82</v>
      </c>
      <c r="C14" s="821">
        <v>2</v>
      </c>
      <c r="D14" s="702">
        <v>23.74</v>
      </c>
      <c r="E14" s="733">
        <v>44879</v>
      </c>
      <c r="F14" s="702">
        <f t="shared" si="2"/>
        <v>23.74</v>
      </c>
      <c r="G14" s="700" t="s">
        <v>273</v>
      </c>
      <c r="H14" s="701">
        <v>101</v>
      </c>
      <c r="I14" s="737">
        <f t="shared" si="4"/>
        <v>981.02999999999986</v>
      </c>
      <c r="K14" s="73"/>
      <c r="L14" s="889">
        <f t="shared" si="5"/>
        <v>166</v>
      </c>
      <c r="M14" s="821"/>
      <c r="N14" s="702"/>
      <c r="O14" s="733"/>
      <c r="P14" s="702">
        <f t="shared" si="1"/>
        <v>0</v>
      </c>
      <c r="Q14" s="700"/>
      <c r="R14" s="701"/>
      <c r="S14" s="737">
        <f t="shared" si="6"/>
        <v>2013.1599999999999</v>
      </c>
    </row>
    <row r="15" spans="1:19" ht="15.75" customHeight="1" x14ac:dyDescent="0.25">
      <c r="A15" s="73"/>
      <c r="B15" s="889">
        <f t="shared" si="3"/>
        <v>81</v>
      </c>
      <c r="C15" s="821">
        <v>1</v>
      </c>
      <c r="D15" s="702">
        <v>12.38</v>
      </c>
      <c r="E15" s="733">
        <v>44882</v>
      </c>
      <c r="F15" s="702">
        <f t="shared" si="2"/>
        <v>12.38</v>
      </c>
      <c r="G15" s="700" t="s">
        <v>281</v>
      </c>
      <c r="H15" s="701">
        <v>101</v>
      </c>
      <c r="I15" s="737">
        <f t="shared" si="4"/>
        <v>968.64999999999986</v>
      </c>
      <c r="K15" s="73"/>
      <c r="L15" s="889">
        <f t="shared" si="5"/>
        <v>166</v>
      </c>
      <c r="M15" s="821"/>
      <c r="N15" s="702"/>
      <c r="O15" s="733"/>
      <c r="P15" s="702">
        <f t="shared" si="1"/>
        <v>0</v>
      </c>
      <c r="Q15" s="700"/>
      <c r="R15" s="701"/>
      <c r="S15" s="737">
        <f t="shared" si="6"/>
        <v>2013.1599999999999</v>
      </c>
    </row>
    <row r="16" spans="1:19" ht="15.75" customHeight="1" x14ac:dyDescent="0.25">
      <c r="B16" s="889">
        <f t="shared" si="3"/>
        <v>76</v>
      </c>
      <c r="C16" s="821">
        <v>5</v>
      </c>
      <c r="D16" s="702">
        <v>60.66</v>
      </c>
      <c r="E16" s="733">
        <v>44883</v>
      </c>
      <c r="F16" s="702">
        <f t="shared" si="2"/>
        <v>60.66</v>
      </c>
      <c r="G16" s="700" t="s">
        <v>286</v>
      </c>
      <c r="H16" s="701">
        <v>101</v>
      </c>
      <c r="I16" s="737">
        <f t="shared" si="4"/>
        <v>907.9899999999999</v>
      </c>
      <c r="L16" s="889">
        <f t="shared" si="5"/>
        <v>166</v>
      </c>
      <c r="M16" s="821"/>
      <c r="N16" s="702"/>
      <c r="O16" s="733"/>
      <c r="P16" s="702">
        <f t="shared" si="1"/>
        <v>0</v>
      </c>
      <c r="Q16" s="700"/>
      <c r="R16" s="701"/>
      <c r="S16" s="737">
        <f t="shared" si="6"/>
        <v>2013.1599999999999</v>
      </c>
    </row>
    <row r="17" spans="1:19" x14ac:dyDescent="0.25">
      <c r="B17" s="889">
        <f t="shared" si="3"/>
        <v>75</v>
      </c>
      <c r="C17" s="821">
        <v>1</v>
      </c>
      <c r="D17" s="702">
        <v>12.17</v>
      </c>
      <c r="E17" s="733">
        <v>44887</v>
      </c>
      <c r="F17" s="702">
        <f t="shared" si="2"/>
        <v>12.17</v>
      </c>
      <c r="G17" s="700" t="s">
        <v>293</v>
      </c>
      <c r="H17" s="701">
        <v>101</v>
      </c>
      <c r="I17" s="737">
        <f t="shared" si="4"/>
        <v>895.81999999999994</v>
      </c>
      <c r="L17" s="889">
        <f t="shared" si="5"/>
        <v>166</v>
      </c>
      <c r="M17" s="821"/>
      <c r="N17" s="702"/>
      <c r="O17" s="733"/>
      <c r="P17" s="702">
        <f t="shared" si="1"/>
        <v>0</v>
      </c>
      <c r="Q17" s="700"/>
      <c r="R17" s="701"/>
      <c r="S17" s="737">
        <f t="shared" si="6"/>
        <v>2013.1599999999999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89">
        <f t="shared" si="5"/>
        <v>166</v>
      </c>
      <c r="M18" s="821"/>
      <c r="N18" s="702"/>
      <c r="O18" s="733"/>
      <c r="P18" s="702">
        <f t="shared" si="1"/>
        <v>0</v>
      </c>
      <c r="Q18" s="700"/>
      <c r="R18" s="701"/>
      <c r="S18" s="737">
        <f t="shared" si="6"/>
        <v>2013.1599999999999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89">
        <f t="shared" si="5"/>
        <v>166</v>
      </c>
      <c r="M19" s="821"/>
      <c r="N19" s="702"/>
      <c r="O19" s="733"/>
      <c r="P19" s="702">
        <f t="shared" si="1"/>
        <v>0</v>
      </c>
      <c r="Q19" s="700"/>
      <c r="R19" s="701"/>
      <c r="S19" s="737">
        <f t="shared" si="6"/>
        <v>2013.1599999999999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89">
        <f t="shared" si="5"/>
        <v>166</v>
      </c>
      <c r="M20" s="821"/>
      <c r="N20" s="702"/>
      <c r="O20" s="733"/>
      <c r="P20" s="702">
        <f t="shared" si="1"/>
        <v>0</v>
      </c>
      <c r="Q20" s="700"/>
      <c r="R20" s="701"/>
      <c r="S20" s="737">
        <f t="shared" si="6"/>
        <v>2013.1599999999999</v>
      </c>
    </row>
    <row r="21" spans="1:19" x14ac:dyDescent="0.25">
      <c r="A21" s="122"/>
      <c r="B21" s="827">
        <f t="shared" si="3"/>
        <v>41</v>
      </c>
      <c r="C21" s="821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24">
        <f t="shared" si="4"/>
        <v>483.13999999999993</v>
      </c>
      <c r="K21" s="122"/>
      <c r="L21" s="889">
        <f t="shared" si="5"/>
        <v>166</v>
      </c>
      <c r="M21" s="821"/>
      <c r="N21" s="702"/>
      <c r="O21" s="733"/>
      <c r="P21" s="702">
        <f t="shared" si="1"/>
        <v>0</v>
      </c>
      <c r="Q21" s="700"/>
      <c r="R21" s="701"/>
      <c r="S21" s="737">
        <f t="shared" si="6"/>
        <v>2013.1599999999999</v>
      </c>
    </row>
    <row r="22" spans="1:19" x14ac:dyDescent="0.25">
      <c r="A22" s="122"/>
      <c r="B22" s="182">
        <f t="shared" si="3"/>
        <v>41</v>
      </c>
      <c r="C22" s="15"/>
      <c r="D22" s="537"/>
      <c r="E22" s="732"/>
      <c r="F22" s="537">
        <f t="shared" si="2"/>
        <v>0</v>
      </c>
      <c r="G22" s="330"/>
      <c r="H22" s="331"/>
      <c r="I22" s="105">
        <f t="shared" si="4"/>
        <v>483.13999999999993</v>
      </c>
      <c r="K22" s="122"/>
      <c r="L22" s="889">
        <f t="shared" si="5"/>
        <v>166</v>
      </c>
      <c r="M22" s="821"/>
      <c r="N22" s="995"/>
      <c r="O22" s="999"/>
      <c r="P22" s="995">
        <f t="shared" si="1"/>
        <v>0</v>
      </c>
      <c r="Q22" s="996"/>
      <c r="R22" s="997"/>
      <c r="S22" s="737">
        <f t="shared" si="6"/>
        <v>2013.1599999999999</v>
      </c>
    </row>
    <row r="23" spans="1:19" x14ac:dyDescent="0.25">
      <c r="A23" s="123"/>
      <c r="B23" s="182">
        <f t="shared" si="3"/>
        <v>41</v>
      </c>
      <c r="C23" s="15"/>
      <c r="D23" s="537"/>
      <c r="E23" s="732"/>
      <c r="F23" s="537">
        <f t="shared" si="2"/>
        <v>0</v>
      </c>
      <c r="G23" s="330"/>
      <c r="H23" s="331"/>
      <c r="I23" s="105">
        <f t="shared" si="4"/>
        <v>483.13999999999993</v>
      </c>
      <c r="K23" s="123"/>
      <c r="L23" s="889">
        <f t="shared" si="5"/>
        <v>166</v>
      </c>
      <c r="M23" s="821"/>
      <c r="N23" s="995"/>
      <c r="O23" s="999"/>
      <c r="P23" s="995">
        <f t="shared" si="1"/>
        <v>0</v>
      </c>
      <c r="Q23" s="996"/>
      <c r="R23" s="997"/>
      <c r="S23" s="737">
        <f t="shared" si="6"/>
        <v>2013.1599999999999</v>
      </c>
    </row>
    <row r="24" spans="1:19" x14ac:dyDescent="0.25">
      <c r="A24" s="122"/>
      <c r="B24" s="182">
        <f t="shared" si="3"/>
        <v>41</v>
      </c>
      <c r="C24" s="15"/>
      <c r="D24" s="537"/>
      <c r="E24" s="732"/>
      <c r="F24" s="537">
        <f t="shared" si="2"/>
        <v>0</v>
      </c>
      <c r="G24" s="330"/>
      <c r="H24" s="331"/>
      <c r="I24" s="105">
        <f t="shared" si="4"/>
        <v>483.13999999999993</v>
      </c>
      <c r="K24" s="122"/>
      <c r="L24" s="889">
        <f t="shared" si="5"/>
        <v>166</v>
      </c>
      <c r="M24" s="821"/>
      <c r="N24" s="995"/>
      <c r="O24" s="999"/>
      <c r="P24" s="995">
        <f t="shared" si="1"/>
        <v>0</v>
      </c>
      <c r="Q24" s="996"/>
      <c r="R24" s="997"/>
      <c r="S24" s="737">
        <f t="shared" si="6"/>
        <v>2013.1599999999999</v>
      </c>
    </row>
    <row r="25" spans="1:19" x14ac:dyDescent="0.25">
      <c r="A25" s="122"/>
      <c r="B25" s="182">
        <f t="shared" si="3"/>
        <v>41</v>
      </c>
      <c r="C25" s="15"/>
      <c r="D25" s="537"/>
      <c r="E25" s="732"/>
      <c r="F25" s="537">
        <f t="shared" si="2"/>
        <v>0</v>
      </c>
      <c r="G25" s="330"/>
      <c r="H25" s="331"/>
      <c r="I25" s="105">
        <f t="shared" si="4"/>
        <v>483.13999999999993</v>
      </c>
      <c r="K25" s="122"/>
      <c r="L25" s="889">
        <f t="shared" si="5"/>
        <v>166</v>
      </c>
      <c r="M25" s="821"/>
      <c r="N25" s="995"/>
      <c r="O25" s="999"/>
      <c r="P25" s="995">
        <f t="shared" si="1"/>
        <v>0</v>
      </c>
      <c r="Q25" s="996"/>
      <c r="R25" s="997"/>
      <c r="S25" s="737">
        <f t="shared" si="6"/>
        <v>2013.1599999999999</v>
      </c>
    </row>
    <row r="26" spans="1:19" x14ac:dyDescent="0.25">
      <c r="A26" s="122"/>
      <c r="B26" s="182">
        <f t="shared" si="3"/>
        <v>41</v>
      </c>
      <c r="C26" s="15"/>
      <c r="D26" s="537"/>
      <c r="E26" s="732"/>
      <c r="F26" s="537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166</v>
      </c>
      <c r="M26" s="15"/>
      <c r="N26" s="537"/>
      <c r="O26" s="732"/>
      <c r="P26" s="537">
        <f t="shared" si="1"/>
        <v>0</v>
      </c>
      <c r="Q26" s="330"/>
      <c r="R26" s="331"/>
      <c r="S26" s="105">
        <f t="shared" si="6"/>
        <v>2013.1599999999999</v>
      </c>
    </row>
    <row r="27" spans="1:19" x14ac:dyDescent="0.25">
      <c r="A27" s="122"/>
      <c r="B27" s="182">
        <f t="shared" si="3"/>
        <v>41</v>
      </c>
      <c r="C27" s="15"/>
      <c r="D27" s="537"/>
      <c r="E27" s="732"/>
      <c r="F27" s="537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166</v>
      </c>
      <c r="M27" s="15"/>
      <c r="N27" s="537"/>
      <c r="O27" s="732"/>
      <c r="P27" s="537">
        <f t="shared" si="1"/>
        <v>0</v>
      </c>
      <c r="Q27" s="330"/>
      <c r="R27" s="331"/>
      <c r="S27" s="105">
        <f t="shared" si="6"/>
        <v>2013.1599999999999</v>
      </c>
    </row>
    <row r="28" spans="1:19" x14ac:dyDescent="0.25">
      <c r="A28" s="122"/>
      <c r="B28" s="182">
        <f t="shared" si="3"/>
        <v>41</v>
      </c>
      <c r="C28" s="15"/>
      <c r="D28" s="537"/>
      <c r="E28" s="732"/>
      <c r="F28" s="537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166</v>
      </c>
      <c r="M28" s="15"/>
      <c r="N28" s="537"/>
      <c r="O28" s="732"/>
      <c r="P28" s="537">
        <f t="shared" si="1"/>
        <v>0</v>
      </c>
      <c r="Q28" s="330"/>
      <c r="R28" s="331"/>
      <c r="S28" s="105">
        <f t="shared" si="6"/>
        <v>2013.1599999999999</v>
      </c>
    </row>
    <row r="29" spans="1:19" x14ac:dyDescent="0.25">
      <c r="A29" s="122"/>
      <c r="B29" s="182">
        <f t="shared" si="3"/>
        <v>41</v>
      </c>
      <c r="C29" s="15"/>
      <c r="D29" s="537"/>
      <c r="E29" s="732"/>
      <c r="F29" s="537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166</v>
      </c>
      <c r="M29" s="15"/>
      <c r="N29" s="537"/>
      <c r="O29" s="732"/>
      <c r="P29" s="537">
        <f t="shared" si="1"/>
        <v>0</v>
      </c>
      <c r="Q29" s="330"/>
      <c r="R29" s="331"/>
      <c r="S29" s="105">
        <f t="shared" si="6"/>
        <v>2013.1599999999999</v>
      </c>
    </row>
    <row r="30" spans="1:19" x14ac:dyDescent="0.25">
      <c r="A30" s="122"/>
      <c r="B30" s="182">
        <f t="shared" si="3"/>
        <v>41</v>
      </c>
      <c r="C30" s="15"/>
      <c r="D30" s="537"/>
      <c r="E30" s="732"/>
      <c r="F30" s="537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166</v>
      </c>
      <c r="M30" s="15"/>
      <c r="N30" s="537"/>
      <c r="O30" s="732"/>
      <c r="P30" s="537">
        <f t="shared" si="1"/>
        <v>0</v>
      </c>
      <c r="Q30" s="330"/>
      <c r="R30" s="331"/>
      <c r="S30" s="105">
        <f t="shared" si="6"/>
        <v>2013.1599999999999</v>
      </c>
    </row>
    <row r="31" spans="1:19" x14ac:dyDescent="0.25">
      <c r="A31" s="122"/>
      <c r="B31" s="182">
        <f t="shared" si="3"/>
        <v>41</v>
      </c>
      <c r="C31" s="15"/>
      <c r="D31" s="537"/>
      <c r="E31" s="732"/>
      <c r="F31" s="537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166</v>
      </c>
      <c r="M31" s="15"/>
      <c r="N31" s="537"/>
      <c r="O31" s="732"/>
      <c r="P31" s="537">
        <f t="shared" si="1"/>
        <v>0</v>
      </c>
      <c r="Q31" s="330"/>
      <c r="R31" s="331"/>
      <c r="S31" s="105">
        <f t="shared" si="6"/>
        <v>2013.1599999999999</v>
      </c>
    </row>
    <row r="32" spans="1:19" x14ac:dyDescent="0.25">
      <c r="A32" s="122"/>
      <c r="B32" s="182">
        <f t="shared" si="3"/>
        <v>41</v>
      </c>
      <c r="C32" s="15"/>
      <c r="D32" s="537"/>
      <c r="E32" s="732"/>
      <c r="F32" s="537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166</v>
      </c>
      <c r="M32" s="15"/>
      <c r="N32" s="537"/>
      <c r="O32" s="732"/>
      <c r="P32" s="537">
        <f t="shared" si="1"/>
        <v>0</v>
      </c>
      <c r="Q32" s="330"/>
      <c r="R32" s="331"/>
      <c r="S32" s="105">
        <f t="shared" si="6"/>
        <v>2013.1599999999999</v>
      </c>
    </row>
    <row r="33" spans="1:19" x14ac:dyDescent="0.25">
      <c r="A33" s="122"/>
      <c r="B33" s="182">
        <f t="shared" si="3"/>
        <v>41</v>
      </c>
      <c r="C33" s="15"/>
      <c r="D33" s="537"/>
      <c r="E33" s="732"/>
      <c r="F33" s="537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166</v>
      </c>
      <c r="M33" s="15"/>
      <c r="N33" s="537"/>
      <c r="O33" s="732"/>
      <c r="P33" s="537">
        <f t="shared" si="1"/>
        <v>0</v>
      </c>
      <c r="Q33" s="330"/>
      <c r="R33" s="331"/>
      <c r="S33" s="105">
        <f t="shared" si="6"/>
        <v>2013.1599999999999</v>
      </c>
    </row>
    <row r="34" spans="1:19" x14ac:dyDescent="0.25">
      <c r="A34" s="122"/>
      <c r="B34" s="182">
        <f t="shared" si="3"/>
        <v>41</v>
      </c>
      <c r="C34" s="15"/>
      <c r="D34" s="537"/>
      <c r="E34" s="732"/>
      <c r="F34" s="537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166</v>
      </c>
      <c r="M34" s="15"/>
      <c r="N34" s="537"/>
      <c r="O34" s="732"/>
      <c r="P34" s="537">
        <f t="shared" si="1"/>
        <v>0</v>
      </c>
      <c r="Q34" s="330"/>
      <c r="R34" s="331"/>
      <c r="S34" s="105">
        <f t="shared" si="6"/>
        <v>2013.1599999999999</v>
      </c>
    </row>
    <row r="35" spans="1:19" x14ac:dyDescent="0.25">
      <c r="A35" s="122"/>
      <c r="B35" s="182">
        <f t="shared" si="3"/>
        <v>41</v>
      </c>
      <c r="C35" s="15"/>
      <c r="D35" s="537"/>
      <c r="E35" s="732"/>
      <c r="F35" s="537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166</v>
      </c>
      <c r="M35" s="15"/>
      <c r="N35" s="537"/>
      <c r="O35" s="732"/>
      <c r="P35" s="537">
        <f t="shared" si="1"/>
        <v>0</v>
      </c>
      <c r="Q35" s="330"/>
      <c r="R35" s="331"/>
      <c r="S35" s="105">
        <f t="shared" si="6"/>
        <v>2013.1599999999999</v>
      </c>
    </row>
    <row r="36" spans="1:19" x14ac:dyDescent="0.25">
      <c r="A36" s="122" t="s">
        <v>22</v>
      </c>
      <c r="B36" s="182">
        <f t="shared" si="3"/>
        <v>41</v>
      </c>
      <c r="C36" s="15"/>
      <c r="D36" s="537"/>
      <c r="E36" s="732"/>
      <c r="F36" s="537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166</v>
      </c>
      <c r="M36" s="15"/>
      <c r="N36" s="537"/>
      <c r="O36" s="732"/>
      <c r="P36" s="537">
        <f t="shared" si="1"/>
        <v>0</v>
      </c>
      <c r="Q36" s="330"/>
      <c r="R36" s="331"/>
      <c r="S36" s="105">
        <f t="shared" si="6"/>
        <v>2013.1599999999999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166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2013.1599999999999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166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2013.1599999999999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166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2013.1599999999999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166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2013.1599999999999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166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2013.1599999999999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166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2013.1599999999999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166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2013.1599999999999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166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2013.1599999999999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166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2013.1599999999999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166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2013.1599999999999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166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2013.1599999999999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166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2013.1599999999999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166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2013.1599999999999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166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2013.1599999999999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166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2013.1599999999999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166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2013.1599999999999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166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2013.1599999999999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166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2013.1599999999999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166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2013.1599999999999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166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2013.1599999999999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166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2013.1599999999999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166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2013.1599999999999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166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2013.1599999999999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166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2013.1599999999999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166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2013.1599999999999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166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2013.1599999999999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166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2013.1599999999999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166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2013.1599999999999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166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2013.1599999999999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166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2013.1599999999999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166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2013.1599999999999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166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2013.1599999999999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166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2013.1599999999999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166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2013.1599999999999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166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2013.1599999999999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166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2013.1599999999999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166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2013.1599999999999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166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2013.1599999999999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166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2013.1599999999999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2013.1599999999999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166</v>
      </c>
    </row>
    <row r="82" spans="3:16" ht="15.75" thickBot="1" x14ac:dyDescent="0.3"/>
    <row r="83" spans="3:16" ht="15.75" thickBot="1" x14ac:dyDescent="0.3">
      <c r="C83" s="1270" t="s">
        <v>11</v>
      </c>
      <c r="D83" s="1271"/>
      <c r="E83" s="57">
        <f>E5+E6-F78+E7</f>
        <v>390.55999999999995</v>
      </c>
      <c r="F83" s="73"/>
      <c r="M83" s="1270" t="s">
        <v>11</v>
      </c>
      <c r="N83" s="1271"/>
      <c r="O83" s="57">
        <f>O5+O6-P78+O7</f>
        <v>2013.1599999999999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19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68" t="s">
        <v>322</v>
      </c>
      <c r="B1" s="1268"/>
      <c r="C1" s="1268"/>
      <c r="D1" s="1268"/>
      <c r="E1" s="1268"/>
      <c r="F1" s="1268"/>
      <c r="G1" s="1268"/>
      <c r="H1" s="11">
        <v>1</v>
      </c>
      <c r="L1" s="1272" t="s">
        <v>340</v>
      </c>
      <c r="M1" s="1272"/>
      <c r="N1" s="1272"/>
      <c r="O1" s="1272"/>
      <c r="P1" s="1272"/>
      <c r="Q1" s="1272"/>
      <c r="R1" s="127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2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277" t="s">
        <v>73</v>
      </c>
      <c r="C4" s="244"/>
      <c r="D4" s="134"/>
      <c r="E4" s="477">
        <v>6.93</v>
      </c>
      <c r="F4" s="73"/>
      <c r="G4" s="155"/>
      <c r="H4" s="155"/>
      <c r="L4" s="448"/>
      <c r="M4" s="1277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279" t="s">
        <v>225</v>
      </c>
      <c r="B5" s="1278"/>
      <c r="C5" s="244"/>
      <c r="D5" s="134">
        <v>44886</v>
      </c>
      <c r="E5" s="477">
        <v>17078.599999999999</v>
      </c>
      <c r="F5" s="73">
        <v>551</v>
      </c>
      <c r="G5" s="5"/>
      <c r="L5" s="1263" t="s">
        <v>97</v>
      </c>
      <c r="M5" s="1278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279"/>
      <c r="B6" s="1278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  <c r="L6" s="1263"/>
      <c r="M6" s="1278"/>
      <c r="N6" s="402">
        <v>126</v>
      </c>
      <c r="O6" s="134">
        <v>44919</v>
      </c>
      <c r="P6" s="478">
        <v>3952.07</v>
      </c>
      <c r="Q6" s="73">
        <v>130</v>
      </c>
      <c r="R6" s="47">
        <f>Q79</f>
        <v>0</v>
      </c>
      <c r="S6" s="7">
        <f>P6-R6+P7+P5-R5+P4</f>
        <v>8981.8700000000008</v>
      </c>
    </row>
    <row r="7" spans="1:21" ht="15.75" x14ac:dyDescent="0.25">
      <c r="A7" s="934"/>
      <c r="B7" s="1278"/>
      <c r="C7" s="234"/>
      <c r="D7" s="232"/>
      <c r="E7" s="477"/>
      <c r="F7" s="73"/>
      <c r="L7" s="934"/>
      <c r="M7" s="1278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8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8" t="s">
        <v>3</v>
      </c>
    </row>
    <row r="10" spans="1:21" ht="15.75" thickTop="1" x14ac:dyDescent="0.25">
      <c r="A10" s="80" t="s">
        <v>32</v>
      </c>
      <c r="B10" s="889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37">
        <f>E6-F10+E5+E4+E7+E8</f>
        <v>16930.71</v>
      </c>
      <c r="J10" s="871">
        <f>F10*H10</f>
        <v>21210.34</v>
      </c>
      <c r="L10" s="80" t="s">
        <v>32</v>
      </c>
      <c r="M10" s="889">
        <f>Q6-N10+Q5+Q4+Q7+Q8</f>
        <v>296</v>
      </c>
      <c r="N10" s="15"/>
      <c r="O10" s="69"/>
      <c r="P10" s="202"/>
      <c r="Q10" s="69">
        <f t="shared" ref="Q10:Q57" si="1">O10</f>
        <v>0</v>
      </c>
      <c r="R10" s="70"/>
      <c r="S10" s="71"/>
      <c r="T10" s="737">
        <f>P6-Q10+P5+P4+P7+P8</f>
        <v>8981.8700000000008</v>
      </c>
      <c r="U10" s="871">
        <f>Q10*S10</f>
        <v>0</v>
      </c>
    </row>
    <row r="11" spans="1:21" x14ac:dyDescent="0.25">
      <c r="A11" s="194"/>
      <c r="B11" s="889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37">
        <f>I10-F11</f>
        <v>16679.27</v>
      </c>
      <c r="J11" s="871">
        <f t="shared" ref="J11:J74" si="2">F11*H11</f>
        <v>34447.279999999999</v>
      </c>
      <c r="L11" s="194"/>
      <c r="M11" s="889">
        <f>M10-N11</f>
        <v>296</v>
      </c>
      <c r="N11" s="821"/>
      <c r="O11" s="702"/>
      <c r="P11" s="733"/>
      <c r="Q11" s="702">
        <f t="shared" si="1"/>
        <v>0</v>
      </c>
      <c r="R11" s="700"/>
      <c r="S11" s="701"/>
      <c r="T11" s="737">
        <f>T10-Q11</f>
        <v>8981.8700000000008</v>
      </c>
      <c r="U11" s="871">
        <f t="shared" ref="U11:U74" si="3">Q11*S11</f>
        <v>0</v>
      </c>
    </row>
    <row r="12" spans="1:21" x14ac:dyDescent="0.25">
      <c r="A12" s="182"/>
      <c r="B12" s="889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37">
        <f t="shared" ref="I12:I75" si="5">I11-F12</f>
        <v>16652.96</v>
      </c>
      <c r="J12" s="871">
        <f t="shared" si="2"/>
        <v>3604.47</v>
      </c>
      <c r="L12" s="182"/>
      <c r="M12" s="889">
        <f t="shared" ref="M12:M75" si="6">M11-N12</f>
        <v>296</v>
      </c>
      <c r="N12" s="821"/>
      <c r="O12" s="702"/>
      <c r="P12" s="733"/>
      <c r="Q12" s="702">
        <f t="shared" si="1"/>
        <v>0</v>
      </c>
      <c r="R12" s="700"/>
      <c r="S12" s="701"/>
      <c r="T12" s="737">
        <f t="shared" ref="T12:T75" si="7">T11-Q12</f>
        <v>8981.8700000000008</v>
      </c>
      <c r="U12" s="871">
        <f t="shared" si="3"/>
        <v>0</v>
      </c>
    </row>
    <row r="13" spans="1:21" x14ac:dyDescent="0.25">
      <c r="A13" s="182"/>
      <c r="B13" s="889">
        <f t="shared" si="4"/>
        <v>536</v>
      </c>
      <c r="C13" s="821">
        <v>1</v>
      </c>
      <c r="D13" s="702">
        <v>33.11</v>
      </c>
      <c r="E13" s="733">
        <v>44889</v>
      </c>
      <c r="F13" s="702">
        <f t="shared" ref="F13:F57" si="8">D13</f>
        <v>33.11</v>
      </c>
      <c r="G13" s="700" t="s">
        <v>301</v>
      </c>
      <c r="H13" s="701">
        <v>137</v>
      </c>
      <c r="I13" s="737">
        <f t="shared" si="5"/>
        <v>16619.849999999999</v>
      </c>
      <c r="J13" s="871">
        <f t="shared" si="2"/>
        <v>4536.07</v>
      </c>
      <c r="L13" s="182"/>
      <c r="M13" s="889">
        <f t="shared" si="6"/>
        <v>296</v>
      </c>
      <c r="N13" s="821"/>
      <c r="O13" s="702"/>
      <c r="P13" s="733"/>
      <c r="Q13" s="702">
        <f t="shared" si="1"/>
        <v>0</v>
      </c>
      <c r="R13" s="700"/>
      <c r="S13" s="701"/>
      <c r="T13" s="737">
        <f t="shared" si="7"/>
        <v>8981.8700000000008</v>
      </c>
      <c r="U13" s="871">
        <f t="shared" si="3"/>
        <v>0</v>
      </c>
    </row>
    <row r="14" spans="1:21" x14ac:dyDescent="0.25">
      <c r="A14" s="82" t="s">
        <v>33</v>
      </c>
      <c r="B14" s="889">
        <f t="shared" si="4"/>
        <v>529</v>
      </c>
      <c r="C14" s="821">
        <v>7</v>
      </c>
      <c r="D14" s="702">
        <v>203.38</v>
      </c>
      <c r="E14" s="733">
        <v>44889</v>
      </c>
      <c r="F14" s="702">
        <f t="shared" si="8"/>
        <v>203.38</v>
      </c>
      <c r="G14" s="700" t="s">
        <v>302</v>
      </c>
      <c r="H14" s="701">
        <v>137</v>
      </c>
      <c r="I14" s="737">
        <f t="shared" si="5"/>
        <v>16416.469999999998</v>
      </c>
      <c r="J14" s="871">
        <f t="shared" si="2"/>
        <v>27863.059999999998</v>
      </c>
      <c r="L14" s="82" t="s">
        <v>33</v>
      </c>
      <c r="M14" s="889">
        <f t="shared" si="6"/>
        <v>296</v>
      </c>
      <c r="N14" s="821"/>
      <c r="O14" s="702"/>
      <c r="P14" s="733"/>
      <c r="Q14" s="702">
        <f t="shared" si="1"/>
        <v>0</v>
      </c>
      <c r="R14" s="700"/>
      <c r="S14" s="701"/>
      <c r="T14" s="737">
        <f t="shared" si="7"/>
        <v>8981.8700000000008</v>
      </c>
      <c r="U14" s="871">
        <f t="shared" si="3"/>
        <v>0</v>
      </c>
    </row>
    <row r="15" spans="1:21" x14ac:dyDescent="0.25">
      <c r="A15" s="73"/>
      <c r="B15" s="889">
        <f t="shared" si="4"/>
        <v>510</v>
      </c>
      <c r="C15" s="821">
        <v>19</v>
      </c>
      <c r="D15" s="702">
        <v>555.08000000000004</v>
      </c>
      <c r="E15" s="733">
        <v>44889</v>
      </c>
      <c r="F15" s="702">
        <f t="shared" si="8"/>
        <v>555.08000000000004</v>
      </c>
      <c r="G15" s="700" t="s">
        <v>303</v>
      </c>
      <c r="H15" s="701">
        <v>137</v>
      </c>
      <c r="I15" s="737">
        <f t="shared" si="5"/>
        <v>15861.389999999998</v>
      </c>
      <c r="J15" s="871">
        <f t="shared" si="2"/>
        <v>76045.960000000006</v>
      </c>
      <c r="L15" s="73"/>
      <c r="M15" s="889">
        <f t="shared" si="6"/>
        <v>296</v>
      </c>
      <c r="N15" s="821"/>
      <c r="O15" s="702"/>
      <c r="P15" s="733"/>
      <c r="Q15" s="702">
        <f t="shared" si="1"/>
        <v>0</v>
      </c>
      <c r="R15" s="700"/>
      <c r="S15" s="701"/>
      <c r="T15" s="737">
        <f t="shared" si="7"/>
        <v>8981.8700000000008</v>
      </c>
      <c r="U15" s="871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61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89">
        <f t="shared" si="6"/>
        <v>296</v>
      </c>
      <c r="N16" s="821"/>
      <c r="O16" s="702"/>
      <c r="P16" s="733"/>
      <c r="Q16" s="702">
        <f t="shared" si="1"/>
        <v>0</v>
      </c>
      <c r="R16" s="700"/>
      <c r="S16" s="701"/>
      <c r="T16" s="737">
        <f t="shared" si="7"/>
        <v>8981.8700000000008</v>
      </c>
      <c r="U16" s="871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89">
        <f t="shared" si="6"/>
        <v>296</v>
      </c>
      <c r="N17" s="821"/>
      <c r="O17" s="702"/>
      <c r="P17" s="733"/>
      <c r="Q17" s="702">
        <f t="shared" si="1"/>
        <v>0</v>
      </c>
      <c r="R17" s="700"/>
      <c r="S17" s="701"/>
      <c r="T17" s="737">
        <f t="shared" si="7"/>
        <v>8981.8700000000008</v>
      </c>
      <c r="U17" s="871">
        <f t="shared" si="3"/>
        <v>0</v>
      </c>
    </row>
    <row r="18" spans="1:21" x14ac:dyDescent="0.25">
      <c r="B18" s="827">
        <f t="shared" si="4"/>
        <v>464</v>
      </c>
      <c r="C18" s="821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24">
        <f t="shared" si="5"/>
        <v>14386.439999999997</v>
      </c>
      <c r="J18" s="17">
        <f t="shared" si="2"/>
        <v>133392.79</v>
      </c>
      <c r="M18" s="889">
        <f t="shared" si="6"/>
        <v>296</v>
      </c>
      <c r="N18" s="821"/>
      <c r="O18" s="702"/>
      <c r="P18" s="733"/>
      <c r="Q18" s="702">
        <f t="shared" si="1"/>
        <v>0</v>
      </c>
      <c r="R18" s="700"/>
      <c r="S18" s="701"/>
      <c r="T18" s="737">
        <f t="shared" si="7"/>
        <v>8981.8700000000008</v>
      </c>
      <c r="U18" s="871">
        <f t="shared" si="3"/>
        <v>0</v>
      </c>
    </row>
    <row r="19" spans="1:21" x14ac:dyDescent="0.25">
      <c r="A19" s="122"/>
      <c r="B19" s="182">
        <f t="shared" si="4"/>
        <v>464</v>
      </c>
      <c r="C19" s="15"/>
      <c r="D19" s="537"/>
      <c r="E19" s="732"/>
      <c r="F19" s="537">
        <f t="shared" si="8"/>
        <v>0</v>
      </c>
      <c r="G19" s="330"/>
      <c r="H19" s="331"/>
      <c r="I19" s="105">
        <f t="shared" si="5"/>
        <v>14386.439999999997</v>
      </c>
      <c r="J19" s="17">
        <f t="shared" si="2"/>
        <v>0</v>
      </c>
      <c r="L19" s="122"/>
      <c r="M19" s="889">
        <f t="shared" si="6"/>
        <v>296</v>
      </c>
      <c r="N19" s="821"/>
      <c r="O19" s="702"/>
      <c r="P19" s="733"/>
      <c r="Q19" s="702">
        <f t="shared" si="1"/>
        <v>0</v>
      </c>
      <c r="R19" s="700"/>
      <c r="S19" s="701"/>
      <c r="T19" s="737">
        <f t="shared" si="7"/>
        <v>8981.8700000000008</v>
      </c>
      <c r="U19" s="871">
        <f t="shared" si="3"/>
        <v>0</v>
      </c>
    </row>
    <row r="20" spans="1:21" x14ac:dyDescent="0.25">
      <c r="A20" s="122"/>
      <c r="B20" s="182">
        <f t="shared" si="4"/>
        <v>464</v>
      </c>
      <c r="C20" s="15"/>
      <c r="D20" s="537"/>
      <c r="E20" s="732"/>
      <c r="F20" s="537">
        <f t="shared" si="8"/>
        <v>0</v>
      </c>
      <c r="G20" s="330"/>
      <c r="H20" s="331"/>
      <c r="I20" s="105">
        <f t="shared" si="5"/>
        <v>14386.439999999997</v>
      </c>
      <c r="J20" s="17">
        <f t="shared" si="2"/>
        <v>0</v>
      </c>
      <c r="L20" s="122"/>
      <c r="M20" s="889">
        <f t="shared" si="6"/>
        <v>296</v>
      </c>
      <c r="N20" s="821"/>
      <c r="O20" s="702"/>
      <c r="P20" s="733"/>
      <c r="Q20" s="702">
        <f t="shared" si="1"/>
        <v>0</v>
      </c>
      <c r="R20" s="700"/>
      <c r="S20" s="701"/>
      <c r="T20" s="737">
        <f t="shared" si="7"/>
        <v>8981.8700000000008</v>
      </c>
      <c r="U20" s="871">
        <f t="shared" si="3"/>
        <v>0</v>
      </c>
    </row>
    <row r="21" spans="1:21" x14ac:dyDescent="0.25">
      <c r="A21" s="122"/>
      <c r="B21" s="182">
        <f t="shared" si="4"/>
        <v>464</v>
      </c>
      <c r="C21" s="15"/>
      <c r="D21" s="537"/>
      <c r="E21" s="732"/>
      <c r="F21" s="537">
        <f t="shared" si="8"/>
        <v>0</v>
      </c>
      <c r="G21" s="330"/>
      <c r="H21" s="331"/>
      <c r="I21" s="105">
        <f t="shared" si="5"/>
        <v>14386.439999999997</v>
      </c>
      <c r="J21" s="17">
        <f t="shared" si="2"/>
        <v>0</v>
      </c>
      <c r="L21" s="122"/>
      <c r="M21" s="889">
        <f t="shared" si="6"/>
        <v>296</v>
      </c>
      <c r="N21" s="821"/>
      <c r="O21" s="702"/>
      <c r="P21" s="733"/>
      <c r="Q21" s="702">
        <f t="shared" si="1"/>
        <v>0</v>
      </c>
      <c r="R21" s="700"/>
      <c r="S21" s="701"/>
      <c r="T21" s="737">
        <f t="shared" si="7"/>
        <v>8981.8700000000008</v>
      </c>
      <c r="U21" s="871">
        <f t="shared" si="3"/>
        <v>0</v>
      </c>
    </row>
    <row r="22" spans="1:21" x14ac:dyDescent="0.25">
      <c r="A22" s="122"/>
      <c r="B22" s="182">
        <f t="shared" si="4"/>
        <v>464</v>
      </c>
      <c r="C22" s="15"/>
      <c r="D22" s="537"/>
      <c r="E22" s="732"/>
      <c r="F22" s="537">
        <f t="shared" si="8"/>
        <v>0</v>
      </c>
      <c r="G22" s="330"/>
      <c r="H22" s="331"/>
      <c r="I22" s="105">
        <f t="shared" si="5"/>
        <v>14386.439999999997</v>
      </c>
      <c r="J22" s="17">
        <f t="shared" si="2"/>
        <v>0</v>
      </c>
      <c r="L22" s="122"/>
      <c r="M22" s="889">
        <f t="shared" si="6"/>
        <v>296</v>
      </c>
      <c r="N22" s="821"/>
      <c r="O22" s="702"/>
      <c r="P22" s="733"/>
      <c r="Q22" s="702">
        <f t="shared" si="1"/>
        <v>0</v>
      </c>
      <c r="R22" s="700"/>
      <c r="S22" s="701"/>
      <c r="T22" s="737">
        <f t="shared" si="7"/>
        <v>8981.8700000000008</v>
      </c>
      <c r="U22" s="871">
        <f t="shared" si="3"/>
        <v>0</v>
      </c>
    </row>
    <row r="23" spans="1:21" x14ac:dyDescent="0.25">
      <c r="A23" s="122"/>
      <c r="B23" s="182">
        <f t="shared" si="4"/>
        <v>464</v>
      </c>
      <c r="C23" s="15"/>
      <c r="D23" s="537"/>
      <c r="E23" s="732"/>
      <c r="F23" s="537">
        <f t="shared" si="8"/>
        <v>0</v>
      </c>
      <c r="G23" s="330"/>
      <c r="H23" s="331"/>
      <c r="I23" s="105">
        <f t="shared" si="5"/>
        <v>14386.439999999997</v>
      </c>
      <c r="J23" s="17">
        <f t="shared" si="2"/>
        <v>0</v>
      </c>
      <c r="L23" s="122"/>
      <c r="M23" s="182">
        <f t="shared" si="6"/>
        <v>296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8981.8700000000008</v>
      </c>
      <c r="U23" s="17">
        <f t="shared" si="3"/>
        <v>0</v>
      </c>
    </row>
    <row r="24" spans="1:21" x14ac:dyDescent="0.25">
      <c r="A24" s="123"/>
      <c r="B24" s="182">
        <f t="shared" si="4"/>
        <v>464</v>
      </c>
      <c r="C24" s="15"/>
      <c r="D24" s="537"/>
      <c r="E24" s="732"/>
      <c r="F24" s="537">
        <f t="shared" si="8"/>
        <v>0</v>
      </c>
      <c r="G24" s="330"/>
      <c r="H24" s="331"/>
      <c r="I24" s="105">
        <f t="shared" si="5"/>
        <v>14386.439999999997</v>
      </c>
      <c r="J24" s="17">
        <f t="shared" si="2"/>
        <v>0</v>
      </c>
      <c r="L24" s="123"/>
      <c r="M24" s="182">
        <f t="shared" si="6"/>
        <v>296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8981.8700000000008</v>
      </c>
      <c r="U24" s="17">
        <f t="shared" si="3"/>
        <v>0</v>
      </c>
    </row>
    <row r="25" spans="1:21" x14ac:dyDescent="0.25">
      <c r="A25" s="122"/>
      <c r="B25" s="182">
        <f t="shared" si="4"/>
        <v>464</v>
      </c>
      <c r="C25" s="15"/>
      <c r="D25" s="537"/>
      <c r="E25" s="732"/>
      <c r="F25" s="537">
        <f t="shared" si="8"/>
        <v>0</v>
      </c>
      <c r="G25" s="330"/>
      <c r="H25" s="331"/>
      <c r="I25" s="105">
        <f t="shared" si="5"/>
        <v>14386.439999999997</v>
      </c>
      <c r="J25" s="17">
        <f t="shared" si="2"/>
        <v>0</v>
      </c>
      <c r="L25" s="122"/>
      <c r="M25" s="182">
        <f t="shared" si="6"/>
        <v>296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8981.8700000000008</v>
      </c>
      <c r="U25" s="17">
        <f t="shared" si="3"/>
        <v>0</v>
      </c>
    </row>
    <row r="26" spans="1:21" x14ac:dyDescent="0.25">
      <c r="A26" s="122"/>
      <c r="B26" s="182">
        <f t="shared" si="4"/>
        <v>464</v>
      </c>
      <c r="C26" s="15"/>
      <c r="D26" s="537"/>
      <c r="E26" s="732"/>
      <c r="F26" s="537">
        <f t="shared" si="8"/>
        <v>0</v>
      </c>
      <c r="G26" s="330"/>
      <c r="H26" s="331"/>
      <c r="I26" s="105">
        <f t="shared" si="5"/>
        <v>14386.439999999997</v>
      </c>
      <c r="J26" s="17">
        <f t="shared" si="2"/>
        <v>0</v>
      </c>
      <c r="L26" s="122"/>
      <c r="M26" s="182">
        <f t="shared" si="6"/>
        <v>296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8981.8700000000008</v>
      </c>
      <c r="U26" s="17">
        <f t="shared" si="3"/>
        <v>0</v>
      </c>
    </row>
    <row r="27" spans="1:21" x14ac:dyDescent="0.25">
      <c r="A27" s="122"/>
      <c r="B27" s="182">
        <f t="shared" si="4"/>
        <v>464</v>
      </c>
      <c r="C27" s="15"/>
      <c r="D27" s="537"/>
      <c r="E27" s="732"/>
      <c r="F27" s="537">
        <f t="shared" si="8"/>
        <v>0</v>
      </c>
      <c r="G27" s="330"/>
      <c r="H27" s="331"/>
      <c r="I27" s="105">
        <f t="shared" si="5"/>
        <v>14386.439999999997</v>
      </c>
      <c r="J27" s="17">
        <f t="shared" si="2"/>
        <v>0</v>
      </c>
      <c r="L27" s="122"/>
      <c r="M27" s="182">
        <f t="shared" si="6"/>
        <v>296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8981.8700000000008</v>
      </c>
      <c r="U27" s="17">
        <f t="shared" si="3"/>
        <v>0</v>
      </c>
    </row>
    <row r="28" spans="1:21" x14ac:dyDescent="0.25">
      <c r="A28" s="122"/>
      <c r="B28" s="182">
        <f t="shared" si="4"/>
        <v>464</v>
      </c>
      <c r="C28" s="15"/>
      <c r="D28" s="537"/>
      <c r="E28" s="732"/>
      <c r="F28" s="537">
        <f t="shared" si="8"/>
        <v>0</v>
      </c>
      <c r="G28" s="330"/>
      <c r="H28" s="331"/>
      <c r="I28" s="105">
        <f t="shared" si="5"/>
        <v>14386.439999999997</v>
      </c>
      <c r="J28" s="17">
        <f t="shared" si="2"/>
        <v>0</v>
      </c>
      <c r="L28" s="122"/>
      <c r="M28" s="182">
        <f t="shared" si="6"/>
        <v>296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8981.8700000000008</v>
      </c>
      <c r="U28" s="17">
        <f t="shared" si="3"/>
        <v>0</v>
      </c>
    </row>
    <row r="29" spans="1:21" x14ac:dyDescent="0.25">
      <c r="A29" s="122"/>
      <c r="B29" s="182">
        <f t="shared" si="4"/>
        <v>464</v>
      </c>
      <c r="C29" s="15"/>
      <c r="D29" s="537"/>
      <c r="E29" s="732"/>
      <c r="F29" s="537">
        <f t="shared" si="8"/>
        <v>0</v>
      </c>
      <c r="G29" s="330"/>
      <c r="H29" s="331"/>
      <c r="I29" s="105">
        <f t="shared" si="5"/>
        <v>14386.439999999997</v>
      </c>
      <c r="J29" s="17">
        <f t="shared" si="2"/>
        <v>0</v>
      </c>
      <c r="L29" s="122"/>
      <c r="M29" s="182">
        <f t="shared" si="6"/>
        <v>296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8981.8700000000008</v>
      </c>
      <c r="U29" s="17">
        <f t="shared" si="3"/>
        <v>0</v>
      </c>
    </row>
    <row r="30" spans="1:21" x14ac:dyDescent="0.25">
      <c r="A30" s="122"/>
      <c r="B30" s="182">
        <f t="shared" si="4"/>
        <v>464</v>
      </c>
      <c r="C30" s="15"/>
      <c r="D30" s="537"/>
      <c r="E30" s="732"/>
      <c r="F30" s="537">
        <f t="shared" si="8"/>
        <v>0</v>
      </c>
      <c r="G30" s="330"/>
      <c r="H30" s="331"/>
      <c r="I30" s="105">
        <f t="shared" si="5"/>
        <v>14386.439999999997</v>
      </c>
      <c r="J30" s="17">
        <f t="shared" si="2"/>
        <v>0</v>
      </c>
      <c r="L30" s="122"/>
      <c r="M30" s="182">
        <f t="shared" si="6"/>
        <v>296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8981.8700000000008</v>
      </c>
      <c r="U30" s="17">
        <f t="shared" si="3"/>
        <v>0</v>
      </c>
    </row>
    <row r="31" spans="1:21" x14ac:dyDescent="0.25">
      <c r="A31" s="122"/>
      <c r="B31" s="182">
        <f t="shared" si="4"/>
        <v>464</v>
      </c>
      <c r="C31" s="15"/>
      <c r="D31" s="537"/>
      <c r="E31" s="732"/>
      <c r="F31" s="537">
        <f t="shared" si="8"/>
        <v>0</v>
      </c>
      <c r="G31" s="330"/>
      <c r="H31" s="331"/>
      <c r="I31" s="105">
        <f t="shared" si="5"/>
        <v>14386.439999999997</v>
      </c>
      <c r="J31" s="17">
        <f t="shared" si="2"/>
        <v>0</v>
      </c>
      <c r="L31" s="122"/>
      <c r="M31" s="182">
        <f t="shared" si="6"/>
        <v>296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8981.8700000000008</v>
      </c>
      <c r="U31" s="17">
        <f t="shared" si="3"/>
        <v>0</v>
      </c>
    </row>
    <row r="32" spans="1:21" x14ac:dyDescent="0.25">
      <c r="A32" s="122"/>
      <c r="B32" s="182">
        <f t="shared" si="4"/>
        <v>464</v>
      </c>
      <c r="C32" s="15"/>
      <c r="D32" s="537"/>
      <c r="E32" s="732"/>
      <c r="F32" s="537">
        <f t="shared" si="8"/>
        <v>0</v>
      </c>
      <c r="G32" s="330"/>
      <c r="H32" s="331"/>
      <c r="I32" s="105">
        <f t="shared" si="5"/>
        <v>14386.439999999997</v>
      </c>
      <c r="J32" s="17">
        <f t="shared" si="2"/>
        <v>0</v>
      </c>
      <c r="L32" s="122"/>
      <c r="M32" s="182">
        <f t="shared" si="6"/>
        <v>296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8981.8700000000008</v>
      </c>
      <c r="U32" s="17">
        <f t="shared" si="3"/>
        <v>0</v>
      </c>
    </row>
    <row r="33" spans="1:21" x14ac:dyDescent="0.25">
      <c r="A33" s="122"/>
      <c r="B33" s="182">
        <f t="shared" si="4"/>
        <v>464</v>
      </c>
      <c r="C33" s="15"/>
      <c r="D33" s="537"/>
      <c r="E33" s="732"/>
      <c r="F33" s="537">
        <f t="shared" si="8"/>
        <v>0</v>
      </c>
      <c r="G33" s="330"/>
      <c r="H33" s="331"/>
      <c r="I33" s="105">
        <f t="shared" si="5"/>
        <v>14386.439999999997</v>
      </c>
      <c r="J33" s="17">
        <f t="shared" si="2"/>
        <v>0</v>
      </c>
      <c r="L33" s="122"/>
      <c r="M33" s="182">
        <f t="shared" si="6"/>
        <v>296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8981.8700000000008</v>
      </c>
      <c r="U33" s="17">
        <f t="shared" si="3"/>
        <v>0</v>
      </c>
    </row>
    <row r="34" spans="1:21" x14ac:dyDescent="0.25">
      <c r="A34" s="122"/>
      <c r="B34" s="182">
        <f t="shared" si="4"/>
        <v>464</v>
      </c>
      <c r="C34" s="15"/>
      <c r="D34" s="537"/>
      <c r="E34" s="732"/>
      <c r="F34" s="537">
        <f t="shared" si="8"/>
        <v>0</v>
      </c>
      <c r="G34" s="330"/>
      <c r="H34" s="331"/>
      <c r="I34" s="105">
        <f t="shared" si="5"/>
        <v>14386.439999999997</v>
      </c>
      <c r="J34" s="17">
        <f t="shared" si="2"/>
        <v>0</v>
      </c>
      <c r="L34" s="122"/>
      <c r="M34" s="182">
        <f t="shared" si="6"/>
        <v>296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8981.8700000000008</v>
      </c>
      <c r="U34" s="17">
        <f t="shared" si="3"/>
        <v>0</v>
      </c>
    </row>
    <row r="35" spans="1:21" x14ac:dyDescent="0.25">
      <c r="A35" s="122"/>
      <c r="B35" s="182">
        <f t="shared" si="4"/>
        <v>464</v>
      </c>
      <c r="C35" s="15"/>
      <c r="D35" s="537"/>
      <c r="E35" s="732"/>
      <c r="F35" s="537">
        <f t="shared" si="8"/>
        <v>0</v>
      </c>
      <c r="G35" s="330"/>
      <c r="H35" s="331"/>
      <c r="I35" s="105">
        <f t="shared" si="5"/>
        <v>14386.439999999997</v>
      </c>
      <c r="J35" s="17">
        <f t="shared" si="2"/>
        <v>0</v>
      </c>
      <c r="L35" s="122"/>
      <c r="M35" s="182">
        <f t="shared" si="6"/>
        <v>296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8981.8700000000008</v>
      </c>
      <c r="U35" s="17">
        <f t="shared" si="3"/>
        <v>0</v>
      </c>
    </row>
    <row r="36" spans="1:21" x14ac:dyDescent="0.25">
      <c r="A36" s="122"/>
      <c r="B36" s="182">
        <f t="shared" si="4"/>
        <v>464</v>
      </c>
      <c r="C36" s="15"/>
      <c r="D36" s="537"/>
      <c r="E36" s="732"/>
      <c r="F36" s="537">
        <f t="shared" si="8"/>
        <v>0</v>
      </c>
      <c r="G36" s="330"/>
      <c r="H36" s="331"/>
      <c r="I36" s="105">
        <f t="shared" si="5"/>
        <v>14386.439999999997</v>
      </c>
      <c r="J36" s="17">
        <f t="shared" si="2"/>
        <v>0</v>
      </c>
      <c r="L36" s="122"/>
      <c r="M36" s="182">
        <f t="shared" si="6"/>
        <v>296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8981.8700000000008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464</v>
      </c>
      <c r="C37" s="15"/>
      <c r="D37" s="537"/>
      <c r="E37" s="732"/>
      <c r="F37" s="537">
        <f t="shared" si="8"/>
        <v>0</v>
      </c>
      <c r="G37" s="330"/>
      <c r="H37" s="331"/>
      <c r="I37" s="105">
        <f t="shared" si="5"/>
        <v>14386.439999999997</v>
      </c>
      <c r="J37" s="17">
        <f t="shared" si="2"/>
        <v>0</v>
      </c>
      <c r="L37" s="122" t="s">
        <v>22</v>
      </c>
      <c r="M37" s="182">
        <f t="shared" si="6"/>
        <v>296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8981.8700000000008</v>
      </c>
      <c r="U37" s="17">
        <f t="shared" si="3"/>
        <v>0</v>
      </c>
    </row>
    <row r="38" spans="1:21" x14ac:dyDescent="0.25">
      <c r="A38" s="123"/>
      <c r="B38" s="182">
        <f t="shared" si="4"/>
        <v>464</v>
      </c>
      <c r="C38" s="15"/>
      <c r="D38" s="537"/>
      <c r="E38" s="732"/>
      <c r="F38" s="537">
        <f t="shared" si="8"/>
        <v>0</v>
      </c>
      <c r="G38" s="330"/>
      <c r="H38" s="331"/>
      <c r="I38" s="105">
        <f t="shared" si="5"/>
        <v>14386.439999999997</v>
      </c>
      <c r="J38" s="17">
        <f t="shared" si="2"/>
        <v>0</v>
      </c>
      <c r="L38" s="123"/>
      <c r="M38" s="182">
        <f t="shared" si="6"/>
        <v>296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8981.8700000000008</v>
      </c>
      <c r="U38" s="17">
        <f t="shared" si="3"/>
        <v>0</v>
      </c>
    </row>
    <row r="39" spans="1:21" x14ac:dyDescent="0.25">
      <c r="A39" s="122"/>
      <c r="B39" s="182">
        <f t="shared" si="4"/>
        <v>464</v>
      </c>
      <c r="C39" s="15"/>
      <c r="D39" s="537"/>
      <c r="E39" s="732"/>
      <c r="F39" s="537">
        <f t="shared" si="8"/>
        <v>0</v>
      </c>
      <c r="G39" s="330"/>
      <c r="H39" s="331"/>
      <c r="I39" s="105">
        <f t="shared" si="5"/>
        <v>14386.439999999997</v>
      </c>
      <c r="J39" s="17">
        <f t="shared" si="2"/>
        <v>0</v>
      </c>
      <c r="L39" s="122"/>
      <c r="M39" s="182">
        <f t="shared" si="6"/>
        <v>296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8981.8700000000008</v>
      </c>
      <c r="U39" s="17">
        <f t="shared" si="3"/>
        <v>0</v>
      </c>
    </row>
    <row r="40" spans="1:21" x14ac:dyDescent="0.25">
      <c r="A40" s="122"/>
      <c r="B40" s="182">
        <f t="shared" si="4"/>
        <v>464</v>
      </c>
      <c r="C40" s="15"/>
      <c r="D40" s="537"/>
      <c r="E40" s="732"/>
      <c r="F40" s="537">
        <f t="shared" si="8"/>
        <v>0</v>
      </c>
      <c r="G40" s="330"/>
      <c r="H40" s="331"/>
      <c r="I40" s="105">
        <f t="shared" si="5"/>
        <v>14386.439999999997</v>
      </c>
      <c r="J40" s="17">
        <f t="shared" si="2"/>
        <v>0</v>
      </c>
      <c r="L40" s="122"/>
      <c r="M40" s="182">
        <f t="shared" si="6"/>
        <v>296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8981.8700000000008</v>
      </c>
      <c r="U40" s="17">
        <f t="shared" si="3"/>
        <v>0</v>
      </c>
    </row>
    <row r="41" spans="1:21" x14ac:dyDescent="0.25">
      <c r="A41" s="122"/>
      <c r="B41" s="182">
        <f t="shared" si="4"/>
        <v>464</v>
      </c>
      <c r="C41" s="15"/>
      <c r="D41" s="537"/>
      <c r="E41" s="732"/>
      <c r="F41" s="537">
        <f t="shared" si="8"/>
        <v>0</v>
      </c>
      <c r="G41" s="330"/>
      <c r="H41" s="331"/>
      <c r="I41" s="105">
        <f t="shared" si="5"/>
        <v>14386.439999999997</v>
      </c>
      <c r="J41" s="17">
        <f t="shared" si="2"/>
        <v>0</v>
      </c>
      <c r="L41" s="122"/>
      <c r="M41" s="182">
        <f t="shared" si="6"/>
        <v>296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8981.8700000000008</v>
      </c>
      <c r="U41" s="17">
        <f t="shared" si="3"/>
        <v>0</v>
      </c>
    </row>
    <row r="42" spans="1:21" x14ac:dyDescent="0.25">
      <c r="A42" s="122"/>
      <c r="B42" s="182">
        <f t="shared" si="4"/>
        <v>464</v>
      </c>
      <c r="C42" s="15"/>
      <c r="D42" s="537"/>
      <c r="E42" s="732"/>
      <c r="F42" s="537">
        <f t="shared" si="8"/>
        <v>0</v>
      </c>
      <c r="G42" s="330"/>
      <c r="H42" s="331"/>
      <c r="I42" s="105">
        <f t="shared" si="5"/>
        <v>14386.439999999997</v>
      </c>
      <c r="J42" s="17">
        <f t="shared" si="2"/>
        <v>0</v>
      </c>
      <c r="L42" s="122"/>
      <c r="M42" s="182">
        <f t="shared" si="6"/>
        <v>296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8981.8700000000008</v>
      </c>
      <c r="U42" s="17">
        <f t="shared" si="3"/>
        <v>0</v>
      </c>
    </row>
    <row r="43" spans="1:21" x14ac:dyDescent="0.25">
      <c r="A43" s="122"/>
      <c r="B43" s="182">
        <f t="shared" si="4"/>
        <v>464</v>
      </c>
      <c r="C43" s="15"/>
      <c r="D43" s="537"/>
      <c r="E43" s="732"/>
      <c r="F43" s="537">
        <f t="shared" si="8"/>
        <v>0</v>
      </c>
      <c r="G43" s="330"/>
      <c r="H43" s="331"/>
      <c r="I43" s="105">
        <f t="shared" si="5"/>
        <v>14386.439999999997</v>
      </c>
      <c r="J43" s="17">
        <f t="shared" si="2"/>
        <v>0</v>
      </c>
      <c r="L43" s="122"/>
      <c r="M43" s="182">
        <f t="shared" si="6"/>
        <v>296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8981.8700000000008</v>
      </c>
      <c r="U43" s="17">
        <f t="shared" si="3"/>
        <v>0</v>
      </c>
    </row>
    <row r="44" spans="1:21" x14ac:dyDescent="0.25">
      <c r="A44" s="122"/>
      <c r="B44" s="182">
        <f t="shared" si="4"/>
        <v>464</v>
      </c>
      <c r="C44" s="15"/>
      <c r="D44" s="537"/>
      <c r="E44" s="732"/>
      <c r="F44" s="537">
        <f t="shared" si="8"/>
        <v>0</v>
      </c>
      <c r="G44" s="330"/>
      <c r="H44" s="331"/>
      <c r="I44" s="105">
        <f t="shared" si="5"/>
        <v>14386.439999999997</v>
      </c>
      <c r="J44" s="17">
        <f t="shared" si="2"/>
        <v>0</v>
      </c>
      <c r="L44" s="122"/>
      <c r="M44" s="182">
        <f t="shared" si="6"/>
        <v>296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8981.8700000000008</v>
      </c>
      <c r="U44" s="17">
        <f t="shared" si="3"/>
        <v>0</v>
      </c>
    </row>
    <row r="45" spans="1:21" x14ac:dyDescent="0.25">
      <c r="A45" s="122"/>
      <c r="B45" s="182">
        <f t="shared" si="4"/>
        <v>464</v>
      </c>
      <c r="C45" s="15"/>
      <c r="D45" s="537"/>
      <c r="E45" s="732"/>
      <c r="F45" s="537">
        <f t="shared" si="8"/>
        <v>0</v>
      </c>
      <c r="G45" s="330"/>
      <c r="H45" s="331"/>
      <c r="I45" s="105">
        <f t="shared" si="5"/>
        <v>14386.439999999997</v>
      </c>
      <c r="J45" s="17">
        <f t="shared" si="2"/>
        <v>0</v>
      </c>
      <c r="L45" s="122"/>
      <c r="M45" s="182">
        <f t="shared" si="6"/>
        <v>296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8981.8700000000008</v>
      </c>
      <c r="U45" s="17">
        <f t="shared" si="3"/>
        <v>0</v>
      </c>
    </row>
    <row r="46" spans="1:21" x14ac:dyDescent="0.25">
      <c r="A46" s="122"/>
      <c r="B46" s="182">
        <f t="shared" si="4"/>
        <v>464</v>
      </c>
      <c r="C46" s="15"/>
      <c r="D46" s="537"/>
      <c r="E46" s="732"/>
      <c r="F46" s="537">
        <f t="shared" si="8"/>
        <v>0</v>
      </c>
      <c r="G46" s="330"/>
      <c r="H46" s="331"/>
      <c r="I46" s="105">
        <f t="shared" si="5"/>
        <v>14386.439999999997</v>
      </c>
      <c r="J46" s="17">
        <f t="shared" si="2"/>
        <v>0</v>
      </c>
      <c r="L46" s="122"/>
      <c r="M46" s="182">
        <f t="shared" si="6"/>
        <v>296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8981.8700000000008</v>
      </c>
      <c r="U46" s="17">
        <f t="shared" si="3"/>
        <v>0</v>
      </c>
    </row>
    <row r="47" spans="1:21" x14ac:dyDescent="0.25">
      <c r="A47" s="122"/>
      <c r="B47" s="182">
        <f t="shared" si="4"/>
        <v>464</v>
      </c>
      <c r="C47" s="15"/>
      <c r="D47" s="537"/>
      <c r="E47" s="732"/>
      <c r="F47" s="537">
        <f t="shared" si="8"/>
        <v>0</v>
      </c>
      <c r="G47" s="330"/>
      <c r="H47" s="331"/>
      <c r="I47" s="105">
        <f t="shared" si="5"/>
        <v>14386.439999999997</v>
      </c>
      <c r="J47" s="17">
        <f t="shared" si="2"/>
        <v>0</v>
      </c>
      <c r="L47" s="122"/>
      <c r="M47" s="182">
        <f t="shared" si="6"/>
        <v>296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8981.8700000000008</v>
      </c>
      <c r="U47" s="17">
        <f t="shared" si="3"/>
        <v>0</v>
      </c>
    </row>
    <row r="48" spans="1:21" x14ac:dyDescent="0.25">
      <c r="A48" s="122"/>
      <c r="B48" s="182">
        <f t="shared" si="4"/>
        <v>464</v>
      </c>
      <c r="C48" s="15"/>
      <c r="D48" s="537"/>
      <c r="E48" s="732"/>
      <c r="F48" s="537">
        <f t="shared" si="8"/>
        <v>0</v>
      </c>
      <c r="G48" s="330"/>
      <c r="H48" s="331"/>
      <c r="I48" s="105">
        <f t="shared" si="5"/>
        <v>14386.439999999997</v>
      </c>
      <c r="J48" s="17">
        <f t="shared" si="2"/>
        <v>0</v>
      </c>
      <c r="L48" s="122"/>
      <c r="M48" s="182">
        <f t="shared" si="6"/>
        <v>296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8981.8700000000008</v>
      </c>
      <c r="U48" s="17">
        <f t="shared" si="3"/>
        <v>0</v>
      </c>
    </row>
    <row r="49" spans="1:21" x14ac:dyDescent="0.25">
      <c r="A49" s="122"/>
      <c r="B49" s="182">
        <f t="shared" si="4"/>
        <v>464</v>
      </c>
      <c r="C49" s="15"/>
      <c r="D49" s="537"/>
      <c r="E49" s="732"/>
      <c r="F49" s="537">
        <f t="shared" si="8"/>
        <v>0</v>
      </c>
      <c r="G49" s="330"/>
      <c r="H49" s="331"/>
      <c r="I49" s="105">
        <f t="shared" si="5"/>
        <v>14386.439999999997</v>
      </c>
      <c r="J49" s="17">
        <f t="shared" si="2"/>
        <v>0</v>
      </c>
      <c r="L49" s="122"/>
      <c r="M49" s="182">
        <f t="shared" si="6"/>
        <v>296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8981.8700000000008</v>
      </c>
      <c r="U49" s="17">
        <f t="shared" si="3"/>
        <v>0</v>
      </c>
    </row>
    <row r="50" spans="1:21" x14ac:dyDescent="0.25">
      <c r="A50" s="122"/>
      <c r="B50" s="182">
        <f t="shared" si="4"/>
        <v>464</v>
      </c>
      <c r="C50" s="15"/>
      <c r="D50" s="537"/>
      <c r="E50" s="732"/>
      <c r="F50" s="537">
        <f t="shared" si="8"/>
        <v>0</v>
      </c>
      <c r="G50" s="330"/>
      <c r="H50" s="331"/>
      <c r="I50" s="105">
        <f t="shared" si="5"/>
        <v>14386.439999999997</v>
      </c>
      <c r="J50" s="17">
        <f t="shared" si="2"/>
        <v>0</v>
      </c>
      <c r="L50" s="122"/>
      <c r="M50" s="182">
        <f t="shared" si="6"/>
        <v>296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8981.8700000000008</v>
      </c>
      <c r="U50" s="17">
        <f t="shared" si="3"/>
        <v>0</v>
      </c>
    </row>
    <row r="51" spans="1:21" x14ac:dyDescent="0.25">
      <c r="A51" s="122"/>
      <c r="B51" s="182">
        <f t="shared" si="4"/>
        <v>464</v>
      </c>
      <c r="C51" s="15"/>
      <c r="D51" s="537"/>
      <c r="E51" s="732"/>
      <c r="F51" s="537">
        <f t="shared" si="8"/>
        <v>0</v>
      </c>
      <c r="G51" s="330"/>
      <c r="H51" s="331"/>
      <c r="I51" s="105">
        <f t="shared" si="5"/>
        <v>14386.439999999997</v>
      </c>
      <c r="J51" s="17">
        <f t="shared" si="2"/>
        <v>0</v>
      </c>
      <c r="L51" s="122"/>
      <c r="M51" s="182">
        <f t="shared" si="6"/>
        <v>296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8981.8700000000008</v>
      </c>
      <c r="U51" s="17">
        <f t="shared" si="3"/>
        <v>0</v>
      </c>
    </row>
    <row r="52" spans="1:21" x14ac:dyDescent="0.25">
      <c r="A52" s="122"/>
      <c r="B52" s="182">
        <f t="shared" si="4"/>
        <v>464</v>
      </c>
      <c r="C52" s="15"/>
      <c r="D52" s="537"/>
      <c r="E52" s="732"/>
      <c r="F52" s="537">
        <f t="shared" si="8"/>
        <v>0</v>
      </c>
      <c r="G52" s="330"/>
      <c r="H52" s="331"/>
      <c r="I52" s="105">
        <f t="shared" si="5"/>
        <v>14386.439999999997</v>
      </c>
      <c r="J52" s="17">
        <f t="shared" si="2"/>
        <v>0</v>
      </c>
      <c r="L52" s="122"/>
      <c r="M52" s="182">
        <f t="shared" si="6"/>
        <v>296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8981.8700000000008</v>
      </c>
      <c r="U52" s="17">
        <f t="shared" si="3"/>
        <v>0</v>
      </c>
    </row>
    <row r="53" spans="1:21" x14ac:dyDescent="0.25">
      <c r="A53" s="122"/>
      <c r="B53" s="182">
        <f t="shared" si="4"/>
        <v>464</v>
      </c>
      <c r="C53" s="15"/>
      <c r="D53" s="537"/>
      <c r="E53" s="732"/>
      <c r="F53" s="537">
        <f t="shared" si="8"/>
        <v>0</v>
      </c>
      <c r="G53" s="330"/>
      <c r="H53" s="331"/>
      <c r="I53" s="105">
        <f t="shared" si="5"/>
        <v>14386.439999999997</v>
      </c>
      <c r="J53" s="17">
        <f t="shared" si="2"/>
        <v>0</v>
      </c>
      <c r="L53" s="122"/>
      <c r="M53" s="182">
        <f t="shared" si="6"/>
        <v>296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8981.8700000000008</v>
      </c>
      <c r="U53" s="17">
        <f t="shared" si="3"/>
        <v>0</v>
      </c>
    </row>
    <row r="54" spans="1:21" x14ac:dyDescent="0.25">
      <c r="A54" s="122"/>
      <c r="B54" s="182">
        <f t="shared" si="4"/>
        <v>464</v>
      </c>
      <c r="C54" s="15"/>
      <c r="D54" s="537"/>
      <c r="E54" s="732"/>
      <c r="F54" s="537">
        <f t="shared" si="8"/>
        <v>0</v>
      </c>
      <c r="G54" s="330"/>
      <c r="H54" s="331"/>
      <c r="I54" s="105">
        <f t="shared" si="5"/>
        <v>14386.439999999997</v>
      </c>
      <c r="J54" s="17">
        <f t="shared" si="2"/>
        <v>0</v>
      </c>
      <c r="L54" s="122"/>
      <c r="M54" s="182">
        <f t="shared" si="6"/>
        <v>296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8981.8700000000008</v>
      </c>
      <c r="U54" s="17">
        <f t="shared" si="3"/>
        <v>0</v>
      </c>
    </row>
    <row r="55" spans="1:21" x14ac:dyDescent="0.25">
      <c r="A55" s="122"/>
      <c r="B55" s="182">
        <f t="shared" si="4"/>
        <v>464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14386.439999999997</v>
      </c>
      <c r="J55" s="17">
        <f t="shared" si="2"/>
        <v>0</v>
      </c>
      <c r="L55" s="122"/>
      <c r="M55" s="182">
        <f t="shared" si="6"/>
        <v>296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8981.8700000000008</v>
      </c>
      <c r="U55" s="17">
        <f t="shared" si="3"/>
        <v>0</v>
      </c>
    </row>
    <row r="56" spans="1:21" x14ac:dyDescent="0.25">
      <c r="A56" s="122"/>
      <c r="B56" s="182">
        <f t="shared" si="4"/>
        <v>464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14386.439999999997</v>
      </c>
      <c r="J56" s="17">
        <f t="shared" si="2"/>
        <v>0</v>
      </c>
      <c r="L56" s="122"/>
      <c r="M56" s="182">
        <f t="shared" si="6"/>
        <v>296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8981.8700000000008</v>
      </c>
      <c r="U56" s="17">
        <f t="shared" si="3"/>
        <v>0</v>
      </c>
    </row>
    <row r="57" spans="1:21" x14ac:dyDescent="0.25">
      <c r="A57" s="122"/>
      <c r="B57" s="182">
        <f t="shared" si="4"/>
        <v>464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14386.439999999997</v>
      </c>
      <c r="J57" s="17">
        <f t="shared" si="2"/>
        <v>0</v>
      </c>
      <c r="L57" s="122"/>
      <c r="M57" s="182">
        <f t="shared" si="6"/>
        <v>296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8981.8700000000008</v>
      </c>
      <c r="U57" s="17">
        <f t="shared" si="3"/>
        <v>0</v>
      </c>
    </row>
    <row r="58" spans="1:21" x14ac:dyDescent="0.25">
      <c r="A58" s="122"/>
      <c r="B58" s="182">
        <f t="shared" si="4"/>
        <v>464</v>
      </c>
      <c r="C58" s="15"/>
      <c r="D58" s="69"/>
      <c r="E58" s="202"/>
      <c r="F58" s="69">
        <v>0</v>
      </c>
      <c r="G58" s="70"/>
      <c r="H58" s="71"/>
      <c r="I58" s="105">
        <f t="shared" si="5"/>
        <v>14386.439999999997</v>
      </c>
      <c r="J58" s="17">
        <f t="shared" si="2"/>
        <v>0</v>
      </c>
      <c r="L58" s="122"/>
      <c r="M58" s="182">
        <f t="shared" si="6"/>
        <v>296</v>
      </c>
      <c r="N58" s="15"/>
      <c r="O58" s="69"/>
      <c r="P58" s="202"/>
      <c r="Q58" s="69">
        <v>0</v>
      </c>
      <c r="R58" s="70"/>
      <c r="S58" s="71"/>
      <c r="T58" s="105">
        <f t="shared" si="7"/>
        <v>8981.8700000000008</v>
      </c>
      <c r="U58" s="17">
        <f t="shared" si="3"/>
        <v>0</v>
      </c>
    </row>
    <row r="59" spans="1:21" x14ac:dyDescent="0.25">
      <c r="A59" s="122"/>
      <c r="B59" s="182">
        <f t="shared" si="4"/>
        <v>464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14386.439999999997</v>
      </c>
      <c r="J59" s="17">
        <f t="shared" si="2"/>
        <v>0</v>
      </c>
      <c r="L59" s="122"/>
      <c r="M59" s="182">
        <f t="shared" si="6"/>
        <v>296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8981.8700000000008</v>
      </c>
      <c r="U59" s="17">
        <f t="shared" si="3"/>
        <v>0</v>
      </c>
    </row>
    <row r="60" spans="1:21" x14ac:dyDescent="0.25">
      <c r="A60" s="122"/>
      <c r="B60" s="182">
        <f t="shared" si="4"/>
        <v>464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14386.439999999997</v>
      </c>
      <c r="J60" s="17">
        <f t="shared" si="2"/>
        <v>0</v>
      </c>
      <c r="L60" s="122"/>
      <c r="M60" s="182">
        <f t="shared" si="6"/>
        <v>296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8981.8700000000008</v>
      </c>
      <c r="U60" s="17">
        <f t="shared" si="3"/>
        <v>0</v>
      </c>
    </row>
    <row r="61" spans="1:21" x14ac:dyDescent="0.25">
      <c r="A61" s="122"/>
      <c r="B61" s="182">
        <f t="shared" si="4"/>
        <v>464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14386.439999999997</v>
      </c>
      <c r="J61" s="17">
        <f t="shared" si="2"/>
        <v>0</v>
      </c>
      <c r="L61" s="122"/>
      <c r="M61" s="182">
        <f t="shared" si="6"/>
        <v>296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8981.8700000000008</v>
      </c>
      <c r="U61" s="17">
        <f t="shared" si="3"/>
        <v>0</v>
      </c>
    </row>
    <row r="62" spans="1:21" x14ac:dyDescent="0.25">
      <c r="A62" s="122"/>
      <c r="B62" s="182">
        <f t="shared" si="4"/>
        <v>464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14386.439999999997</v>
      </c>
      <c r="J62" s="17">
        <f t="shared" si="2"/>
        <v>0</v>
      </c>
      <c r="L62" s="122"/>
      <c r="M62" s="182">
        <f t="shared" si="6"/>
        <v>296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8981.8700000000008</v>
      </c>
      <c r="U62" s="17">
        <f t="shared" si="3"/>
        <v>0</v>
      </c>
    </row>
    <row r="63" spans="1:21" x14ac:dyDescent="0.25">
      <c r="A63" s="122"/>
      <c r="B63" s="182">
        <f t="shared" si="4"/>
        <v>464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14386.439999999997</v>
      </c>
      <c r="J63" s="17">
        <f t="shared" si="2"/>
        <v>0</v>
      </c>
      <c r="L63" s="122"/>
      <c r="M63" s="182">
        <f t="shared" si="6"/>
        <v>296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8981.8700000000008</v>
      </c>
      <c r="U63" s="17">
        <f t="shared" si="3"/>
        <v>0</v>
      </c>
    </row>
    <row r="64" spans="1:21" x14ac:dyDescent="0.25">
      <c r="A64" s="122"/>
      <c r="B64" s="182">
        <f t="shared" si="4"/>
        <v>464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14386.439999999997</v>
      </c>
      <c r="J64" s="17">
        <f t="shared" si="2"/>
        <v>0</v>
      </c>
      <c r="L64" s="122"/>
      <c r="M64" s="182">
        <f t="shared" si="6"/>
        <v>296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8981.8700000000008</v>
      </c>
      <c r="U64" s="17">
        <f t="shared" si="3"/>
        <v>0</v>
      </c>
    </row>
    <row r="65" spans="1:21" x14ac:dyDescent="0.25">
      <c r="A65" s="122"/>
      <c r="B65" s="182">
        <f t="shared" si="4"/>
        <v>464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14386.439999999997</v>
      </c>
      <c r="J65" s="17">
        <f t="shared" si="2"/>
        <v>0</v>
      </c>
      <c r="L65" s="122"/>
      <c r="M65" s="182">
        <f t="shared" si="6"/>
        <v>296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8981.8700000000008</v>
      </c>
      <c r="U65" s="17">
        <f t="shared" si="3"/>
        <v>0</v>
      </c>
    </row>
    <row r="66" spans="1:21" x14ac:dyDescent="0.25">
      <c r="A66" s="122"/>
      <c r="B66" s="182">
        <f t="shared" si="4"/>
        <v>464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14386.439999999997</v>
      </c>
      <c r="J66" s="17">
        <f t="shared" si="2"/>
        <v>0</v>
      </c>
      <c r="L66" s="122"/>
      <c r="M66" s="182">
        <f t="shared" si="6"/>
        <v>296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8981.8700000000008</v>
      </c>
      <c r="U66" s="17">
        <f t="shared" si="3"/>
        <v>0</v>
      </c>
    </row>
    <row r="67" spans="1:21" x14ac:dyDescent="0.25">
      <c r="A67" s="122"/>
      <c r="B67" s="182">
        <f t="shared" si="4"/>
        <v>464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14386.439999999997</v>
      </c>
      <c r="J67" s="17">
        <f t="shared" si="2"/>
        <v>0</v>
      </c>
      <c r="L67" s="122"/>
      <c r="M67" s="182">
        <f t="shared" si="6"/>
        <v>296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8981.8700000000008</v>
      </c>
      <c r="U67" s="17">
        <f t="shared" si="3"/>
        <v>0</v>
      </c>
    </row>
    <row r="68" spans="1:21" x14ac:dyDescent="0.25">
      <c r="A68" s="122"/>
      <c r="B68" s="182">
        <f t="shared" si="4"/>
        <v>464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14386.439999999997</v>
      </c>
      <c r="J68" s="17">
        <f t="shared" si="2"/>
        <v>0</v>
      </c>
      <c r="L68" s="122"/>
      <c r="M68" s="182">
        <f t="shared" si="6"/>
        <v>296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8981.8700000000008</v>
      </c>
      <c r="U68" s="17">
        <f t="shared" si="3"/>
        <v>0</v>
      </c>
    </row>
    <row r="69" spans="1:21" x14ac:dyDescent="0.25">
      <c r="A69" s="122"/>
      <c r="B69" s="182">
        <f t="shared" si="4"/>
        <v>464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14386.439999999997</v>
      </c>
      <c r="J69" s="17">
        <f t="shared" si="2"/>
        <v>0</v>
      </c>
      <c r="L69" s="122"/>
      <c r="M69" s="182">
        <f t="shared" si="6"/>
        <v>296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8981.8700000000008</v>
      </c>
      <c r="U69" s="17">
        <f t="shared" si="3"/>
        <v>0</v>
      </c>
    </row>
    <row r="70" spans="1:21" x14ac:dyDescent="0.25">
      <c r="A70" s="122"/>
      <c r="B70" s="182">
        <f t="shared" si="4"/>
        <v>464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14386.439999999997</v>
      </c>
      <c r="J70" s="17">
        <f t="shared" si="2"/>
        <v>0</v>
      </c>
      <c r="L70" s="122"/>
      <c r="M70" s="182">
        <f t="shared" si="6"/>
        <v>296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8981.8700000000008</v>
      </c>
      <c r="U70" s="17">
        <f t="shared" si="3"/>
        <v>0</v>
      </c>
    </row>
    <row r="71" spans="1:21" x14ac:dyDescent="0.25">
      <c r="A71" s="122"/>
      <c r="B71" s="182">
        <f t="shared" si="4"/>
        <v>464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14386.439999999997</v>
      </c>
      <c r="J71" s="17">
        <f t="shared" si="2"/>
        <v>0</v>
      </c>
      <c r="L71" s="122"/>
      <c r="M71" s="182">
        <f t="shared" si="6"/>
        <v>296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8981.8700000000008</v>
      </c>
      <c r="U71" s="17">
        <f t="shared" si="3"/>
        <v>0</v>
      </c>
    </row>
    <row r="72" spans="1:21" x14ac:dyDescent="0.25">
      <c r="A72" s="122"/>
      <c r="B72" s="182">
        <f t="shared" si="4"/>
        <v>464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14386.439999999997</v>
      </c>
      <c r="J72" s="17">
        <f t="shared" si="2"/>
        <v>0</v>
      </c>
      <c r="L72" s="122"/>
      <c r="M72" s="182">
        <f t="shared" si="6"/>
        <v>296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8981.8700000000008</v>
      </c>
      <c r="U72" s="17">
        <f t="shared" si="3"/>
        <v>0</v>
      </c>
    </row>
    <row r="73" spans="1:21" x14ac:dyDescent="0.25">
      <c r="A73" s="122"/>
      <c r="B73" s="182">
        <f t="shared" si="4"/>
        <v>464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14386.439999999997</v>
      </c>
      <c r="J73" s="17">
        <f t="shared" si="2"/>
        <v>0</v>
      </c>
      <c r="L73" s="122"/>
      <c r="M73" s="182">
        <f t="shared" si="6"/>
        <v>296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8981.8700000000008</v>
      </c>
      <c r="U73" s="17">
        <f t="shared" si="3"/>
        <v>0</v>
      </c>
    </row>
    <row r="74" spans="1:21" x14ac:dyDescent="0.25">
      <c r="A74" s="122"/>
      <c r="B74" s="182">
        <f t="shared" si="4"/>
        <v>464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14386.439999999997</v>
      </c>
      <c r="J74" s="17">
        <f t="shared" si="2"/>
        <v>0</v>
      </c>
      <c r="L74" s="122"/>
      <c r="M74" s="182">
        <f t="shared" si="6"/>
        <v>296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8981.8700000000008</v>
      </c>
      <c r="U74" s="17">
        <f t="shared" si="3"/>
        <v>0</v>
      </c>
    </row>
    <row r="75" spans="1:21" x14ac:dyDescent="0.25">
      <c r="A75" s="122"/>
      <c r="B75" s="182">
        <f t="shared" si="4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14386.439999999997</v>
      </c>
      <c r="J75" s="17">
        <f t="shared" ref="J75:J77" si="11">F75*H75</f>
        <v>0</v>
      </c>
      <c r="L75" s="122"/>
      <c r="M75" s="182">
        <f t="shared" si="6"/>
        <v>296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8981.8700000000008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14386.439999999997</v>
      </c>
      <c r="J76" s="17">
        <f t="shared" si="11"/>
        <v>0</v>
      </c>
      <c r="L76" s="122"/>
      <c r="M76" s="182">
        <f t="shared" ref="M76" si="15">M75-N76</f>
        <v>296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8981.8700000000008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14386.439999999997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8981.8700000000008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464</v>
      </c>
      <c r="O82" s="45" t="s">
        <v>4</v>
      </c>
      <c r="P82" s="56">
        <f>Q5+Q6-N79+Q7+Q4</f>
        <v>296</v>
      </c>
    </row>
    <row r="83" spans="3:17" ht="15.75" thickBot="1" x14ac:dyDescent="0.3"/>
    <row r="84" spans="3:17" ht="15.75" thickBot="1" x14ac:dyDescent="0.3">
      <c r="C84" s="1270" t="s">
        <v>11</v>
      </c>
      <c r="D84" s="1271"/>
      <c r="E84" s="57">
        <f>E5+E6-F79+E7+E4</f>
        <v>14386.439999999999</v>
      </c>
      <c r="F84" s="73"/>
      <c r="N84" s="1270" t="s">
        <v>11</v>
      </c>
      <c r="O84" s="1271"/>
      <c r="P84" s="57">
        <f>P5+P6-Q79+P7+P4</f>
        <v>8981.8700000000008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2023-01-03T21:52:46Z</dcterms:modified>
</cp:coreProperties>
</file>