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3" i="38" l="1"/>
  <c r="T113" i="38"/>
  <c r="I113" i="38"/>
  <c r="S120" i="38" l="1"/>
  <c r="T120" i="38"/>
  <c r="I120" i="38"/>
  <c r="S119" i="38" l="1"/>
  <c r="T119" i="38"/>
  <c r="I119" i="38"/>
  <c r="S104" i="38"/>
  <c r="T104" i="38"/>
  <c r="I104" i="38"/>
  <c r="S118" i="38"/>
  <c r="T118" i="38"/>
  <c r="I118" i="38"/>
  <c r="S107" i="38"/>
  <c r="T107" i="38"/>
  <c r="I107" i="38"/>
  <c r="J13" i="205" l="1"/>
  <c r="J11" i="205"/>
  <c r="J12" i="205"/>
  <c r="J10" i="205"/>
  <c r="J9" i="205"/>
  <c r="I10" i="40"/>
  <c r="B9" i="54"/>
  <c r="J14" i="205" l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34" i="57"/>
  <c r="F35" i="57"/>
  <c r="P84" i="129" l="1"/>
  <c r="P82" i="129"/>
  <c r="I9" i="57" l="1"/>
  <c r="P10" i="57"/>
  <c r="F33" i="197" l="1"/>
  <c r="F34" i="197"/>
  <c r="F35" i="197"/>
  <c r="P9" i="197"/>
  <c r="B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B12" i="177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B11" i="177"/>
  <c r="B10" i="177"/>
  <c r="Q18" i="38" l="1"/>
  <c r="Q21" i="38" l="1"/>
  <c r="Q17" i="38" l="1"/>
  <c r="Q20" i="38"/>
  <c r="Q14" i="38"/>
  <c r="Q29" i="38" l="1"/>
  <c r="Q27" i="38"/>
  <c r="Q25" i="38"/>
  <c r="Q19" i="38"/>
  <c r="Q23" i="38"/>
  <c r="Q22" i="38"/>
  <c r="Q26" i="38" l="1"/>
  <c r="Q24" i="38"/>
  <c r="S106" i="38"/>
  <c r="T106" i="38"/>
  <c r="Q28" i="38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19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U40" i="129"/>
  <c r="Q40" i="129"/>
  <c r="Q39" i="129"/>
  <c r="U39" i="129" s="1"/>
  <c r="Q38" i="129"/>
  <c r="U38" i="129" s="1"/>
  <c r="U37" i="129"/>
  <c r="Q37" i="129"/>
  <c r="U36" i="129"/>
  <c r="Q36" i="129"/>
  <c r="Q35" i="129"/>
  <c r="U35" i="129" s="1"/>
  <c r="Q34" i="129"/>
  <c r="U34" i="129" s="1"/>
  <c r="U33" i="129"/>
  <c r="Q33" i="129"/>
  <c r="U32" i="129"/>
  <c r="Q32" i="129"/>
  <c r="Q31" i="129"/>
  <c r="U31" i="129" s="1"/>
  <c r="Q30" i="129"/>
  <c r="U30" i="129" s="1"/>
  <c r="U29" i="129"/>
  <c r="Q29" i="129"/>
  <c r="U28" i="129"/>
  <c r="Q28" i="129"/>
  <c r="Q27" i="129"/>
  <c r="U27" i="129" s="1"/>
  <c r="Q26" i="129"/>
  <c r="U26" i="129" s="1"/>
  <c r="U25" i="129"/>
  <c r="Q25" i="129"/>
  <c r="U24" i="129"/>
  <c r="Q24" i="129"/>
  <c r="Q23" i="129"/>
  <c r="U23" i="129" s="1"/>
  <c r="Q22" i="129"/>
  <c r="U22" i="129" s="1"/>
  <c r="U21" i="129"/>
  <c r="Q21" i="129"/>
  <c r="U20" i="129"/>
  <c r="Q20" i="129"/>
  <c r="Q19" i="129"/>
  <c r="U19" i="129" s="1"/>
  <c r="Q18" i="129"/>
  <c r="U18" i="129" s="1"/>
  <c r="Q17" i="129"/>
  <c r="U17" i="129" s="1"/>
  <c r="U16" i="129"/>
  <c r="Q16" i="129"/>
  <c r="Q15" i="129"/>
  <c r="U15" i="129" s="1"/>
  <c r="Q14" i="129"/>
  <c r="U14" i="129" s="1"/>
  <c r="U13" i="129"/>
  <c r="Q13" i="129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48" i="57"/>
  <c r="O53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8" i="197"/>
  <c r="O83" i="197" s="1"/>
  <c r="Q79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3" i="38"/>
  <c r="Q12" i="38"/>
  <c r="Q11" i="38"/>
  <c r="Q6" i="188" l="1"/>
  <c r="R6" i="188" s="1"/>
  <c r="Q6" i="57"/>
  <c r="R6" i="57" s="1"/>
  <c r="Q6" i="197"/>
  <c r="R6" i="197" s="1"/>
  <c r="R6" i="129"/>
  <c r="S6" i="129" s="1"/>
  <c r="Q16" i="38"/>
  <c r="Q15" i="38"/>
  <c r="Q10" i="38"/>
  <c r="I106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S102" i="38"/>
  <c r="S103" i="38"/>
  <c r="T103" i="38" s="1"/>
  <c r="S105" i="38"/>
  <c r="T105" i="38" s="1"/>
  <c r="I102" i="38"/>
  <c r="I103" i="38"/>
  <c r="I105" i="38"/>
  <c r="I108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W35" i="65"/>
  <c r="P35" i="65"/>
  <c r="R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AJ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U1" i="188"/>
  <c r="AI83" i="188" l="1"/>
  <c r="AK6" i="188"/>
  <c r="AL6" i="188" s="1"/>
  <c r="Q112" i="65"/>
  <c r="S5" i="65"/>
  <c r="T5" i="65" s="1"/>
  <c r="U1" i="1"/>
  <c r="D9" i="40" l="1"/>
  <c r="F9" i="40" s="1"/>
  <c r="F20" i="177"/>
  <c r="F19" i="177"/>
  <c r="F18" i="177"/>
  <c r="F17" i="177"/>
  <c r="F16" i="177"/>
  <c r="F15" i="177"/>
  <c r="F14" i="177"/>
  <c r="F13" i="177"/>
  <c r="F12" i="177"/>
  <c r="F11" i="177"/>
  <c r="F10" i="177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12" i="129" l="1"/>
  <c r="F11" i="129"/>
  <c r="F10" i="129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/>
  <c r="S157" i="38"/>
  <c r="T157" i="38" s="1"/>
  <c r="S158" i="38"/>
  <c r="T158" i="38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/>
  <c r="S165" i="38"/>
  <c r="T165" i="38" s="1"/>
  <c r="S166" i="38"/>
  <c r="T166" i="38"/>
  <c r="S167" i="38"/>
  <c r="T167" i="38" s="1"/>
  <c r="S168" i="38"/>
  <c r="T168" i="38" s="1"/>
  <c r="S169" i="38"/>
  <c r="T169" i="38" s="1"/>
  <c r="S170" i="38"/>
  <c r="T170" i="38" s="1"/>
  <c r="S171" i="38"/>
  <c r="T171" i="38" s="1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J55" i="129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T140" i="38" s="1"/>
  <c r="G6" i="129" l="1"/>
  <c r="H6" i="129" s="1"/>
  <c r="E73" i="54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17" i="38" l="1"/>
  <c r="T117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P32" i="180" l="1"/>
  <c r="Q5" i="180" s="1"/>
  <c r="R5" i="180" s="1"/>
  <c r="Q93" i="117"/>
  <c r="P96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S116" i="38"/>
  <c r="T116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3" i="196"/>
  <c r="F12" i="196"/>
  <c r="F10" i="196"/>
  <c r="F11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Z78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G5" i="177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Y83" i="188"/>
  <c r="AA6" i="188"/>
  <c r="AB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7" i="38" l="1"/>
  <c r="I116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1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6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0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2" i="38" l="1"/>
  <c r="T112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2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5" i="38" l="1"/>
  <c r="T115" i="38" s="1"/>
  <c r="I115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9" i="38" l="1"/>
  <c r="S109" i="38" l="1"/>
  <c r="T109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14" i="38" l="1"/>
  <c r="T114" i="38" s="1"/>
  <c r="I114" i="38" l="1"/>
  <c r="S100" i="38" l="1"/>
  <c r="S110" i="38"/>
  <c r="S111" i="38"/>
  <c r="I111" i="38" l="1"/>
  <c r="T110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11" i="38" l="1"/>
  <c r="I110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<sst xmlns="http://schemas.openxmlformats.org/spreadsheetml/2006/main" count="3917" uniqueCount="607">
  <si>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</si>
  <si>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</si>
  <si>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</si>
  <si>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</si>
  <si>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</si>
  <si>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</si>
  <si>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</si>
  <si>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</si>
  <si>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</si>
  <si>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</si>
  <si>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</si>
  <si>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</si>
  <si>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</si>
  <si>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</si>
  <si>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</si>
  <si>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</si>
  <si>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</si>
  <si>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</si>
  <si>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</si>
  <si>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</si>
  <si>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</si>
  <si>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</si>
  <si>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</si>
  <si>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</si>
  <si>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</si>
  <si>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</si>
  <si>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</si>
  <si>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</si>
  <si>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</si>
  <si>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</si>
  <si>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</si>
  <si>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</si>
  <si>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</si>
  <si>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</si>
  <si>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</si>
  <si>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</si>
  <si>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</si>
  <si>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</si>
  <si>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</si>
  <si>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</si>
  <si>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</si>
  <si>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</si>
  <si>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</si>
  <si>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</si>
  <si>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</si>
  <si>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</si>
  <si>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</si>
  <si>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</si>
  <si>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</si>
  <si>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</si>
  <si>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</si>
  <si>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</si>
  <si>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</si>
  <si>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</si>
  <si>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</si>
  <si>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</si>
  <si>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</si>
  <si>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</si>
  <si>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</si>
  <si>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</si>
  <si>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</si>
  <si>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</si>
  <si>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</si>
  <si>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</si>
  <si>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</si>
  <si>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</si>
  <si>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</si>
  <si>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</si>
  <si>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</si>
  <si>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</si>
  <si>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</si>
  <si>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</si>
  <si>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</si>
  <si>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</si>
  <si>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</si>
  <si>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</si>
  <si>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</si>
  <si>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</si>
  <si>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</si>
  <si>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</si>
  <si>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</si>
  <si>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</si>
  <si>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</si>
  <si>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</si>
  <si>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</si>
  <si>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</si>
  <si>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</si>
  <si>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</si>
  <si>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</si>
  <si>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</si>
  <si>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</si>
  <si>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</si>
  <si>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</si>
  <si>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</si>
  <si>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</si>
  <si>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</si>
  <si>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</si>
  <si>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</si>
  <si>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</si>
  <si>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</si>
  <si>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</si>
  <si>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</si>
  <si>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</si>
  <si>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</si>
  <si>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</si>
  <si>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</si>
  <si>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</si>
  <si>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</si>
  <si>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</si>
  <si>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</si>
  <si>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</si>
  <si>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</si>
  <si>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</si>
  <si>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</si>
  <si>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</si>
  <si>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</si>
  <si>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</si>
  <si>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</si>
  <si>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</si>
  <si>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</si>
  <si>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</si>
  <si>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</si>
  <si>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</si>
  <si>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</si>
  <si>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</si>
  <si>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</si>
  <si>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</si>
  <si>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</si>
  <si>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</si>
  <si>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</si>
  <si>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</si>
  <si>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</si>
  <si>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</si>
  <si>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</si>
  <si>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</si>
  <si>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</si>
  <si>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</si>
  <si>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</si>
  <si>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</si>
  <si>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</si>
  <si>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</si>
  <si>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</si>
  <si>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</si>
  <si>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</si>
  <si>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</si>
  <si>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</si>
  <si>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</si>
  <si>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</si>
  <si>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</si>
  <si>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</si>
  <si>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</si>
  <si>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</si>
  <si>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</si>
  <si>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</si>
  <si>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</si>
  <si>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</si>
  <si>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</si>
  <si>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</si>
  <si>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</si>
  <si>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</si>
  <si>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</si>
  <si>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</si>
  <si>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</si>
  <si>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</si>
  <si>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</si>
  <si>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</si>
  <si>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</si>
  <si>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</si>
  <si>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</si>
  <si>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</si>
  <si>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</si>
  <si>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</si>
  <si>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</si>
  <si>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</si>
  <si>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</si>
  <si>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</si>
  <si>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</si>
  <si>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</si>
  <si>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</si>
  <si>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</si>
  <si>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</si>
  <si>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</si>
  <si>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</si>
  <si>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</si>
  <si>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</si>
  <si>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</si>
  <si>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</si>
  <si>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</si>
  <si>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</si>
  <si>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</si>
  <si>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</si>
  <si>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</si>
  <si>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</si>
  <si>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</si>
  <si>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</si>
  <si>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</si>
  <si>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</si>
  <si>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</si>
  <si>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</si>
  <si>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</si>
  <si>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</si>
  <si>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</si>
  <si>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</si>
  <si>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</si>
  <si>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</si>
  <si>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</si>
  <si>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</si>
  <si>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</si>
  <si>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</si>
  <si>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</si>
  <si>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</si>
  <si>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</si>
  <si>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</si>
  <si>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</si>
  <si>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</si>
  <si>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</si>
  <si>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</si>
  <si>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</si>
  <si>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</si>
  <si>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</si>
  <si>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</si>
  <si>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</si>
  <si>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</si>
  <si>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</si>
  <si>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</si>
  <si>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</si>
  <si>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</si>
  <si>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</si>
  <si>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</si>
  <si>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</si>
  <si>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</si>
  <si>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</si>
  <si>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</si>
  <si>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</si>
  <si>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</si>
  <si>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</si>
  <si>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</si>
  <si>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</si>
  <si>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</si>
  <si>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</si>
  <si>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</si>
  <si>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</si>
  <si>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</si>
  <si>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</si>
  <si>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</si>
  <si>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</si>
  <si>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</si>
  <si>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</si>
  <si>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</si>
  <si>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</si>
  <si>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</si>
  <si>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</si>
  <si>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</si>
  <si>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</si>
  <si>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</si>
  <si>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</si>
  <si>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</si>
  <si>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</si>
  <si>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</si>
  <si>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</si>
  <si>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</si>
  <si>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</si>
  <si>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</si>
  <si>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</si>
  <si>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</si>
  <si>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</si>
  <si>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</si>
  <si>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</si>
  <si>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</si>
  <si>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</si>
  <si>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</si>
  <si>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</si>
  <si>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</si>
  <si>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</si>
  <si>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</si>
  <si>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</si>
  <si>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</si>
  <si>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</si>
  <si>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</si>
  <si>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</si>
  <si>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</si>
  <si>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</si>
  <si>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</si>
  <si>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</si>
  <si>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</si>
  <si>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</si>
  <si>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</si>
  <si>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</si>
  <si>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</si>
  <si>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</si>
  <si>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</si>
  <si>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</si>
  <si>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</si>
  <si>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</si>
  <si>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</si>
  <si>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</si>
  <si>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</si>
  <si>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</si>
  <si>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</si>
  <si>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</si>
  <si>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</si>
  <si>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</si>
  <si>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</si>
  <si>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</si>
  <si>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</si>
  <si>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</si>
  <si>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</si>
  <si>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</si>
  <si>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</si>
  <si>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</si>
  <si>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</si>
  <si>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</si>
  <si>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</si>
  <si>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</si>
  <si>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</si>
  <si>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</si>
  <si>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</si>
  <si>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</si>
  <si>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</si>
  <si>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</si>
  <si>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</si>
  <si>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</si>
  <si>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</si>
  <si>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</si>
  <si>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</si>
  <si>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</si>
  <si>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</si>
  <si>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</si>
  <si>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</si>
  <si>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</si>
  <si>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</si>
  <si>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</si>
  <si>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</si>
  <si>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</si>
  <si>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</si>
  <si>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</si>
  <si>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</si>
  <si>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</si>
  <si>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</si>
  <si>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</si>
  <si>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</si>
  <si>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</si>
  <si>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</si>
  <si>
    <t>Transfer S 13-Oct-22</t>
  </si>
  <si>
    <t>Transfer S 17-Oct-22</t>
  </si>
  <si>
    <t>Transfer S 21-Oct-22</t>
  </si>
  <si>
    <t>Transfer B 10-Oct-22</t>
  </si>
  <si>
    <t>Transfer B 17-Oct-22</t>
  </si>
  <si>
    <t>Transfer Bnte 11-Oct-22</t>
  </si>
  <si>
    <t>Transfer Bnte 12-Oct-22</t>
  </si>
  <si>
    <t>Transfer Bnte 13-Oct-22</t>
  </si>
  <si>
    <t>Transfer Bnte 14-Oct-22</t>
  </si>
  <si>
    <t>Transfer B 7-Oct-22</t>
  </si>
  <si>
    <t>PED. 88637175</t>
  </si>
  <si>
    <t>PED. 88573246</t>
  </si>
  <si>
    <t>TYSON FRERH MEAT</t>
  </si>
  <si>
    <t>PED. 8637858</t>
  </si>
  <si>
    <t>PED. 8685317</t>
  </si>
  <si>
    <t>PED. 8685318</t>
  </si>
  <si>
    <t>PED. 88759310</t>
  </si>
  <si>
    <t>PED. 88765000</t>
  </si>
  <si>
    <t>CONTRA EXCEL</t>
  </si>
  <si>
    <t>NLSE22-187</t>
  </si>
  <si>
    <t xml:space="preserve">GRANJERO FELIZ S DE RL </t>
  </si>
  <si>
    <t>ARRACHERA TEXANA</t>
  </si>
  <si>
    <t>A14-27840</t>
  </si>
  <si>
    <t>NLSE22-186</t>
  </si>
  <si>
    <t>NLSE22-188</t>
  </si>
  <si>
    <t>NLSE22-189</t>
  </si>
  <si>
    <t>NLSE22-190</t>
  </si>
  <si>
    <t>CAMARON 100/200</t>
  </si>
  <si>
    <t>PLA-7609</t>
  </si>
  <si>
    <t>HC-11634</t>
  </si>
  <si>
    <t>Transfer S 27-Oct-22</t>
  </si>
  <si>
    <t>ODELPA</t>
  </si>
  <si>
    <t>Transfer B 31-Oct-22</t>
  </si>
  <si>
    <t>BCOED</t>
  </si>
  <si>
    <t>PED. 88868166</t>
  </si>
  <si>
    <t>PED. 8884425</t>
  </si>
  <si>
    <t>PED. 8930850</t>
  </si>
  <si>
    <t>PED. 89004405</t>
  </si>
  <si>
    <t>PED. 89004869</t>
  </si>
  <si>
    <t xml:space="preserve">PED. </t>
  </si>
  <si>
    <t>NLSE22-191</t>
  </si>
  <si>
    <t>NLSE22-192</t>
  </si>
  <si>
    <t>NLSE22-194</t>
  </si>
  <si>
    <t>NLSE22-193</t>
  </si>
  <si>
    <t>Transfer S 24-Oct-22</t>
  </si>
  <si>
    <t>CARNES SELECTAS EL CIEN</t>
  </si>
  <si>
    <t>RES</t>
  </si>
  <si>
    <t>A-59744--</t>
  </si>
  <si>
    <t>Transfer S 28-Oct-22</t>
  </si>
  <si>
    <t>Transfer S 31-Oct-22</t>
  </si>
  <si>
    <t>Transfer B 14-Oct-22</t>
  </si>
  <si>
    <t>Transfer B 24-Oct-22</t>
  </si>
  <si>
    <t>Transfer B 18-Oct-22</t>
  </si>
  <si>
    <t>Transfer B 20-Oct-22</t>
  </si>
  <si>
    <t>Transfer B 21-Oct-22</t>
  </si>
  <si>
    <t>Transfer S 7-Oct</t>
  </si>
  <si>
    <t>Transfer S 11-Oct-22</t>
  </si>
  <si>
    <t>Transfer S 12-Oct-22</t>
  </si>
  <si>
    <t>Transfer B 13-Oct-22</t>
  </si>
  <si>
    <t>Transfer Bnte 17-Oct-22</t>
  </si>
  <si>
    <t>Transfer Bnte 18-Oct-22</t>
  </si>
  <si>
    <t>Transfer Bnte 19-Oct-22</t>
  </si>
  <si>
    <t>Transfer Bnte 20-Oct-22</t>
  </si>
  <si>
    <t>Transfer Bnte 21-Oct-22</t>
  </si>
  <si>
    <t>Transfer Bnte 24-Oct-22</t>
  </si>
  <si>
    <t>Transfer Bnte 25-Oct-22</t>
  </si>
  <si>
    <t>Transfer Bnte 26-Oct-22</t>
  </si>
  <si>
    <t>Transfer Bnte 27-Oct-22</t>
  </si>
  <si>
    <t>0077 B1</t>
  </si>
  <si>
    <t>0078 B1</t>
  </si>
  <si>
    <t>0079 B1</t>
  </si>
  <si>
    <t>0080 B1</t>
  </si>
  <si>
    <t>0081 B1</t>
  </si>
  <si>
    <t>0083 B1</t>
  </si>
  <si>
    <t>0085 B1</t>
  </si>
  <si>
    <t>0086 B1</t>
  </si>
  <si>
    <t>0087 B1</t>
  </si>
  <si>
    <t>0088 B1</t>
  </si>
  <si>
    <t>0089 B1</t>
  </si>
  <si>
    <t>0090 B1</t>
  </si>
  <si>
    <t>0091 B1</t>
  </si>
  <si>
    <t>0096 B1</t>
  </si>
  <si>
    <t>0094 B1</t>
  </si>
  <si>
    <t>0093 B1</t>
  </si>
  <si>
    <t>0095 B1</t>
  </si>
  <si>
    <t>0097 B1</t>
  </si>
  <si>
    <t>0099 B1</t>
  </si>
  <si>
    <t>0100 B1</t>
  </si>
  <si>
    <t>0101 B1</t>
  </si>
  <si>
    <t>0102 B1</t>
  </si>
  <si>
    <t>0104 B1</t>
  </si>
  <si>
    <t>0122 B1</t>
  </si>
  <si>
    <t>0132 B1</t>
  </si>
  <si>
    <t>0162 B1</t>
  </si>
  <si>
    <t>0103 B1</t>
  </si>
  <si>
    <t>0105 B1</t>
  </si>
  <si>
    <t>0108 B1</t>
  </si>
  <si>
    <t>0109 B1</t>
  </si>
  <si>
    <t>103 B1</t>
  </si>
  <si>
    <t>0106 B1</t>
  </si>
  <si>
    <t>0107 B1</t>
  </si>
  <si>
    <t>0110 B1</t>
  </si>
  <si>
    <t>0111 B1</t>
  </si>
  <si>
    <t>0121 B1</t>
  </si>
  <si>
    <t>0141 B1</t>
  </si>
  <si>
    <t>0161 B1</t>
  </si>
  <si>
    <t>0112 B1</t>
  </si>
  <si>
    <t xml:space="preserve">0112 B1 </t>
  </si>
  <si>
    <t>0114 B1</t>
  </si>
  <si>
    <t>0115 B1</t>
  </si>
  <si>
    <t>0117 B1</t>
  </si>
  <si>
    <t>0113 B1</t>
  </si>
  <si>
    <t>0113B1</t>
  </si>
  <si>
    <t>0115 b1</t>
  </si>
  <si>
    <t>0117 b1</t>
  </si>
  <si>
    <t>0118 B1</t>
  </si>
  <si>
    <t>0119 B1</t>
  </si>
  <si>
    <t>0120 B1</t>
  </si>
  <si>
    <t>0124 B1</t>
  </si>
  <si>
    <t>0125 B1</t>
  </si>
  <si>
    <t>0127 B1</t>
  </si>
  <si>
    <t>0128 B1</t>
  </si>
  <si>
    <t>0129 B1</t>
  </si>
  <si>
    <t>0130 B1</t>
  </si>
  <si>
    <t>0131 B1</t>
  </si>
  <si>
    <t>0133 B1</t>
  </si>
  <si>
    <t>0134 B1</t>
  </si>
  <si>
    <t>0135 B1</t>
  </si>
  <si>
    <t>0136 B1</t>
  </si>
  <si>
    <t>0137 B1</t>
  </si>
  <si>
    <t>0138 B1</t>
  </si>
  <si>
    <t>0139 B1</t>
  </si>
  <si>
    <t>0140 B1</t>
  </si>
  <si>
    <t>0142 B1</t>
  </si>
  <si>
    <t>0143 B1</t>
  </si>
  <si>
    <t>0144 B1</t>
  </si>
  <si>
    <t>KARDES Reg. 4 cajas</t>
  </si>
  <si>
    <t>0145 b1</t>
  </si>
  <si>
    <t>0146 B1</t>
  </si>
  <si>
    <t>0147 B1</t>
  </si>
  <si>
    <t>0145 B1</t>
  </si>
  <si>
    <t>0149 B1</t>
  </si>
  <si>
    <t>0149B1</t>
  </si>
  <si>
    <t>0150 B1</t>
  </si>
  <si>
    <t>0151 B1</t>
  </si>
  <si>
    <t>0152 B1</t>
  </si>
  <si>
    <t>0153 B1</t>
  </si>
  <si>
    <t>0154 B1</t>
  </si>
  <si>
    <t>0155 B1</t>
  </si>
  <si>
    <t>0158 B1</t>
  </si>
  <si>
    <t>0159 B1</t>
  </si>
  <si>
    <t>0160 B1</t>
  </si>
  <si>
    <t>0163 B1</t>
  </si>
  <si>
    <t>0164 B1</t>
  </si>
  <si>
    <t>0165 B1</t>
  </si>
  <si>
    <t>0167 B1</t>
  </si>
  <si>
    <t>0168 B1</t>
  </si>
  <si>
    <t>0169 B1</t>
  </si>
  <si>
    <t>0170 B1</t>
  </si>
  <si>
    <t>0171 B1</t>
  </si>
  <si>
    <t>0172 B1</t>
  </si>
  <si>
    <t>0174 B1</t>
  </si>
  <si>
    <t>0173 B1</t>
  </si>
  <si>
    <t>0175 B1</t>
  </si>
  <si>
    <t>0176 B1</t>
  </si>
  <si>
    <t>0177 B1</t>
  </si>
  <si>
    <t>0179 B1</t>
  </si>
  <si>
    <t>0180 B1</t>
  </si>
  <si>
    <t>0181 B1</t>
  </si>
  <si>
    <t>0182 B1</t>
  </si>
  <si>
    <t>0183 B1</t>
  </si>
  <si>
    <t>0184 B1</t>
  </si>
  <si>
    <t>0185 B1</t>
  </si>
  <si>
    <t>0186 B1</t>
  </si>
  <si>
    <t>0187 B1</t>
  </si>
  <si>
    <t>0188 B1</t>
  </si>
  <si>
    <t>00189 B1</t>
  </si>
  <si>
    <t>0190 B1</t>
  </si>
  <si>
    <t>0192 B1</t>
  </si>
  <si>
    <t>0193 B1</t>
  </si>
  <si>
    <t>0194 B1</t>
  </si>
  <si>
    <t>0195 B1</t>
  </si>
  <si>
    <t>0196 B1</t>
  </si>
  <si>
    <t>0197 B1</t>
  </si>
  <si>
    <t>0198 B1</t>
  </si>
  <si>
    <t>0199 B1</t>
  </si>
  <si>
    <t>Traspaso 0017 B1  Dieron de baja  ( 10 Pzas )</t>
  </si>
  <si>
    <t>0200 B1</t>
  </si>
  <si>
    <t>0202 B1</t>
  </si>
  <si>
    <t>0203 B1</t>
  </si>
  <si>
    <t>0204 B1</t>
  </si>
  <si>
    <t>0205 B1</t>
  </si>
  <si>
    <t>0206 B1</t>
  </si>
  <si>
    <t>0207 B1</t>
  </si>
  <si>
    <t>0208 B1</t>
  </si>
  <si>
    <t>0209 B1</t>
  </si>
  <si>
    <t>0210 B1</t>
  </si>
  <si>
    <t>0210 b1</t>
  </si>
  <si>
    <t>0211 B1</t>
  </si>
  <si>
    <t>0212 B1</t>
  </si>
  <si>
    <t>0214 B1</t>
  </si>
  <si>
    <t>0215 B1</t>
  </si>
  <si>
    <t>0216 B1</t>
  </si>
  <si>
    <t>0217 B1</t>
  </si>
  <si>
    <t>0218 B1</t>
  </si>
  <si>
    <t>0219 B1</t>
  </si>
  <si>
    <t>0220 B1</t>
  </si>
  <si>
    <t>0221 B1</t>
  </si>
  <si>
    <t>0222 B1</t>
  </si>
  <si>
    <t>0224 B1</t>
  </si>
  <si>
    <t>0226 B1</t>
  </si>
  <si>
    <t>0227 B1</t>
  </si>
  <si>
    <t>0228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</si>
  <si>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</si>
  <si>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</si>
  <si>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</si>
  <si>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</si>
  <si>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</si>
  <si>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</si>
  <si>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</si>
  <si>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</si>
  <si>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0238 B1</t>
  </si>
  <si>
    <t>0239 B1</t>
  </si>
  <si>
    <t>0240 B1</t>
  </si>
  <si>
    <t>0241 B1</t>
  </si>
  <si>
    <t>0242 B1</t>
  </si>
  <si>
    <t>0243 B1</t>
  </si>
  <si>
    <t>0244 B1</t>
  </si>
  <si>
    <t>0245 B1</t>
  </si>
  <si>
    <t>0247 B1</t>
  </si>
  <si>
    <t>0248 B1</t>
  </si>
  <si>
    <t>0249 B1</t>
  </si>
  <si>
    <t>0251 B1</t>
  </si>
  <si>
    <t>0252 B1</t>
  </si>
  <si>
    <t>0253 B1</t>
  </si>
  <si>
    <t>0255 B1</t>
  </si>
  <si>
    <t>0256 B1</t>
  </si>
  <si>
    <t>0257 B1</t>
  </si>
  <si>
    <t>0258 B1</t>
  </si>
  <si>
    <t>0259 B1</t>
  </si>
  <si>
    <t>0260 B1</t>
  </si>
  <si>
    <t>0261 B1</t>
  </si>
  <si>
    <t>0262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</si>
  <si>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</si>
  <si>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</si>
  <si>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</si>
  <si>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</si>
  <si>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</si>
  <si>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</si>
  <si>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TOTAL DE ENTRADAS DEL MES      OCTUBRE        2022</t>
  </si>
  <si>
    <t>VARIOS</t>
  </si>
  <si>
    <t>FOLIO CENTRAL 11136</t>
  </si>
  <si>
    <t>A-335866---Nota 3038</t>
  </si>
  <si>
    <t>Transfer S 3-Nov-22</t>
  </si>
  <si>
    <t>A-335940--* Nota 3913</t>
  </si>
  <si>
    <t>A-335847--/*Nota 2741</t>
  </si>
  <si>
    <t>A-335942--Nota 4214</t>
  </si>
  <si>
    <t>FOLIO CENTRAL 11154</t>
  </si>
  <si>
    <t>FOLIO CENTRAL 11147</t>
  </si>
  <si>
    <t>FOLIO CENTRAL 11132</t>
  </si>
  <si>
    <t>FOLIO CENTRAL 11158</t>
  </si>
  <si>
    <t>A-336019--Nota 4467</t>
  </si>
  <si>
    <t>FOLIO CENTRAL 11141</t>
  </si>
  <si>
    <t>A-335877---Nota 3389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</si>
</sst>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2"/>
      <color rgb="FF0000FF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17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80" fillId="0" borderId="87" xfId="0" applyFont="1" applyFill="1" applyBorder="1" applyAlignment="1">
      <alignment vertical="center" wrapText="1"/>
    </xf>
    <xf numFmtId="168" fontId="40" fillId="0" borderId="87" xfId="0" applyNumberFormat="1" applyFont="1" applyBorder="1" applyAlignment="1">
      <alignment vertical="center"/>
    </xf>
    <xf numFmtId="1" fontId="7" fillId="0" borderId="92" xfId="0" applyNumberFormat="1" applyFont="1" applyFill="1" applyBorder="1" applyAlignment="1">
      <alignment horizontal="center" vertical="center"/>
    </xf>
    <xf numFmtId="1" fontId="7" fillId="0" borderId="92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vertical="center"/>
    </xf>
    <xf numFmtId="0" fontId="83" fillId="0" borderId="91" xfId="0" applyFont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19" borderId="0" xfId="0" applyFont="1" applyFill="1" applyAlignment="1">
      <alignment horizontal="center" wrapText="1"/>
    </xf>
    <xf numFmtId="164" fontId="7" fillId="0" borderId="74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horizontal="center" vertical="center"/>
    </xf>
    <xf numFmtId="0" fontId="87" fillId="0" borderId="68" xfId="0" applyFont="1" applyFill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87" xfId="0" applyNumberFormat="1" applyFont="1" applyFill="1" applyBorder="1" applyAlignment="1">
      <alignment vertical="center" wrapText="1"/>
    </xf>
    <xf numFmtId="44" fontId="7" fillId="23" borderId="33" xfId="1" applyFont="1" applyFill="1" applyBorder="1" applyAlignment="1">
      <alignment vertical="center"/>
    </xf>
    <xf numFmtId="164" fontId="7" fillId="23" borderId="68" xfId="0" applyNumberFormat="1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2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0" fontId="27" fillId="7" borderId="51" xfId="0" applyFont="1" applyFill="1" applyBorder="1" applyAlignment="1">
      <alignment horizontal="right"/>
    </xf>
    <xf numFmtId="164" fontId="27" fillId="7" borderId="51" xfId="0" applyNumberFormat="1" applyFont="1" applyFill="1" applyBorder="1"/>
    <xf numFmtId="4" fontId="7" fillId="7" borderId="0" xfId="0" applyNumberFormat="1" applyFont="1" applyFill="1"/>
    <xf numFmtId="167" fontId="0" fillId="0" borderId="0" xfId="0" applyNumberFormat="1"/>
    <xf numFmtId="167" fontId="0" fillId="0" borderId="12" xfId="0" applyNumberFormat="1" applyBorder="1"/>
    <xf numFmtId="0" fontId="88" fillId="0" borderId="0" xfId="0" applyFont="1"/>
    <xf numFmtId="0" fontId="3" fillId="4" borderId="51" xfId="0" applyFont="1" applyFill="1" applyBorder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0" fontId="3" fillId="0" borderId="0" xfId="0" applyFont="1" applyFill="1" applyAlignment="1">
      <alignment horizontal="center"/>
    </xf>
    <xf numFmtId="2" fontId="7" fillId="7" borderId="0" xfId="0" applyNumberFormat="1" applyFont="1" applyFill="1" applyAlignment="1">
      <alignment horizontal="right"/>
    </xf>
    <xf numFmtId="164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68" fontId="7" fillId="7" borderId="4" xfId="0" applyNumberFormat="1" applyFont="1" applyFill="1" applyBorder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5" fontId="7" fillId="7" borderId="4" xfId="0" applyNumberFormat="1" applyFont="1" applyFill="1" applyBorder="1"/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4" fontId="15" fillId="7" borderId="0" xfId="0" applyNumberFormat="1" applyFont="1" applyFill="1"/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102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vertical="center" wrapText="1"/>
    </xf>
    <xf numFmtId="0" fontId="40" fillId="0" borderId="102" xfId="0" applyFont="1" applyFill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40" fillId="0" borderId="103" xfId="0" applyFont="1" applyFill="1" applyBorder="1" applyAlignment="1">
      <alignment horizontal="center" vertical="center"/>
    </xf>
    <xf numFmtId="0" fontId="40" fillId="0" borderId="86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168" fontId="40" fillId="0" borderId="105" xfId="0" applyNumberFormat="1" applyFont="1" applyBorder="1" applyAlignment="1">
      <alignment horizontal="center" vertical="center"/>
    </xf>
    <xf numFmtId="168" fontId="40" fillId="0" borderId="102" xfId="0" applyNumberFormat="1" applyFont="1" applyBorder="1" applyAlignment="1">
      <alignment horizontal="center" vertical="center"/>
    </xf>
    <xf numFmtId="168" fontId="40" fillId="0" borderId="71" xfId="0" applyNumberFormat="1" applyFont="1" applyBorder="1" applyAlignment="1">
      <alignment horizontal="center" vertical="center"/>
    </xf>
    <xf numFmtId="1" fontId="41" fillId="0" borderId="105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40" fillId="0" borderId="48" xfId="0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 wrapText="1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7" fillId="4" borderId="106" xfId="0" applyNumberFormat="1" applyFont="1" applyFill="1" applyBorder="1" applyAlignment="1">
      <alignment horizontal="center" vertical="center"/>
    </xf>
    <xf numFmtId="164" fontId="7" fillId="4" borderId="107" xfId="0" applyNumberFormat="1" applyFont="1" applyFill="1" applyBorder="1" applyAlignment="1">
      <alignment horizontal="center" vertical="center"/>
    </xf>
    <xf numFmtId="164" fontId="7" fillId="4" borderId="10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89" fillId="0" borderId="48" xfId="0" applyFont="1" applyFill="1" applyBorder="1" applyAlignment="1">
      <alignment horizontal="center" vertical="center" wrapText="1"/>
    </xf>
    <xf numFmtId="0" fontId="89" fillId="0" borderId="49" xfId="0" applyFont="1" applyFill="1" applyBorder="1" applyAlignment="1">
      <alignment horizontal="center" vertic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83" fillId="0" borderId="33" xfId="1" applyFont="1" applyFill="1" applyBorder="1" applyAlignment="1">
      <alignment wrapText="1"/>
    </xf>
    <xf numFmtId="44" fontId="10" fillId="2" borderId="33" xfId="1" applyFont="1" applyFill="1" applyBorder="1" applyAlignment="1"/>
    <xf numFmtId="44" fontId="10" fillId="2" borderId="33" xfId="1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 wrapText="1"/>
    </xf>
    <xf numFmtId="168" fontId="40" fillId="0" borderId="0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44" fontId="10" fillId="2" borderId="91" xfId="1" applyFont="1" applyFill="1" applyBorder="1" applyAlignment="1">
      <alignment vertical="center"/>
    </xf>
    <xf numFmtId="164" fontId="10" fillId="2" borderId="0" xfId="0" applyNumberFormat="1" applyFont="1" applyFill="1" applyBorder="1" applyAlignment="1">
      <alignment horizontal="center" vertical="center" wrapText="1"/>
    </xf>
    <xf numFmtId="44" fontId="83" fillId="0" borderId="33" xfId="1" applyFont="1" applyFill="1" applyBorder="1" applyAlignment="1">
      <alignment horizontal="center" vertical="center" wrapText="1"/>
    </xf>
    <xf numFmtId="1" fontId="53" fillId="0" borderId="0" xfId="0" applyNumberFormat="1" applyFont="1" applyFill="1" applyBorder="1" applyAlignment="1">
      <alignment horizontal="center" vertical="center" wrapText="1"/>
    </xf>
    <xf numFmtId="164" fontId="7" fillId="0" borderId="109" xfId="0" applyNumberFormat="1" applyFont="1" applyFill="1" applyBorder="1" applyAlignment="1">
      <alignment horizontal="center" vertical="center"/>
    </xf>
    <xf numFmtId="44" fontId="10" fillId="2" borderId="91" xfId="1" applyFont="1" applyFill="1" applyBorder="1" applyAlignment="1"/>
    <xf numFmtId="164" fontId="7" fillId="0" borderId="48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99FFCC"/>
      <color rgb="FF66FFFF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OCTUBRE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OCTUBRE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OCTUBRE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OCTUBRE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44852</c:v>
                </c:pt>
                <c:pt idx="14">
                  <c:v>44852</c:v>
                </c:pt>
                <c:pt idx="15">
                  <c:v>44853</c:v>
                </c:pt>
                <c:pt idx="16">
                  <c:v>44854</c:v>
                </c:pt>
                <c:pt idx="17">
                  <c:v>44854</c:v>
                </c:pt>
                <c:pt idx="18">
                  <c:v>44855</c:v>
                </c:pt>
                <c:pt idx="19">
                  <c:v>44856</c:v>
                </c:pt>
                <c:pt idx="20">
                  <c:v>44859</c:v>
                </c:pt>
                <c:pt idx="21">
                  <c:v>44859</c:v>
                </c:pt>
                <c:pt idx="22">
                  <c:v>44860</c:v>
                </c:pt>
                <c:pt idx="23">
                  <c:v>44861</c:v>
                </c:pt>
                <c:pt idx="24">
                  <c:v>44861</c:v>
                </c:pt>
                <c:pt idx="25">
                  <c:v>44863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OCTUBRE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18989.669999999998</c:v>
                </c:pt>
                <c:pt idx="14">
                  <c:v>18705.12</c:v>
                </c:pt>
                <c:pt idx="15">
                  <c:v>18392.509999999998</c:v>
                </c:pt>
                <c:pt idx="16">
                  <c:v>19018.57</c:v>
                </c:pt>
                <c:pt idx="17">
                  <c:v>18726.77</c:v>
                </c:pt>
                <c:pt idx="18">
                  <c:v>19138.55</c:v>
                </c:pt>
                <c:pt idx="19">
                  <c:v>18739.82</c:v>
                </c:pt>
                <c:pt idx="20">
                  <c:v>18420.43</c:v>
                </c:pt>
                <c:pt idx="21">
                  <c:v>19176.580000000002</c:v>
                </c:pt>
                <c:pt idx="22">
                  <c:v>18182.7</c:v>
                </c:pt>
                <c:pt idx="23">
                  <c:v>18661.2</c:v>
                </c:pt>
                <c:pt idx="24">
                  <c:v>18919.16</c:v>
                </c:pt>
                <c:pt idx="25">
                  <c:v>18698.47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OCTUBRE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OCTUBRE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18968.7</c:v>
                </c:pt>
                <c:pt idx="14">
                  <c:v>18721.02</c:v>
                </c:pt>
                <c:pt idx="15">
                  <c:v>18468.36</c:v>
                </c:pt>
                <c:pt idx="16">
                  <c:v>18971.8</c:v>
                </c:pt>
                <c:pt idx="17">
                  <c:v>18714.2</c:v>
                </c:pt>
                <c:pt idx="18">
                  <c:v>19147.7</c:v>
                </c:pt>
                <c:pt idx="19">
                  <c:v>18825.7</c:v>
                </c:pt>
                <c:pt idx="20">
                  <c:v>18465.62</c:v>
                </c:pt>
                <c:pt idx="21">
                  <c:v>19165.599999999999</c:v>
                </c:pt>
                <c:pt idx="22">
                  <c:v>18197.580000000002</c:v>
                </c:pt>
                <c:pt idx="23">
                  <c:v>18715</c:v>
                </c:pt>
                <c:pt idx="24">
                  <c:v>19140.8</c:v>
                </c:pt>
                <c:pt idx="25">
                  <c:v>18840.7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OCTUBRE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20.969999999997526</c:v>
                </c:pt>
                <c:pt idx="14">
                  <c:v>-15.900000000001455</c:v>
                </c:pt>
                <c:pt idx="15">
                  <c:v>-75.850000000002183</c:v>
                </c:pt>
                <c:pt idx="16">
                  <c:v>46.770000000000437</c:v>
                </c:pt>
                <c:pt idx="17">
                  <c:v>12.569999999999709</c:v>
                </c:pt>
                <c:pt idx="18">
                  <c:v>-9.1500000000014552</c:v>
                </c:pt>
                <c:pt idx="19">
                  <c:v>-85.880000000001019</c:v>
                </c:pt>
                <c:pt idx="20">
                  <c:v>-45.18999999999869</c:v>
                </c:pt>
                <c:pt idx="21">
                  <c:v>10.980000000003201</c:v>
                </c:pt>
                <c:pt idx="22">
                  <c:v>-14.880000000001019</c:v>
                </c:pt>
                <c:pt idx="23">
                  <c:v>-53.799999999999272</c:v>
                </c:pt>
                <c:pt idx="24">
                  <c:v>-221.63999999999942</c:v>
                </c:pt>
                <c:pt idx="25">
                  <c:v>-142.22999999999956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OCTUBRE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78647</c:v>
                </c:pt>
                <c:pt idx="15">
                  <c:v>78684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78673</c:v>
                </c:pt>
                <c:pt idx="21">
                  <c:v>0</c:v>
                </c:pt>
                <c:pt idx="22">
                  <c:v>78674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10101</c:v>
                </c:pt>
                <c:pt idx="10" formatCode="&quot;$&quot;#,##0.00">
                  <c:v>12151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12161</c:v>
                </c:pt>
                <c:pt idx="14" formatCode="&quot;$&quot;#,##0.00">
                  <c:v>12001</c:v>
                </c:pt>
                <c:pt idx="15" formatCode="&quot;$&quot;#,##0.00">
                  <c:v>11151</c:v>
                </c:pt>
                <c:pt idx="16" formatCode="&quot;$&quot;#,##0.00">
                  <c:v>11151</c:v>
                </c:pt>
                <c:pt idx="17" formatCode="&quot;$&quot;#,##0.00">
                  <c:v>9851</c:v>
                </c:pt>
                <c:pt idx="18" formatCode="&quot;$&quot;#,##0.00">
                  <c:v>9851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12161</c:v>
                </c:pt>
                <c:pt idx="24" formatCode="&quot;$&quot;#,##0.00">
                  <c:v>9851</c:v>
                </c:pt>
                <c:pt idx="2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27840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  <c:pt idx="6">
                  <c:v>1135545</c:v>
                </c:pt>
                <c:pt idx="7">
                  <c:v>2092736</c:v>
                </c:pt>
                <c:pt idx="8">
                  <c:v>2092737</c:v>
                </c:pt>
                <c:pt idx="9">
                  <c:v>2092738</c:v>
                </c:pt>
                <c:pt idx="10">
                  <c:v>2093537</c:v>
                </c:pt>
                <c:pt idx="11">
                  <c:v>2093538</c:v>
                </c:pt>
                <c:pt idx="12">
                  <c:v>1141340</c:v>
                </c:pt>
                <c:pt idx="13">
                  <c:v>2095479</c:v>
                </c:pt>
                <c:pt idx="14">
                  <c:v>1145150</c:v>
                </c:pt>
                <c:pt idx="15">
                  <c:v>1145927</c:v>
                </c:pt>
                <c:pt idx="16">
                  <c:v>2095478</c:v>
                </c:pt>
                <c:pt idx="17">
                  <c:v>2095480</c:v>
                </c:pt>
                <c:pt idx="18">
                  <c:v>2096816</c:v>
                </c:pt>
                <c:pt idx="19">
                  <c:v>2096749</c:v>
                </c:pt>
                <c:pt idx="20">
                  <c:v>1155179</c:v>
                </c:pt>
                <c:pt idx="21">
                  <c:v>2098077</c:v>
                </c:pt>
                <c:pt idx="22">
                  <c:v>1156799</c:v>
                </c:pt>
                <c:pt idx="23">
                  <c:v>2098171</c:v>
                </c:pt>
                <c:pt idx="24">
                  <c:v>2098912</c:v>
                </c:pt>
                <c:pt idx="25">
                  <c:v>2098911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  <c:pt idx="6">
                  <c:v>1000998.3996</c:v>
                </c:pt>
                <c:pt idx="7">
                  <c:v>1033703.054</c:v>
                </c:pt>
                <c:pt idx="8">
                  <c:v>1007058.4015000002</c:v>
                </c:pt>
                <c:pt idx="9">
                  <c:v>1053910.0197000001</c:v>
                </c:pt>
                <c:pt idx="10">
                  <c:v>1041919.7035000001</c:v>
                </c:pt>
                <c:pt idx="11">
                  <c:v>1036204.9578000001</c:v>
                </c:pt>
                <c:pt idx="12">
                  <c:v>1031689.3869000002</c:v>
                </c:pt>
                <c:pt idx="13">
                  <c:v>1113657.2</c:v>
                </c:pt>
                <c:pt idx="14">
                  <c:v>1084766.3784</c:v>
                </c:pt>
                <c:pt idx="15">
                  <c:v>1080364.7532000002</c:v>
                </c:pt>
                <c:pt idx="16">
                  <c:v>1110232.5006500001</c:v>
                </c:pt>
                <c:pt idx="17">
                  <c:v>1067388.0389999999</c:v>
                </c:pt>
                <c:pt idx="18">
                  <c:v>1071002.2537499999</c:v>
                </c:pt>
                <c:pt idx="19">
                  <c:v>1049579.7276000001</c:v>
                </c:pt>
                <c:pt idx="20">
                  <c:v>995894.35000000009</c:v>
                </c:pt>
                <c:pt idx="21">
                  <c:v>1039520.7006</c:v>
                </c:pt>
                <c:pt idx="22">
                  <c:v>979912.19921600004</c:v>
                </c:pt>
                <c:pt idx="23">
                  <c:v>1014333.5695999999</c:v>
                </c:pt>
                <c:pt idx="24">
                  <c:v>1009293.01</c:v>
                </c:pt>
                <c:pt idx="25">
                  <c:v>996970.83630000008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1046789.3996</c:v>
                </c:pt>
                <c:pt idx="7">
                  <c:v>1079344.054</c:v>
                </c:pt>
                <c:pt idx="8">
                  <c:v>1050549.4015000002</c:v>
                </c:pt>
                <c:pt idx="9">
                  <c:v>1097651.0197000001</c:v>
                </c:pt>
                <c:pt idx="10">
                  <c:v>1087710.7035000001</c:v>
                </c:pt>
                <c:pt idx="11">
                  <c:v>1036204.9578000001</c:v>
                </c:pt>
                <c:pt idx="12">
                  <c:v>1077490.3869000003</c:v>
                </c:pt>
                <c:pt idx="13">
                  <c:v>1159458.2</c:v>
                </c:pt>
                <c:pt idx="14">
                  <c:v>1130407.3784</c:v>
                </c:pt>
                <c:pt idx="15">
                  <c:v>1125155.7532000002</c:v>
                </c:pt>
                <c:pt idx="16">
                  <c:v>1155023.5006500001</c:v>
                </c:pt>
                <c:pt idx="17">
                  <c:v>1110879.0389999999</c:v>
                </c:pt>
                <c:pt idx="18">
                  <c:v>1114493.2537499999</c:v>
                </c:pt>
                <c:pt idx="19">
                  <c:v>1089580.7276000001</c:v>
                </c:pt>
                <c:pt idx="20">
                  <c:v>1040685.3500000001</c:v>
                </c:pt>
                <c:pt idx="21">
                  <c:v>1085161.7006000001</c:v>
                </c:pt>
                <c:pt idx="22">
                  <c:v>1025703.199216</c:v>
                </c:pt>
                <c:pt idx="23">
                  <c:v>1060134.5696</c:v>
                </c:pt>
                <c:pt idx="24">
                  <c:v>1052784.01</c:v>
                </c:pt>
                <c:pt idx="25">
                  <c:v>1008971.8363000001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56.638530069750288</c:v>
                </c:pt>
                <c:pt idx="7">
                  <c:v>56.21675500028595</c:v>
                </c:pt>
                <c:pt idx="8">
                  <c:v>56.164883926331925</c:v>
                </c:pt>
                <c:pt idx="9">
                  <c:v>57.934419770064075</c:v>
                </c:pt>
                <c:pt idx="10">
                  <c:v>57.212365044027081</c:v>
                </c:pt>
                <c:pt idx="11">
                  <c:v>54.621607427362754</c:v>
                </c:pt>
                <c:pt idx="12">
                  <c:v>56.443196499631362</c:v>
                </c:pt>
                <c:pt idx="13">
                  <c:v>61.224810872648099</c:v>
                </c:pt>
                <c:pt idx="14">
                  <c:v>60.481719500326371</c:v>
                </c:pt>
                <c:pt idx="15">
                  <c:v>61.02342542597178</c:v>
                </c:pt>
                <c:pt idx="16">
                  <c:v>60.981070886789873</c:v>
                </c:pt>
                <c:pt idx="17">
                  <c:v>59.4602205277276</c:v>
                </c:pt>
                <c:pt idx="18">
                  <c:v>58.305071823247694</c:v>
                </c:pt>
                <c:pt idx="19">
                  <c:v>57.977302177342679</c:v>
                </c:pt>
                <c:pt idx="20">
                  <c:v>56.457996644575168</c:v>
                </c:pt>
                <c:pt idx="21">
                  <c:v>56.720283247067677</c:v>
                </c:pt>
                <c:pt idx="22">
                  <c:v>56.464813300230027</c:v>
                </c:pt>
                <c:pt idx="23">
                  <c:v>56.746250045418115</c:v>
                </c:pt>
                <c:pt idx="24">
                  <c:v>55.102090299256041</c:v>
                </c:pt>
                <c:pt idx="25">
                  <c:v>53.65277862818261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I115" activePane="bottomRight" state="frozen"/>
      <selection pane="topRight" activeCell="B1" sqref="B1"/>
      <selection pane="bottomLeft" activeCell="A3" sqref="A3"/>
      <selection pane="bottomRight" activeCell="O126" sqref="O12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592</v>
      </c>
      <c r="C1" s="521"/>
      <c r="D1" s="522"/>
      <c r="E1" s="523"/>
      <c r="F1" s="524"/>
      <c r="G1" s="525"/>
      <c r="H1" s="524"/>
      <c r="I1" s="526"/>
      <c r="J1" s="527"/>
      <c r="K1" s="1045" t="s">
        <v>26</v>
      </c>
      <c r="L1" s="685"/>
      <c r="M1" s="1047" t="s">
        <v>27</v>
      </c>
      <c r="N1" s="345"/>
      <c r="P1" s="97" t="s">
        <v>38</v>
      </c>
      <c r="Q1" s="1043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1046"/>
      <c r="L2" s="686" t="s">
        <v>29</v>
      </c>
      <c r="M2" s="1048"/>
      <c r="N2" s="346" t="s">
        <v>29</v>
      </c>
      <c r="O2" s="395" t="s">
        <v>30</v>
      </c>
      <c r="P2" s="98" t="s">
        <v>39</v>
      </c>
      <c r="Q2" s="1044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84" t="str">
        <f>PIERNA!C4</f>
        <v xml:space="preserve">I B P </v>
      </c>
      <c r="D4" s="885" t="str">
        <f>PIERNA!D4</f>
        <v>PED. 88013413</v>
      </c>
      <c r="E4" s="886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03" t="s">
        <v>292</v>
      </c>
      <c r="K4" s="750">
        <v>12161</v>
      </c>
      <c r="L4" s="626" t="s">
        <v>315</v>
      </c>
      <c r="M4" s="389">
        <v>33640</v>
      </c>
      <c r="N4" s="926" t="s">
        <v>316</v>
      </c>
      <c r="O4" s="397">
        <v>1123520</v>
      </c>
      <c r="P4" s="601"/>
      <c r="Q4" s="536">
        <f>48663.8*20.04</f>
        <v>975222.55200000003</v>
      </c>
      <c r="R4" s="925" t="s">
        <v>313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57" t="s">
        <v>293</v>
      </c>
      <c r="K5" s="760">
        <v>11151</v>
      </c>
      <c r="L5" s="858" t="s">
        <v>315</v>
      </c>
      <c r="M5" s="840">
        <v>33640</v>
      </c>
      <c r="N5" s="859" t="s">
        <v>316</v>
      </c>
      <c r="O5" s="860">
        <v>2089822</v>
      </c>
      <c r="P5" s="861"/>
      <c r="Q5" s="560">
        <f>49724.65*20.34</f>
        <v>1011399.3810000001</v>
      </c>
      <c r="R5" s="906" t="s">
        <v>301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57" t="s">
        <v>294</v>
      </c>
      <c r="K6" s="839">
        <v>12001</v>
      </c>
      <c r="L6" s="858" t="s">
        <v>315</v>
      </c>
      <c r="M6" s="840">
        <v>33640</v>
      </c>
      <c r="N6" s="859" t="s">
        <v>316</v>
      </c>
      <c r="O6" s="863">
        <v>2089821</v>
      </c>
      <c r="P6" s="861"/>
      <c r="Q6" s="907">
        <f>49273.13*20.34</f>
        <v>1002215.4641999999</v>
      </c>
      <c r="R6" s="908" t="s">
        <v>301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02" t="s">
        <v>295</v>
      </c>
      <c r="K7" s="839">
        <v>11151</v>
      </c>
      <c r="L7" s="873" t="s">
        <v>312</v>
      </c>
      <c r="M7" s="840">
        <v>33640</v>
      </c>
      <c r="N7" s="859" t="s">
        <v>317</v>
      </c>
      <c r="O7" s="863">
        <v>1125993</v>
      </c>
      <c r="P7" s="861"/>
      <c r="Q7" s="394">
        <f>48708.33*19.98</f>
        <v>973192.4334000001</v>
      </c>
      <c r="R7" s="862" t="s">
        <v>314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57" t="s">
        <v>296</v>
      </c>
      <c r="K8" s="839">
        <v>11151</v>
      </c>
      <c r="L8" s="858" t="s">
        <v>313</v>
      </c>
      <c r="M8" s="840">
        <v>33640</v>
      </c>
      <c r="N8" s="865" t="s">
        <v>317</v>
      </c>
      <c r="O8" s="863">
        <v>209454</v>
      </c>
      <c r="P8" s="861"/>
      <c r="Q8" s="909">
        <f>49026.12*20.173</f>
        <v>989003.91875999991</v>
      </c>
      <c r="R8" s="910" t="s">
        <v>302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57" t="s">
        <v>300</v>
      </c>
      <c r="K9" s="839">
        <v>10101</v>
      </c>
      <c r="L9" s="866" t="s">
        <v>313</v>
      </c>
      <c r="M9" s="840">
        <v>33640</v>
      </c>
      <c r="N9" s="865" t="s">
        <v>318</v>
      </c>
      <c r="O9" s="867">
        <v>2090791</v>
      </c>
      <c r="P9" s="861"/>
      <c r="Q9" s="560">
        <f>48894.94*20.13</f>
        <v>984255.1422</v>
      </c>
      <c r="R9" s="911" t="s">
        <v>303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9" t="str">
        <f>PIERNA!D10</f>
        <v>PED. 88305377</v>
      </c>
      <c r="E10" s="630">
        <f>PIERNA!E10</f>
        <v>44845</v>
      </c>
      <c r="F10" s="631">
        <f>PIERNA!F10</f>
        <v>18440.98</v>
      </c>
      <c r="G10" s="384">
        <f>PIERNA!G10</f>
        <v>20</v>
      </c>
      <c r="H10" s="418">
        <f>PIERNA!H10</f>
        <v>18514.62</v>
      </c>
      <c r="I10" s="758">
        <f>PIERNA!I10</f>
        <v>-73.639999999999418</v>
      </c>
      <c r="J10" s="869" t="s">
        <v>333</v>
      </c>
      <c r="K10" s="839">
        <v>12151</v>
      </c>
      <c r="L10" s="866" t="s">
        <v>346</v>
      </c>
      <c r="M10" s="840">
        <v>33640</v>
      </c>
      <c r="N10" s="865" t="s">
        <v>348</v>
      </c>
      <c r="O10" s="867">
        <v>1135545</v>
      </c>
      <c r="P10" s="861"/>
      <c r="Q10" s="536">
        <f>50100.02*19.98</f>
        <v>1000998.3996</v>
      </c>
      <c r="R10" s="868" t="s">
        <v>343</v>
      </c>
      <c r="S10" s="65">
        <f>Q10+M10+K10</f>
        <v>1046789.3996</v>
      </c>
      <c r="T10" s="65">
        <f t="shared" si="1"/>
        <v>56.638530069750288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9" t="str">
        <f>PIERNA!D11</f>
        <v>PED. 883455446</v>
      </c>
      <c r="E11" s="630">
        <f>PIERNA!E11</f>
        <v>44846</v>
      </c>
      <c r="F11" s="631">
        <f>PIERNA!F11</f>
        <v>19100.54</v>
      </c>
      <c r="G11" s="384">
        <f>PIERNA!G11</f>
        <v>21</v>
      </c>
      <c r="H11" s="418">
        <f>PIERNA!H11</f>
        <v>19233.900000000001</v>
      </c>
      <c r="I11" s="758">
        <f>PIERNA!I11</f>
        <v>-133.36000000000058</v>
      </c>
      <c r="J11" s="857" t="s">
        <v>334</v>
      </c>
      <c r="K11" s="839">
        <v>12001</v>
      </c>
      <c r="L11" s="866" t="s">
        <v>348</v>
      </c>
      <c r="M11" s="840">
        <v>33640</v>
      </c>
      <c r="N11" s="865" t="s">
        <v>349</v>
      </c>
      <c r="O11" s="870">
        <v>2092736</v>
      </c>
      <c r="P11" s="861"/>
      <c r="Q11" s="536">
        <f>51749.84*19.975</f>
        <v>1033703.054</v>
      </c>
      <c r="R11" s="868" t="s">
        <v>311</v>
      </c>
      <c r="S11" s="65">
        <f t="shared" si="0"/>
        <v>1079344.054</v>
      </c>
      <c r="T11" s="65">
        <f t="shared" si="1"/>
        <v>56.21675500028595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9" t="str">
        <f>PIERNA!D12</f>
        <v>PED. 88346414</v>
      </c>
      <c r="E12" s="630">
        <f>PIERNA!E12</f>
        <v>44846</v>
      </c>
      <c r="F12" s="631">
        <f>PIERNA!F12</f>
        <v>18667.43</v>
      </c>
      <c r="G12" s="384">
        <f>PIERNA!G12</f>
        <v>21</v>
      </c>
      <c r="H12" s="418">
        <f>PIERNA!H12</f>
        <v>18738.099999999999</v>
      </c>
      <c r="I12" s="758">
        <f>PIERNA!I12</f>
        <v>-70.669999999998254</v>
      </c>
      <c r="J12" s="857" t="s">
        <v>335</v>
      </c>
      <c r="K12" s="839">
        <v>9851</v>
      </c>
      <c r="L12" s="866" t="s">
        <v>348</v>
      </c>
      <c r="M12" s="840">
        <v>33640</v>
      </c>
      <c r="N12" s="865" t="s">
        <v>349</v>
      </c>
      <c r="O12" s="870">
        <v>2092737</v>
      </c>
      <c r="P12" s="861"/>
      <c r="Q12" s="536">
        <f>50415.94*19.975</f>
        <v>1007058.4015000002</v>
      </c>
      <c r="R12" s="868" t="s">
        <v>311</v>
      </c>
      <c r="S12" s="65">
        <f>Q12+M12+K12</f>
        <v>1050549.4015000002</v>
      </c>
      <c r="T12" s="65">
        <f t="shared" si="1"/>
        <v>56.164883926331925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 t="str">
        <f>PIERNA!B13</f>
        <v>SEABOARD FOODS</v>
      </c>
      <c r="C13" s="272" t="str">
        <f>PIERNA!C13</f>
        <v>Seaboard</v>
      </c>
      <c r="D13" s="629" t="str">
        <f>PIERNA!D13</f>
        <v>PED. 88414702</v>
      </c>
      <c r="E13" s="630">
        <f>PIERNA!E13</f>
        <v>44847</v>
      </c>
      <c r="F13" s="631">
        <f>PIERNA!F13</f>
        <v>18939.02</v>
      </c>
      <c r="G13" s="384">
        <f>PIERNA!G13</f>
        <v>21</v>
      </c>
      <c r="H13" s="418">
        <f>PIERNA!H13</f>
        <v>18979.2</v>
      </c>
      <c r="I13" s="758">
        <f>PIERNA!I13</f>
        <v>-40.180000000000291</v>
      </c>
      <c r="J13" s="871" t="s">
        <v>339</v>
      </c>
      <c r="K13" s="839">
        <v>10101</v>
      </c>
      <c r="L13" s="866" t="s">
        <v>349</v>
      </c>
      <c r="M13" s="840">
        <v>33640</v>
      </c>
      <c r="N13" s="865" t="s">
        <v>350</v>
      </c>
      <c r="O13" s="870">
        <v>2092738</v>
      </c>
      <c r="P13" s="861"/>
      <c r="Q13" s="394">
        <f>52511.71*20.07</f>
        <v>1053910.0197000001</v>
      </c>
      <c r="R13" s="868" t="s">
        <v>352</v>
      </c>
      <c r="S13" s="65">
        <f t="shared" si="0"/>
        <v>1097651.0197000001</v>
      </c>
      <c r="T13" s="65">
        <f t="shared" si="1"/>
        <v>57.934419770064075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 t="str">
        <f>PIERNA!B14</f>
        <v>SEABOARD FOODS</v>
      </c>
      <c r="C14" s="272" t="str">
        <f>PIERNA!C14</f>
        <v>Seaboard</v>
      </c>
      <c r="D14" s="629" t="str">
        <f>PIERNA!D14</f>
        <v>PED. 88420233</v>
      </c>
      <c r="E14" s="630">
        <f>PIERNA!E14</f>
        <v>44847</v>
      </c>
      <c r="F14" s="631">
        <f>PIERNA!F14</f>
        <v>18969.060000000001</v>
      </c>
      <c r="G14" s="384">
        <f>PIERNA!G14</f>
        <v>21</v>
      </c>
      <c r="H14" s="418">
        <f>PIERNA!H14</f>
        <v>19045.099999999999</v>
      </c>
      <c r="I14" s="758">
        <f>PIERNA!I14</f>
        <v>-76.039999999997235</v>
      </c>
      <c r="J14" s="869" t="s">
        <v>340</v>
      </c>
      <c r="K14" s="839">
        <v>12151</v>
      </c>
      <c r="L14" s="866" t="s">
        <v>349</v>
      </c>
      <c r="M14" s="840">
        <v>33640</v>
      </c>
      <c r="N14" s="865" t="s">
        <v>350</v>
      </c>
      <c r="O14" s="867">
        <v>2093537</v>
      </c>
      <c r="P14" s="861"/>
      <c r="Q14" s="394">
        <f>51966.07*20.05</f>
        <v>1041919.7035000001</v>
      </c>
      <c r="R14" s="872" t="s">
        <v>398</v>
      </c>
      <c r="S14" s="65">
        <f>Q14+M14+K14</f>
        <v>1087710.7035000001</v>
      </c>
      <c r="T14" s="65">
        <f t="shared" si="1"/>
        <v>57.212365044027081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 t="str">
        <f>PIERNA!B15</f>
        <v>SEABOARD FOODS</v>
      </c>
      <c r="C15" s="272" t="str">
        <f>PIERNA!C15</f>
        <v>Seaboard</v>
      </c>
      <c r="D15" s="629" t="str">
        <f>PIERNA!D15</f>
        <v>PED. 88455281</v>
      </c>
      <c r="E15" s="630">
        <f>PIERNA!E15</f>
        <v>44848</v>
      </c>
      <c r="F15" s="631">
        <f>PIERNA!F15</f>
        <v>18949.18</v>
      </c>
      <c r="G15" s="384">
        <f>PIERNA!G15</f>
        <v>21</v>
      </c>
      <c r="H15" s="418">
        <f>PIERNA!H15</f>
        <v>19005.400000000001</v>
      </c>
      <c r="I15" s="758">
        <f>PIERNA!I15</f>
        <v>-56.220000000001164</v>
      </c>
      <c r="J15" s="871" t="s">
        <v>341</v>
      </c>
      <c r="K15" s="839">
        <v>11151</v>
      </c>
      <c r="L15" s="866" t="s">
        <v>350</v>
      </c>
      <c r="M15" s="840">
        <v>33640</v>
      </c>
      <c r="N15" s="873" t="s">
        <v>351</v>
      </c>
      <c r="O15" s="874">
        <v>2093538</v>
      </c>
      <c r="P15" s="861"/>
      <c r="Q15" s="394">
        <f>51862.11*19.98</f>
        <v>1036204.9578000001</v>
      </c>
      <c r="R15" s="875" t="s">
        <v>314</v>
      </c>
      <c r="S15" s="65">
        <f>Q15</f>
        <v>1036204.9578000001</v>
      </c>
      <c r="T15" s="65">
        <f t="shared" si="1"/>
        <v>54.621607427362754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 t="str">
        <f>PIERNA!B16</f>
        <v>TYSON FRESH MEAT</v>
      </c>
      <c r="C16" s="272" t="str">
        <f>PIERNA!C16</f>
        <v xml:space="preserve">I B  P </v>
      </c>
      <c r="D16" s="629" t="str">
        <f>PIERNA!D16</f>
        <v>PED. 88454674</v>
      </c>
      <c r="E16" s="630">
        <f>PIERNA!E16</f>
        <v>44848</v>
      </c>
      <c r="F16" s="631">
        <f>PIERNA!F16</f>
        <v>19065.310000000001</v>
      </c>
      <c r="G16" s="384">
        <f>PIERNA!G16</f>
        <v>20</v>
      </c>
      <c r="H16" s="418">
        <f>PIERNA!H16</f>
        <v>19123.7</v>
      </c>
      <c r="I16" s="758">
        <f>PIERNA!I16</f>
        <v>-58.389999999999418</v>
      </c>
      <c r="J16" s="876" t="s">
        <v>342</v>
      </c>
      <c r="K16" s="839">
        <v>12161</v>
      </c>
      <c r="L16" s="866" t="s">
        <v>350</v>
      </c>
      <c r="M16" s="840">
        <v>33640</v>
      </c>
      <c r="N16" s="873" t="s">
        <v>351</v>
      </c>
      <c r="O16" s="870">
        <v>1141340</v>
      </c>
      <c r="P16" s="861"/>
      <c r="Q16" s="536">
        <f>51558.69*20.01</f>
        <v>1031689.3869000002</v>
      </c>
      <c r="R16" s="868" t="s">
        <v>347</v>
      </c>
      <c r="S16" s="65">
        <f t="shared" si="0"/>
        <v>1077490.3869000003</v>
      </c>
      <c r="T16" s="65">
        <f t="shared" si="1"/>
        <v>56.443196499631362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 t="str">
        <f>PIERNA!B17</f>
        <v>SEABOARD FOODS</v>
      </c>
      <c r="C17" s="272" t="str">
        <f>PIERNA!C17</f>
        <v>Seaboard</v>
      </c>
      <c r="D17" s="629" t="str">
        <f>PIERNA!D17</f>
        <v>PED. 88637175</v>
      </c>
      <c r="E17" s="630">
        <f>PIERNA!E17</f>
        <v>44852</v>
      </c>
      <c r="F17" s="631">
        <f>PIERNA!F17</f>
        <v>18989.669999999998</v>
      </c>
      <c r="G17" s="384">
        <f>PIERNA!G17</f>
        <v>21</v>
      </c>
      <c r="H17" s="418">
        <f>PIERNA!H17</f>
        <v>18968.7</v>
      </c>
      <c r="I17" s="758">
        <f>PIERNA!I17</f>
        <v>20.969999999997526</v>
      </c>
      <c r="J17" s="877" t="s">
        <v>362</v>
      </c>
      <c r="K17" s="839">
        <v>12161</v>
      </c>
      <c r="L17" s="866" t="s">
        <v>404</v>
      </c>
      <c r="M17" s="840">
        <v>33640</v>
      </c>
      <c r="N17" s="873" t="s">
        <v>404</v>
      </c>
      <c r="O17" s="870">
        <v>2095479</v>
      </c>
      <c r="P17" s="861"/>
      <c r="Q17" s="536">
        <f>55544*20.05</f>
        <v>1113657.2</v>
      </c>
      <c r="R17" s="868" t="s">
        <v>400</v>
      </c>
      <c r="S17" s="65">
        <f>Q17+M17+K17</f>
        <v>1159458.2</v>
      </c>
      <c r="T17" s="65">
        <f t="shared" si="1"/>
        <v>61.224810872648099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32" t="str">
        <f>PIERNA!B18</f>
        <v>TYSON FRESH MEAT</v>
      </c>
      <c r="C18" s="272" t="str">
        <f>PIERNA!C18</f>
        <v xml:space="preserve">I B P </v>
      </c>
      <c r="D18" s="629" t="str">
        <f>PIERNA!D18</f>
        <v>PED. 88573246</v>
      </c>
      <c r="E18" s="630">
        <f>PIERNA!E18</f>
        <v>44852</v>
      </c>
      <c r="F18" s="631">
        <f>PIERNA!F18</f>
        <v>18705.12</v>
      </c>
      <c r="G18" s="384">
        <f>PIERNA!G18</f>
        <v>20</v>
      </c>
      <c r="H18" s="418">
        <f>PIERNA!H18</f>
        <v>18721.02</v>
      </c>
      <c r="I18" s="758">
        <f>PIERNA!I18</f>
        <v>-15.900000000001455</v>
      </c>
      <c r="J18" s="902">
        <v>78647</v>
      </c>
      <c r="K18" s="839">
        <v>12001</v>
      </c>
      <c r="L18" s="866" t="s">
        <v>402</v>
      </c>
      <c r="M18" s="840">
        <v>33640</v>
      </c>
      <c r="N18" s="873" t="s">
        <v>403</v>
      </c>
      <c r="O18" s="860">
        <v>1145150</v>
      </c>
      <c r="P18" s="861"/>
      <c r="Q18" s="536">
        <f>54022.23*20.08</f>
        <v>1084766.3784</v>
      </c>
      <c r="R18" s="872" t="s">
        <v>396</v>
      </c>
      <c r="S18" s="65">
        <f>Q18+M18+K18</f>
        <v>1130407.3784</v>
      </c>
      <c r="T18" s="65">
        <f t="shared" si="1"/>
        <v>60.481719500326371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3">
      <c r="A19" s="100">
        <v>16</v>
      </c>
      <c r="B19" s="632" t="str">
        <f>PIERNA!B19</f>
        <v>TYSON FRERH MEAT</v>
      </c>
      <c r="C19" s="272" t="str">
        <f>PIERNA!C19</f>
        <v xml:space="preserve">I B P </v>
      </c>
      <c r="D19" s="629" t="str">
        <f>PIERNA!D19</f>
        <v>PED. 8637858</v>
      </c>
      <c r="E19" s="630">
        <f>PIERNA!E19</f>
        <v>44853</v>
      </c>
      <c r="F19" s="631">
        <f>PIERNA!F19</f>
        <v>18392.509999999998</v>
      </c>
      <c r="G19" s="384">
        <f>PIERNA!G19</f>
        <v>20</v>
      </c>
      <c r="H19" s="418">
        <f>PIERNA!H19</f>
        <v>18468.36</v>
      </c>
      <c r="I19" s="758">
        <f>PIERNA!I19</f>
        <v>-75.850000000002183</v>
      </c>
      <c r="J19" s="902">
        <v>78684</v>
      </c>
      <c r="K19" s="839">
        <v>11151</v>
      </c>
      <c r="L19" s="866" t="s">
        <v>404</v>
      </c>
      <c r="M19" s="840">
        <v>33640</v>
      </c>
      <c r="N19" s="865" t="s">
        <v>404</v>
      </c>
      <c r="O19" s="867">
        <v>1145927</v>
      </c>
      <c r="P19" s="801"/>
      <c r="Q19" s="536">
        <f>54180.78*19.94</f>
        <v>1080364.7532000002</v>
      </c>
      <c r="R19" s="859" t="s">
        <v>394</v>
      </c>
      <c r="S19" s="65">
        <f>Q19+M19+K19</f>
        <v>1125155.7532000002</v>
      </c>
      <c r="T19" s="65">
        <f t="shared" si="1"/>
        <v>61.02342542597178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 t="str">
        <f>PIERNA!B20</f>
        <v>SEABOARD FOODS</v>
      </c>
      <c r="C20" s="272" t="str">
        <f>PIERNA!C20</f>
        <v>Seaboard</v>
      </c>
      <c r="D20" s="629" t="str">
        <f>PIERNA!D20</f>
        <v>PED. 8685317</v>
      </c>
      <c r="E20" s="630">
        <f>PIERNA!E20</f>
        <v>44854</v>
      </c>
      <c r="F20" s="631">
        <f>PIERNA!F20</f>
        <v>19018.57</v>
      </c>
      <c r="G20" s="384">
        <f>PIERNA!G20</f>
        <v>21</v>
      </c>
      <c r="H20" s="418">
        <f>PIERNA!H20</f>
        <v>18971.8</v>
      </c>
      <c r="I20" s="758">
        <f>PIERNA!I20</f>
        <v>46.770000000000437</v>
      </c>
      <c r="J20" s="857" t="s">
        <v>366</v>
      </c>
      <c r="K20" s="839">
        <v>11151</v>
      </c>
      <c r="L20" s="866" t="s">
        <v>404</v>
      </c>
      <c r="M20" s="840">
        <v>33640</v>
      </c>
      <c r="N20" s="865" t="s">
        <v>405</v>
      </c>
      <c r="O20" s="867">
        <v>2095478</v>
      </c>
      <c r="P20" s="861"/>
      <c r="Q20" s="536">
        <f>55553.29*19.985</f>
        <v>1110232.5006500001</v>
      </c>
      <c r="R20" s="859" t="s">
        <v>399</v>
      </c>
      <c r="S20" s="65">
        <f t="shared" si="0"/>
        <v>1155023.5006500001</v>
      </c>
      <c r="T20" s="65">
        <f t="shared" si="1"/>
        <v>60.981070886789873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 t="str">
        <f>PIERNA!B21</f>
        <v>SEABOARD FOODS</v>
      </c>
      <c r="C21" s="385" t="str">
        <f>PIERNA!C21</f>
        <v>Seaboard</v>
      </c>
      <c r="D21" s="629" t="str">
        <f>PIERNA!D21</f>
        <v>PED. 8685318</v>
      </c>
      <c r="E21" s="630">
        <f>PIERNA!E21</f>
        <v>44854</v>
      </c>
      <c r="F21" s="631">
        <f>PIERNA!F21</f>
        <v>18726.77</v>
      </c>
      <c r="G21" s="384">
        <f>PIERNA!G21</f>
        <v>21</v>
      </c>
      <c r="H21" s="418">
        <f>PIERNA!H21</f>
        <v>18714.2</v>
      </c>
      <c r="I21" s="758">
        <f>PIERNA!I21</f>
        <v>12.569999999999709</v>
      </c>
      <c r="J21" s="857" t="s">
        <v>367</v>
      </c>
      <c r="K21" s="839">
        <v>9851</v>
      </c>
      <c r="L21" s="866" t="s">
        <v>404</v>
      </c>
      <c r="M21" s="840">
        <v>33640</v>
      </c>
      <c r="N21" s="865" t="s">
        <v>405</v>
      </c>
      <c r="O21" s="870">
        <v>2095480</v>
      </c>
      <c r="P21" s="861"/>
      <c r="Q21" s="536">
        <f>53396.1*19.99</f>
        <v>1067388.0389999999</v>
      </c>
      <c r="R21" s="859" t="s">
        <v>401</v>
      </c>
      <c r="S21" s="65">
        <f t="shared" si="0"/>
        <v>1110879.0389999999</v>
      </c>
      <c r="T21" s="65">
        <f t="shared" si="1"/>
        <v>59.4602205277276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29" t="str">
        <f>PIERNA!D22</f>
        <v>PED. 88759310</v>
      </c>
      <c r="E22" s="630">
        <f>PIERNA!E22</f>
        <v>44855</v>
      </c>
      <c r="F22" s="631">
        <f>PIERNA!F22</f>
        <v>19138.55</v>
      </c>
      <c r="G22" s="384">
        <f>PIERNA!G22</f>
        <v>21</v>
      </c>
      <c r="H22" s="418">
        <f>PIERNA!H22</f>
        <v>19147.7</v>
      </c>
      <c r="I22" s="758">
        <f>PIERNA!I22</f>
        <v>-9.1500000000014552</v>
      </c>
      <c r="J22" s="869" t="s">
        <v>368</v>
      </c>
      <c r="K22" s="839">
        <v>9851</v>
      </c>
      <c r="L22" s="866" t="s">
        <v>405</v>
      </c>
      <c r="M22" s="840">
        <v>33640</v>
      </c>
      <c r="N22" s="865" t="s">
        <v>406</v>
      </c>
      <c r="O22" s="870">
        <v>2096816</v>
      </c>
      <c r="P22" s="879"/>
      <c r="Q22" s="536">
        <f>53350.05*20.075</f>
        <v>1071002.2537499999</v>
      </c>
      <c r="R22" s="859" t="s">
        <v>393</v>
      </c>
      <c r="S22" s="65">
        <f>Q22+M22+K22</f>
        <v>1114493.2537499999</v>
      </c>
      <c r="T22" s="65">
        <f t="shared" si="1"/>
        <v>58.305071823247694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SEABOARD FOODS</v>
      </c>
      <c r="C23" s="272" t="str">
        <f>PIERNA!C23</f>
        <v>Seaboard</v>
      </c>
      <c r="D23" s="629" t="str">
        <f>PIERNA!D23</f>
        <v>PED. 88765000</v>
      </c>
      <c r="E23" s="630">
        <f>PIERNA!E23</f>
        <v>44856</v>
      </c>
      <c r="F23" s="631">
        <f>PIERNA!F23</f>
        <v>18739.82</v>
      </c>
      <c r="G23" s="384">
        <f>PIERNA!G23</f>
        <v>21</v>
      </c>
      <c r="H23" s="418">
        <f>PIERNA!H23</f>
        <v>18825.7</v>
      </c>
      <c r="I23" s="758">
        <f>PIERNA!I23</f>
        <v>-85.880000000001019</v>
      </c>
      <c r="J23" s="857" t="s">
        <v>369</v>
      </c>
      <c r="K23" s="839">
        <v>12161</v>
      </c>
      <c r="L23" s="866" t="s">
        <v>405</v>
      </c>
      <c r="M23" s="840">
        <v>27840</v>
      </c>
      <c r="N23" s="865" t="s">
        <v>410</v>
      </c>
      <c r="O23" s="860">
        <v>2096749</v>
      </c>
      <c r="P23" s="861"/>
      <c r="Q23" s="536">
        <f>52452.76*20.01</f>
        <v>1049579.7276000001</v>
      </c>
      <c r="R23" s="859" t="s">
        <v>347</v>
      </c>
      <c r="S23" s="65">
        <f>Q23+M23+K23</f>
        <v>1089580.7276000001</v>
      </c>
      <c r="T23" s="65">
        <f t="shared" si="1"/>
        <v>57.977302177342679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3">
      <c r="A24" s="100">
        <v>21</v>
      </c>
      <c r="B24" s="632" t="str">
        <f>PIERNA!B24</f>
        <v>TYSON FRESH MEAT</v>
      </c>
      <c r="C24" s="272" t="str">
        <f>PIERNA!C24</f>
        <v xml:space="preserve">I B P </v>
      </c>
      <c r="D24" s="635" t="str">
        <f>PIERNA!D24</f>
        <v>PED. 88868166</v>
      </c>
      <c r="E24" s="630">
        <f>PIERNA!E24</f>
        <v>44859</v>
      </c>
      <c r="F24" s="631">
        <f>PIERNA!F24</f>
        <v>18420.43</v>
      </c>
      <c r="G24" s="384">
        <f>PIERNA!G24</f>
        <v>20</v>
      </c>
      <c r="H24" s="418">
        <f>PIERNA!H24</f>
        <v>18465.62</v>
      </c>
      <c r="I24" s="758">
        <f>PIERNA!I24</f>
        <v>-45.18999999999869</v>
      </c>
      <c r="J24" s="902">
        <v>78673</v>
      </c>
      <c r="K24" s="839">
        <v>11151</v>
      </c>
      <c r="L24" s="866" t="s">
        <v>407</v>
      </c>
      <c r="M24" s="840">
        <v>33640</v>
      </c>
      <c r="N24" s="865" t="s">
        <v>408</v>
      </c>
      <c r="O24" s="867">
        <v>1155179</v>
      </c>
      <c r="P24" s="861"/>
      <c r="Q24" s="536">
        <f>50171*19.85</f>
        <v>995894.35000000009</v>
      </c>
      <c r="R24" s="859" t="s">
        <v>373</v>
      </c>
      <c r="S24" s="65">
        <f t="shared" si="0"/>
        <v>1040685.3500000001</v>
      </c>
      <c r="T24" s="65">
        <f t="shared" si="1"/>
        <v>56.457996644575168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 t="str">
        <f>PIERNA!HM5</f>
        <v>SEABOARD FOODS</v>
      </c>
      <c r="C25" s="389" t="str">
        <f>PIERNA!HN5</f>
        <v>Seaboard</v>
      </c>
      <c r="D25" s="635" t="str">
        <f>PIERNA!HO5</f>
        <v>PED. 8884425</v>
      </c>
      <c r="E25" s="630">
        <f>PIERNA!E25</f>
        <v>44859</v>
      </c>
      <c r="F25" s="631">
        <f>PIERNA!HQ5</f>
        <v>19176.580000000002</v>
      </c>
      <c r="G25" s="384">
        <f>PIERNA!HR5</f>
        <v>21</v>
      </c>
      <c r="H25" s="418">
        <f>PIERNA!HS5</f>
        <v>19165.599999999999</v>
      </c>
      <c r="I25" s="758">
        <f>PIERNA!I25</f>
        <v>10.980000000003201</v>
      </c>
      <c r="J25" s="857" t="s">
        <v>383</v>
      </c>
      <c r="K25" s="839">
        <v>12001</v>
      </c>
      <c r="L25" s="866" t="s">
        <v>407</v>
      </c>
      <c r="M25" s="840">
        <v>33640</v>
      </c>
      <c r="N25" s="865" t="s">
        <v>408</v>
      </c>
      <c r="O25" s="867">
        <v>2098077</v>
      </c>
      <c r="P25" s="879"/>
      <c r="Q25" s="536">
        <f>51950.06*20.01</f>
        <v>1039520.7006</v>
      </c>
      <c r="R25" s="862" t="s">
        <v>395</v>
      </c>
      <c r="S25" s="65">
        <f t="shared" si="0"/>
        <v>1085161.7006000001</v>
      </c>
      <c r="T25" s="65">
        <f t="shared" si="1"/>
        <v>56.720283247067677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3">
      <c r="A26" s="100">
        <v>23</v>
      </c>
      <c r="B26" s="379" t="str">
        <f>PIERNA!HW5</f>
        <v>TYSON FRESH MEAT</v>
      </c>
      <c r="C26" s="272" t="str">
        <f>PIERNA!HX5</f>
        <v xml:space="preserve">I B P </v>
      </c>
      <c r="D26" s="635" t="str">
        <f>PIERNA!HY5</f>
        <v>PED. 8930850</v>
      </c>
      <c r="E26" s="630">
        <f>PIERNA!HZ5</f>
        <v>44860</v>
      </c>
      <c r="F26" s="631">
        <f>PIERNA!IA5</f>
        <v>18182.7</v>
      </c>
      <c r="G26" s="636">
        <f>PIERNA!IB5</f>
        <v>20</v>
      </c>
      <c r="H26" s="418">
        <f>PIERNA!IC5</f>
        <v>18197.580000000002</v>
      </c>
      <c r="I26" s="758">
        <f>PIERNA!I26</f>
        <v>-14.880000000001019</v>
      </c>
      <c r="J26" s="902">
        <v>78674</v>
      </c>
      <c r="K26" s="839">
        <v>12151</v>
      </c>
      <c r="L26" s="858" t="s">
        <v>408</v>
      </c>
      <c r="M26" s="840">
        <v>33640</v>
      </c>
      <c r="N26" s="859" t="s">
        <v>409</v>
      </c>
      <c r="O26" s="867">
        <v>1156799</v>
      </c>
      <c r="P26" s="861"/>
      <c r="Q26" s="536">
        <f>49426.61*19.8256</f>
        <v>979912.19921600004</v>
      </c>
      <c r="R26" s="859" t="s">
        <v>392</v>
      </c>
      <c r="S26" s="65">
        <f t="shared" si="0"/>
        <v>1025703.199216</v>
      </c>
      <c r="T26" s="65">
        <f t="shared" si="1"/>
        <v>56.464813300230027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35" t="str">
        <f>PIERNA!II5</f>
        <v>PED. 89004405</v>
      </c>
      <c r="E27" s="630">
        <f>PIERNA!IJ5</f>
        <v>44861</v>
      </c>
      <c r="F27" s="631">
        <f>PIERNA!IK5</f>
        <v>18661.2</v>
      </c>
      <c r="G27" s="636">
        <f>PIERNA!IL5</f>
        <v>21</v>
      </c>
      <c r="H27" s="418">
        <f>PIERNA!IM5</f>
        <v>18715</v>
      </c>
      <c r="I27" s="758">
        <f>PIERNA!I27</f>
        <v>-53.799999999999272</v>
      </c>
      <c r="J27" s="857" t="s">
        <v>384</v>
      </c>
      <c r="K27" s="839">
        <v>12161</v>
      </c>
      <c r="L27" s="858" t="s">
        <v>409</v>
      </c>
      <c r="M27" s="840">
        <v>33640</v>
      </c>
      <c r="N27" s="859" t="s">
        <v>410</v>
      </c>
      <c r="O27" s="867">
        <v>2098171</v>
      </c>
      <c r="P27" s="879"/>
      <c r="Q27" s="536">
        <f>50514.62*20.08</f>
        <v>1014333.5695999999</v>
      </c>
      <c r="R27" s="859" t="s">
        <v>396</v>
      </c>
      <c r="S27" s="65">
        <f>Q27+M27+K27+P27</f>
        <v>1060134.5696</v>
      </c>
      <c r="T27" s="65">
        <f t="shared" si="1"/>
        <v>56.746250045418115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35" t="str">
        <f>PIERNA!IS5</f>
        <v>PED. 89004869</v>
      </c>
      <c r="E28" s="630">
        <f>PIERNA!IT5</f>
        <v>44861</v>
      </c>
      <c r="F28" s="631">
        <f>PIERNA!IU5</f>
        <v>18919.16</v>
      </c>
      <c r="G28" s="636">
        <f>PIERNA!IV5</f>
        <v>21</v>
      </c>
      <c r="H28" s="418">
        <f>PIERNA!IW5</f>
        <v>19140.8</v>
      </c>
      <c r="I28" s="758">
        <f>PIERNA!I28</f>
        <v>-221.63999999999942</v>
      </c>
      <c r="J28" s="869" t="s">
        <v>385</v>
      </c>
      <c r="K28" s="839">
        <v>9851</v>
      </c>
      <c r="L28" s="858" t="s">
        <v>409</v>
      </c>
      <c r="M28" s="840">
        <v>33640</v>
      </c>
      <c r="N28" s="859" t="s">
        <v>410</v>
      </c>
      <c r="O28" s="867">
        <v>2098912</v>
      </c>
      <c r="P28" s="861"/>
      <c r="Q28" s="536">
        <f>50616.5*19.94</f>
        <v>1009293.01</v>
      </c>
      <c r="R28" s="862" t="s">
        <v>387</v>
      </c>
      <c r="S28" s="65">
        <f t="shared" si="0"/>
        <v>1052784.01</v>
      </c>
      <c r="T28" s="65">
        <f t="shared" si="1"/>
        <v>55.102090299256041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 t="str">
        <f>PIERNA!JA5</f>
        <v>SEABOARD FOODS</v>
      </c>
      <c r="C29" s="272" t="str">
        <f>PIERNA!JB5</f>
        <v>Seaboard</v>
      </c>
      <c r="D29" s="635" t="str">
        <f>PIERNA!JC5</f>
        <v xml:space="preserve">PED. </v>
      </c>
      <c r="E29" s="630">
        <f>PIERNA!JD5</f>
        <v>44863</v>
      </c>
      <c r="F29" s="631">
        <f>PIERNA!JE5</f>
        <v>18698.47</v>
      </c>
      <c r="G29" s="636">
        <f>PIERNA!JF5</f>
        <v>21</v>
      </c>
      <c r="H29" s="418">
        <f>PIERNA!JG5</f>
        <v>18840.7</v>
      </c>
      <c r="I29" s="758">
        <f>PIERNA!I29</f>
        <v>-142.22999999999956</v>
      </c>
      <c r="J29" s="878" t="s">
        <v>386</v>
      </c>
      <c r="K29" s="760">
        <v>12001</v>
      </c>
      <c r="L29" s="858" t="s">
        <v>410</v>
      </c>
      <c r="M29" s="840"/>
      <c r="N29" s="859"/>
      <c r="O29" s="860">
        <v>2098911</v>
      </c>
      <c r="P29" s="861"/>
      <c r="Q29" s="536">
        <f>49823.63*20.01</f>
        <v>996970.83630000008</v>
      </c>
      <c r="R29" s="862" t="s">
        <v>397</v>
      </c>
      <c r="S29" s="65">
        <f t="shared" si="0"/>
        <v>1008971.8363000001</v>
      </c>
      <c r="T29" s="65">
        <f t="shared" si="1"/>
        <v>53.65277862818261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57"/>
      <c r="K30" s="839"/>
      <c r="L30" s="858"/>
      <c r="M30" s="840"/>
      <c r="N30" s="859"/>
      <c r="O30" s="860"/>
      <c r="P30" s="861"/>
      <c r="Q30" s="536"/>
      <c r="R30" s="862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57"/>
      <c r="K31" s="839"/>
      <c r="L31" s="858"/>
      <c r="M31" s="840"/>
      <c r="N31" s="859"/>
      <c r="O31" s="860"/>
      <c r="P31" s="861"/>
      <c r="Q31" s="536"/>
      <c r="R31" s="862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57"/>
      <c r="K32" s="839"/>
      <c r="L32" s="858"/>
      <c r="M32" s="840"/>
      <c r="N32" s="859"/>
      <c r="O32" s="860"/>
      <c r="P32" s="861"/>
      <c r="Q32" s="536"/>
      <c r="R32" s="862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57"/>
      <c r="K33" s="760"/>
      <c r="L33" s="858"/>
      <c r="M33" s="840"/>
      <c r="N33" s="859"/>
      <c r="O33" s="860"/>
      <c r="P33" s="880"/>
      <c r="Q33" s="536"/>
      <c r="R33" s="86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57"/>
      <c r="K34" s="839"/>
      <c r="L34" s="858"/>
      <c r="M34" s="840"/>
      <c r="N34" s="859"/>
      <c r="O34" s="863"/>
      <c r="P34" s="861"/>
      <c r="Q34" s="537"/>
      <c r="R34" s="86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57"/>
      <c r="K35" s="839"/>
      <c r="L35" s="858"/>
      <c r="M35" s="840"/>
      <c r="N35" s="859"/>
      <c r="O35" s="863"/>
      <c r="P35" s="880"/>
      <c r="Q35" s="394"/>
      <c r="R35" s="86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57"/>
      <c r="K36" s="839"/>
      <c r="L36" s="858"/>
      <c r="M36" s="840"/>
      <c r="N36" s="865"/>
      <c r="O36" s="863"/>
      <c r="P36" s="880"/>
      <c r="Q36" s="394"/>
      <c r="R36" s="85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57"/>
      <c r="K37" s="839"/>
      <c r="L37" s="858"/>
      <c r="M37" s="840"/>
      <c r="N37" s="859"/>
      <c r="O37" s="867"/>
      <c r="P37" s="861"/>
      <c r="Q37" s="536"/>
      <c r="R37" s="85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81"/>
      <c r="K38" s="839"/>
      <c r="L38" s="882"/>
      <c r="M38" s="840"/>
      <c r="N38" s="859"/>
      <c r="O38" s="867"/>
      <c r="P38" s="861"/>
      <c r="Q38" s="536"/>
      <c r="R38" s="86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83"/>
      <c r="K39" s="394"/>
      <c r="L39" s="882"/>
      <c r="M39" s="840"/>
      <c r="N39" s="859"/>
      <c r="O39" s="860"/>
      <c r="P39" s="861"/>
      <c r="Q39" s="536"/>
      <c r="R39" s="86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1"/>
      <c r="K40" s="840"/>
      <c r="L40" s="858"/>
      <c r="M40" s="840"/>
      <c r="N40" s="859"/>
      <c r="O40" s="860"/>
      <c r="P40" s="861"/>
      <c r="Q40" s="536"/>
      <c r="R40" s="86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1"/>
      <c r="K41" s="394"/>
      <c r="L41" s="858"/>
      <c r="M41" s="840"/>
      <c r="N41" s="859"/>
      <c r="O41" s="860"/>
      <c r="P41" s="861"/>
      <c r="Q41" s="536"/>
      <c r="R41" s="86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1"/>
      <c r="K42" s="840"/>
      <c r="L42" s="858"/>
      <c r="M42" s="840"/>
      <c r="N42" s="859"/>
      <c r="O42" s="860"/>
      <c r="P42" s="861"/>
      <c r="Q42" s="536"/>
      <c r="R42" s="86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1"/>
      <c r="K43" s="840"/>
      <c r="L43" s="858"/>
      <c r="M43" s="840"/>
      <c r="N43" s="859"/>
      <c r="O43" s="860"/>
      <c r="P43" s="861"/>
      <c r="Q43" s="536"/>
      <c r="R43" s="86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5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10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0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305</v>
      </c>
      <c r="C99" s="148" t="s">
        <v>309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919"/>
      <c r="O99" s="921" t="s">
        <v>310</v>
      </c>
      <c r="P99" s="920"/>
      <c r="Q99" s="535">
        <v>7031</v>
      </c>
      <c r="R99" s="923" t="s">
        <v>308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1049" t="s">
        <v>289</v>
      </c>
      <c r="C100" s="904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9" si="20">H100-F100</f>
        <v>0</v>
      </c>
      <c r="J100" s="451"/>
      <c r="K100" s="389"/>
      <c r="L100" s="688"/>
      <c r="M100" s="389"/>
      <c r="N100" s="621"/>
      <c r="O100" s="1051" t="s">
        <v>291</v>
      </c>
      <c r="P100" s="898"/>
      <c r="Q100" s="922">
        <v>51170.34</v>
      </c>
      <c r="R100" s="1041" t="s">
        <v>311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1050"/>
      <c r="C101" s="904" t="s">
        <v>290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1052"/>
      <c r="P101" s="899"/>
      <c r="Q101" s="922">
        <v>15000</v>
      </c>
      <c r="R101" s="1042"/>
      <c r="S101" s="65">
        <f t="shared" ref="S101:S107" si="21">Q101+M101+K101</f>
        <v>15000</v>
      </c>
      <c r="T101" s="170">
        <f t="shared" ref="T101:T107" si="22">S101/H101</f>
        <v>100</v>
      </c>
    </row>
    <row r="102" spans="1:20" s="152" customFormat="1" ht="28.5" x14ac:dyDescent="0.25">
      <c r="A102" s="100">
        <v>64</v>
      </c>
      <c r="B102" s="918" t="s">
        <v>305</v>
      </c>
      <c r="C102" s="904" t="s">
        <v>306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917" t="s">
        <v>307</v>
      </c>
      <c r="P102" s="899"/>
      <c r="Q102" s="538">
        <v>12313.4</v>
      </c>
      <c r="R102" s="924" t="s">
        <v>308</v>
      </c>
      <c r="S102" s="65">
        <f t="shared" si="21"/>
        <v>12313.4</v>
      </c>
      <c r="T102" s="170">
        <f t="shared" si="22"/>
        <v>110</v>
      </c>
    </row>
    <row r="103" spans="1:20" s="152" customFormat="1" ht="28.5" x14ac:dyDescent="0.3">
      <c r="A103" s="100">
        <v>65</v>
      </c>
      <c r="B103" s="905" t="s">
        <v>297</v>
      </c>
      <c r="C103" s="887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51" t="s">
        <v>376</v>
      </c>
      <c r="P103" s="842"/>
      <c r="Q103" s="538">
        <v>51542.7</v>
      </c>
      <c r="R103" s="853" t="s">
        <v>375</v>
      </c>
      <c r="S103" s="65">
        <f t="shared" si="21"/>
        <v>51542.7</v>
      </c>
      <c r="T103" s="170">
        <f t="shared" si="22"/>
        <v>55</v>
      </c>
    </row>
    <row r="104" spans="1:20" s="152" customFormat="1" ht="42.75" x14ac:dyDescent="0.3">
      <c r="A104" s="100"/>
      <c r="B104" s="905" t="s">
        <v>305</v>
      </c>
      <c r="C104" s="887" t="s">
        <v>593</v>
      </c>
      <c r="D104" s="1169" t="s">
        <v>602</v>
      </c>
      <c r="E104" s="726">
        <v>44840</v>
      </c>
      <c r="F104" s="722">
        <v>45213</v>
      </c>
      <c r="G104" s="723">
        <v>1</v>
      </c>
      <c r="H104" s="724">
        <v>45213</v>
      </c>
      <c r="I104" s="477">
        <f t="shared" si="20"/>
        <v>0</v>
      </c>
      <c r="J104" s="515"/>
      <c r="K104" s="389"/>
      <c r="L104" s="688"/>
      <c r="M104" s="389"/>
      <c r="N104" s="622"/>
      <c r="O104" s="1166" t="s">
        <v>598</v>
      </c>
      <c r="P104" s="842"/>
      <c r="Q104" s="1161">
        <v>45213</v>
      </c>
      <c r="R104" s="1162" t="s">
        <v>596</v>
      </c>
      <c r="S104" s="65">
        <f t="shared" si="21"/>
        <v>45213</v>
      </c>
      <c r="T104" s="170">
        <f t="shared" si="22"/>
        <v>1</v>
      </c>
    </row>
    <row r="105" spans="1:20" s="152" customFormat="1" ht="28.5" x14ac:dyDescent="0.25">
      <c r="A105" s="100">
        <v>66</v>
      </c>
      <c r="B105" s="892" t="s">
        <v>287</v>
      </c>
      <c r="C105" s="891" t="s">
        <v>298</v>
      </c>
      <c r="D105" s="725"/>
      <c r="E105" s="726">
        <v>44841</v>
      </c>
      <c r="F105" s="727">
        <v>2000</v>
      </c>
      <c r="G105" s="723">
        <v>200</v>
      </c>
      <c r="H105" s="724">
        <v>2000</v>
      </c>
      <c r="I105" s="477">
        <f t="shared" si="20"/>
        <v>0</v>
      </c>
      <c r="J105" s="451"/>
      <c r="K105" s="389"/>
      <c r="L105" s="688"/>
      <c r="M105" s="389"/>
      <c r="N105" s="621"/>
      <c r="O105" s="846" t="s">
        <v>299</v>
      </c>
      <c r="P105" s="840"/>
      <c r="Q105" s="538">
        <v>172000</v>
      </c>
      <c r="R105" s="853" t="s">
        <v>344</v>
      </c>
      <c r="S105" s="65">
        <f t="shared" si="21"/>
        <v>172000</v>
      </c>
      <c r="T105" s="170">
        <f t="shared" si="22"/>
        <v>86</v>
      </c>
    </row>
    <row r="106" spans="1:20" s="152" customFormat="1" ht="28.5" x14ac:dyDescent="0.25">
      <c r="A106" s="100">
        <v>67</v>
      </c>
      <c r="B106" s="892" t="s">
        <v>287</v>
      </c>
      <c r="C106" s="891" t="s">
        <v>329</v>
      </c>
      <c r="D106" s="725"/>
      <c r="E106" s="726">
        <v>44842</v>
      </c>
      <c r="F106" s="727">
        <v>5012.16</v>
      </c>
      <c r="G106" s="723">
        <v>184</v>
      </c>
      <c r="H106" s="724">
        <v>5012.16</v>
      </c>
      <c r="I106" s="477">
        <f t="shared" si="20"/>
        <v>0</v>
      </c>
      <c r="J106" s="451"/>
      <c r="K106" s="389"/>
      <c r="L106" s="688"/>
      <c r="M106" s="389"/>
      <c r="N106" s="621"/>
      <c r="O106" s="846" t="s">
        <v>330</v>
      </c>
      <c r="P106" s="840"/>
      <c r="Q106" s="538">
        <v>426033.6</v>
      </c>
      <c r="R106" s="853" t="s">
        <v>373</v>
      </c>
      <c r="S106" s="65">
        <f t="shared" si="21"/>
        <v>426033.6</v>
      </c>
      <c r="T106" s="170">
        <f t="shared" si="22"/>
        <v>85</v>
      </c>
    </row>
    <row r="107" spans="1:20" s="152" customFormat="1" ht="43.5" x14ac:dyDescent="0.25">
      <c r="A107" s="100"/>
      <c r="B107" s="892" t="s">
        <v>305</v>
      </c>
      <c r="C107" s="891" t="s">
        <v>593</v>
      </c>
      <c r="D107" s="1160" t="s">
        <v>594</v>
      </c>
      <c r="E107" s="726">
        <v>44844</v>
      </c>
      <c r="F107" s="727">
        <v>13086</v>
      </c>
      <c r="G107" s="723">
        <v>1</v>
      </c>
      <c r="H107" s="724">
        <v>13086</v>
      </c>
      <c r="I107" s="477">
        <f t="shared" si="20"/>
        <v>0</v>
      </c>
      <c r="J107" s="451"/>
      <c r="K107" s="389"/>
      <c r="L107" s="688"/>
      <c r="M107" s="389"/>
      <c r="N107" s="621"/>
      <c r="O107" s="856" t="s">
        <v>595</v>
      </c>
      <c r="P107" s="840"/>
      <c r="Q107" s="1161">
        <v>13086</v>
      </c>
      <c r="R107" s="1162" t="s">
        <v>596</v>
      </c>
      <c r="S107" s="65">
        <f t="shared" si="21"/>
        <v>13086</v>
      </c>
      <c r="T107" s="170">
        <f t="shared" si="22"/>
        <v>1</v>
      </c>
    </row>
    <row r="108" spans="1:20" s="152" customFormat="1" ht="28.5" customHeight="1" x14ac:dyDescent="0.25">
      <c r="A108" s="100">
        <v>68</v>
      </c>
      <c r="B108" s="893" t="s">
        <v>289</v>
      </c>
      <c r="C108" s="891" t="s">
        <v>43</v>
      </c>
      <c r="D108" s="752"/>
      <c r="E108" s="835">
        <v>44845</v>
      </c>
      <c r="F108" s="727">
        <v>2002.14</v>
      </c>
      <c r="G108" s="723">
        <v>441</v>
      </c>
      <c r="H108" s="724">
        <v>2002.14</v>
      </c>
      <c r="I108" s="477">
        <f t="shared" si="20"/>
        <v>0</v>
      </c>
      <c r="J108" s="451"/>
      <c r="K108" s="389"/>
      <c r="L108" s="688"/>
      <c r="M108" s="389"/>
      <c r="N108" s="621"/>
      <c r="O108" s="843" t="s">
        <v>304</v>
      </c>
      <c r="P108" s="840"/>
      <c r="Q108" s="538">
        <v>102109.14</v>
      </c>
      <c r="R108" s="854" t="s">
        <v>314</v>
      </c>
      <c r="S108" s="65">
        <f t="shared" si="15"/>
        <v>102109.14</v>
      </c>
      <c r="T108" s="170">
        <f t="shared" si="17"/>
        <v>51</v>
      </c>
    </row>
    <row r="109" spans="1:20" s="152" customFormat="1" ht="31.5" customHeight="1" thickBot="1" x14ac:dyDescent="0.3">
      <c r="A109" s="100">
        <v>69</v>
      </c>
      <c r="B109" s="932" t="s">
        <v>63</v>
      </c>
      <c r="C109" s="888" t="s">
        <v>331</v>
      </c>
      <c r="D109" s="728"/>
      <c r="E109" s="936">
        <v>44845</v>
      </c>
      <c r="F109" s="724">
        <v>300.39</v>
      </c>
      <c r="G109" s="729">
        <v>26</v>
      </c>
      <c r="H109" s="724">
        <v>300.39</v>
      </c>
      <c r="I109" s="477">
        <f>H109-F109</f>
        <v>0</v>
      </c>
      <c r="J109" s="517"/>
      <c r="K109" s="389"/>
      <c r="L109" s="688"/>
      <c r="M109" s="389"/>
      <c r="N109" s="621"/>
      <c r="O109" s="933" t="s">
        <v>332</v>
      </c>
      <c r="P109" s="840"/>
      <c r="Q109" s="538">
        <v>25533.15</v>
      </c>
      <c r="R109" s="950" t="s">
        <v>345</v>
      </c>
      <c r="S109" s="65">
        <f t="shared" si="15"/>
        <v>25533.15</v>
      </c>
      <c r="T109" s="170">
        <f t="shared" si="17"/>
        <v>85.000000000000014</v>
      </c>
    </row>
    <row r="110" spans="1:20" s="152" customFormat="1" ht="38.25" customHeight="1" x14ac:dyDescent="0.25">
      <c r="A110" s="100">
        <v>70</v>
      </c>
      <c r="B110" s="1035" t="s">
        <v>336</v>
      </c>
      <c r="C110" s="930" t="s">
        <v>72</v>
      </c>
      <c r="D110" s="934"/>
      <c r="E110" s="1020">
        <v>44846</v>
      </c>
      <c r="F110" s="935">
        <v>3038.15</v>
      </c>
      <c r="G110" s="729">
        <v>100</v>
      </c>
      <c r="H110" s="724">
        <v>3038.15</v>
      </c>
      <c r="I110" s="477">
        <f t="shared" si="20"/>
        <v>0</v>
      </c>
      <c r="J110" s="451"/>
      <c r="K110" s="389"/>
      <c r="L110" s="688"/>
      <c r="M110" s="389"/>
      <c r="N110" s="621"/>
      <c r="O110" s="1038">
        <v>18915</v>
      </c>
      <c r="P110" s="1056" t="s">
        <v>374</v>
      </c>
      <c r="Q110" s="922">
        <v>85068.2</v>
      </c>
      <c r="R110" s="1053" t="s">
        <v>375</v>
      </c>
      <c r="S110" s="65">
        <f t="shared" si="15"/>
        <v>85068.2</v>
      </c>
      <c r="T110" s="170">
        <f t="shared" si="17"/>
        <v>27.999999999999996</v>
      </c>
    </row>
    <row r="111" spans="1:20" s="152" customFormat="1" ht="31.5" customHeight="1" x14ac:dyDescent="0.25">
      <c r="A111" s="100">
        <v>71</v>
      </c>
      <c r="B111" s="1036"/>
      <c r="C111" s="931" t="s">
        <v>337</v>
      </c>
      <c r="D111" s="934"/>
      <c r="E111" s="1021"/>
      <c r="F111" s="935">
        <v>1981.82</v>
      </c>
      <c r="G111" s="729">
        <v>79</v>
      </c>
      <c r="H111" s="724">
        <v>1981.82</v>
      </c>
      <c r="I111" s="477">
        <f t="shared" si="20"/>
        <v>0</v>
      </c>
      <c r="J111" s="451"/>
      <c r="K111" s="389"/>
      <c r="L111" s="689"/>
      <c r="M111" s="389"/>
      <c r="N111" s="622"/>
      <c r="O111" s="1039"/>
      <c r="P111" s="1057"/>
      <c r="Q111" s="922">
        <v>166472.88</v>
      </c>
      <c r="R111" s="1054"/>
      <c r="S111" s="65">
        <f t="shared" si="15"/>
        <v>166472.88</v>
      </c>
      <c r="T111" s="170">
        <f t="shared" ref="T111:T115" si="23">S111/H111</f>
        <v>84</v>
      </c>
    </row>
    <row r="112" spans="1:20" s="152" customFormat="1" ht="34.5" customHeight="1" thickBot="1" x14ac:dyDescent="0.3">
      <c r="A112" s="100">
        <v>72</v>
      </c>
      <c r="B112" s="1037"/>
      <c r="C112" s="931" t="s">
        <v>338</v>
      </c>
      <c r="D112" s="934"/>
      <c r="E112" s="1022"/>
      <c r="F112" s="935">
        <v>2025.36</v>
      </c>
      <c r="G112" s="729">
        <v>70</v>
      </c>
      <c r="H112" s="724">
        <v>2025.36</v>
      </c>
      <c r="I112" s="477">
        <f t="shared" si="20"/>
        <v>0</v>
      </c>
      <c r="J112" s="451"/>
      <c r="K112" s="389"/>
      <c r="L112" s="689"/>
      <c r="M112" s="389"/>
      <c r="N112" s="622"/>
      <c r="O112" s="1040"/>
      <c r="P112" s="1058"/>
      <c r="Q112" s="922">
        <v>182282.4</v>
      </c>
      <c r="R112" s="1055"/>
      <c r="S112" s="65">
        <f t="shared" si="15"/>
        <v>182282.4</v>
      </c>
      <c r="T112" s="170">
        <f t="shared" si="23"/>
        <v>90</v>
      </c>
    </row>
    <row r="113" spans="1:20" s="152" customFormat="1" ht="42.75" x14ac:dyDescent="0.25">
      <c r="A113" s="100"/>
      <c r="B113" s="1163" t="s">
        <v>305</v>
      </c>
      <c r="C113" s="931" t="s">
        <v>593</v>
      </c>
      <c r="D113" s="947" t="s">
        <v>605</v>
      </c>
      <c r="E113" s="1164">
        <v>44847</v>
      </c>
      <c r="F113" s="935">
        <v>43779</v>
      </c>
      <c r="G113" s="729">
        <v>1</v>
      </c>
      <c r="H113" s="724">
        <v>43779</v>
      </c>
      <c r="I113" s="477">
        <f t="shared" si="20"/>
        <v>0</v>
      </c>
      <c r="J113" s="451"/>
      <c r="K113" s="389"/>
      <c r="L113" s="689"/>
      <c r="M113" s="389"/>
      <c r="N113" s="622"/>
      <c r="O113" s="1170" t="s">
        <v>606</v>
      </c>
      <c r="P113" s="1171"/>
      <c r="Q113" s="1172">
        <v>43779</v>
      </c>
      <c r="R113" s="1168" t="s">
        <v>596</v>
      </c>
      <c r="S113" s="65">
        <f t="shared" si="15"/>
        <v>43779</v>
      </c>
      <c r="T113" s="170">
        <f t="shared" si="23"/>
        <v>1</v>
      </c>
    </row>
    <row r="114" spans="1:20" s="152" customFormat="1" ht="42.75" customHeight="1" thickBot="1" x14ac:dyDescent="0.3">
      <c r="A114" s="100">
        <v>73</v>
      </c>
      <c r="B114" s="942" t="s">
        <v>99</v>
      </c>
      <c r="C114" s="890" t="s">
        <v>361</v>
      </c>
      <c r="D114" s="728"/>
      <c r="E114" s="943">
        <v>44849</v>
      </c>
      <c r="F114" s="724">
        <v>5195.42</v>
      </c>
      <c r="G114" s="729">
        <v>169</v>
      </c>
      <c r="H114" s="724">
        <v>5195.42</v>
      </c>
      <c r="I114" s="477">
        <f t="shared" si="20"/>
        <v>0</v>
      </c>
      <c r="J114" s="451"/>
      <c r="K114" s="389"/>
      <c r="L114" s="688"/>
      <c r="M114" s="389"/>
      <c r="N114" s="621"/>
      <c r="O114" s="946" t="s">
        <v>372</v>
      </c>
      <c r="P114" s="948" t="s">
        <v>374</v>
      </c>
      <c r="Q114" s="538">
        <v>659818.34</v>
      </c>
      <c r="R114" s="954" t="s">
        <v>373</v>
      </c>
      <c r="S114" s="65">
        <f t="shared" si="15"/>
        <v>659818.34</v>
      </c>
      <c r="T114" s="170">
        <f t="shared" si="23"/>
        <v>126.99999999999999</v>
      </c>
    </row>
    <row r="115" spans="1:20" s="152" customFormat="1" ht="28.5" customHeight="1" x14ac:dyDescent="0.25">
      <c r="A115" s="100">
        <v>74</v>
      </c>
      <c r="B115" s="1017" t="s">
        <v>363</v>
      </c>
      <c r="C115" s="931" t="s">
        <v>364</v>
      </c>
      <c r="D115" s="934"/>
      <c r="E115" s="1020">
        <v>44853</v>
      </c>
      <c r="F115" s="935">
        <v>1003.37</v>
      </c>
      <c r="G115" s="729">
        <v>83</v>
      </c>
      <c r="H115" s="724">
        <v>1003.37</v>
      </c>
      <c r="I115" s="105">
        <f t="shared" si="20"/>
        <v>0</v>
      </c>
      <c r="J115" s="451"/>
      <c r="K115" s="389"/>
      <c r="L115" s="688"/>
      <c r="M115" s="389"/>
      <c r="N115" s="621"/>
      <c r="O115" s="1023" t="s">
        <v>365</v>
      </c>
      <c r="P115" s="944"/>
      <c r="Q115" s="953">
        <v>99333.63</v>
      </c>
      <c r="R115" s="1014" t="s">
        <v>391</v>
      </c>
      <c r="S115" s="65">
        <f t="shared" si="15"/>
        <v>99333.63</v>
      </c>
      <c r="T115" s="170">
        <f t="shared" si="23"/>
        <v>99</v>
      </c>
    </row>
    <row r="116" spans="1:20" s="152" customFormat="1" ht="38.25" customHeight="1" x14ac:dyDescent="0.25">
      <c r="A116" s="100">
        <v>75</v>
      </c>
      <c r="B116" s="1018"/>
      <c r="C116" s="930" t="s">
        <v>331</v>
      </c>
      <c r="D116" s="934"/>
      <c r="E116" s="1021"/>
      <c r="F116" s="935">
        <v>186.99</v>
      </c>
      <c r="G116" s="729">
        <v>16</v>
      </c>
      <c r="H116" s="730">
        <v>186.99</v>
      </c>
      <c r="I116" s="105">
        <f t="shared" si="20"/>
        <v>0</v>
      </c>
      <c r="J116" s="451"/>
      <c r="K116" s="389"/>
      <c r="L116" s="688"/>
      <c r="M116" s="389"/>
      <c r="N116" s="621"/>
      <c r="O116" s="1024"/>
      <c r="P116" s="945"/>
      <c r="Q116" s="953">
        <v>15894.15</v>
      </c>
      <c r="R116" s="1015"/>
      <c r="S116" s="65">
        <f t="shared" ref="S116:S132" si="24">Q116+M116+K116</f>
        <v>15894.15</v>
      </c>
      <c r="T116" s="170">
        <f t="shared" ref="T116:T132" si="25">S116/H116</f>
        <v>85</v>
      </c>
    </row>
    <row r="117" spans="1:20" s="152" customFormat="1" ht="38.25" customHeight="1" thickBot="1" x14ac:dyDescent="0.3">
      <c r="A117" s="100">
        <v>76</v>
      </c>
      <c r="B117" s="1019"/>
      <c r="C117" s="931" t="s">
        <v>64</v>
      </c>
      <c r="D117" s="934"/>
      <c r="E117" s="1022"/>
      <c r="F117" s="935">
        <v>510.98</v>
      </c>
      <c r="G117" s="729">
        <v>43</v>
      </c>
      <c r="H117" s="730">
        <v>510.98</v>
      </c>
      <c r="I117" s="105">
        <f t="shared" si="20"/>
        <v>0</v>
      </c>
      <c r="J117" s="451"/>
      <c r="K117" s="389"/>
      <c r="L117" s="688"/>
      <c r="M117" s="389"/>
      <c r="N117" s="621"/>
      <c r="O117" s="1025"/>
      <c r="P117" s="945"/>
      <c r="Q117" s="953">
        <v>48543.1</v>
      </c>
      <c r="R117" s="1016"/>
      <c r="S117" s="65">
        <f t="shared" si="24"/>
        <v>48543.1</v>
      </c>
      <c r="T117" s="170">
        <f t="shared" si="25"/>
        <v>95</v>
      </c>
    </row>
    <row r="118" spans="1:20" s="152" customFormat="1" ht="42.75" x14ac:dyDescent="0.25">
      <c r="A118" s="100"/>
      <c r="B118" s="1163" t="s">
        <v>305</v>
      </c>
      <c r="C118" s="931" t="s">
        <v>593</v>
      </c>
      <c r="D118" s="836" t="s">
        <v>601</v>
      </c>
      <c r="E118" s="1164">
        <v>44854</v>
      </c>
      <c r="F118" s="935">
        <v>40798</v>
      </c>
      <c r="G118" s="729">
        <v>1</v>
      </c>
      <c r="H118" s="730">
        <v>40798</v>
      </c>
      <c r="I118" s="105">
        <f t="shared" si="20"/>
        <v>0</v>
      </c>
      <c r="J118" s="451"/>
      <c r="K118" s="389"/>
      <c r="L118" s="688"/>
      <c r="M118" s="389"/>
      <c r="N118" s="621"/>
      <c r="O118" s="1165" t="s">
        <v>597</v>
      </c>
      <c r="P118" s="945"/>
      <c r="Q118" s="1167">
        <v>40798</v>
      </c>
      <c r="R118" s="1168" t="s">
        <v>596</v>
      </c>
      <c r="S118" s="65">
        <f t="shared" si="24"/>
        <v>40798</v>
      </c>
      <c r="T118" s="170">
        <f t="shared" si="25"/>
        <v>1</v>
      </c>
    </row>
    <row r="119" spans="1:20" s="152" customFormat="1" ht="42.75" x14ac:dyDescent="0.25">
      <c r="A119" s="100"/>
      <c r="B119" s="1163" t="s">
        <v>305</v>
      </c>
      <c r="C119" s="931" t="s">
        <v>593</v>
      </c>
      <c r="D119" s="836" t="s">
        <v>600</v>
      </c>
      <c r="E119" s="1164">
        <v>44858</v>
      </c>
      <c r="F119" s="935">
        <v>30367</v>
      </c>
      <c r="G119" s="729">
        <v>1</v>
      </c>
      <c r="H119" s="730">
        <v>30367</v>
      </c>
      <c r="I119" s="105">
        <f t="shared" si="20"/>
        <v>0</v>
      </c>
      <c r="J119" s="451"/>
      <c r="K119" s="389"/>
      <c r="L119" s="688"/>
      <c r="M119" s="389"/>
      <c r="N119" s="621"/>
      <c r="O119" s="1165" t="s">
        <v>599</v>
      </c>
      <c r="P119" s="945"/>
      <c r="Q119" s="1167">
        <v>30367</v>
      </c>
      <c r="R119" s="1168" t="s">
        <v>596</v>
      </c>
      <c r="S119" s="65">
        <f t="shared" si="24"/>
        <v>30367</v>
      </c>
      <c r="T119" s="170">
        <f t="shared" si="25"/>
        <v>1</v>
      </c>
    </row>
    <row r="120" spans="1:20" s="152" customFormat="1" ht="43.5" thickBot="1" x14ac:dyDescent="0.3">
      <c r="A120" s="100"/>
      <c r="B120" s="1163" t="s">
        <v>305</v>
      </c>
      <c r="C120" s="931" t="s">
        <v>593</v>
      </c>
      <c r="D120" s="947" t="s">
        <v>603</v>
      </c>
      <c r="E120" s="1164">
        <v>44861</v>
      </c>
      <c r="F120" s="935">
        <v>30605</v>
      </c>
      <c r="G120" s="729">
        <v>1</v>
      </c>
      <c r="H120" s="730">
        <v>30605</v>
      </c>
      <c r="I120" s="105">
        <f t="shared" si="20"/>
        <v>0</v>
      </c>
      <c r="J120" s="451"/>
      <c r="K120" s="389"/>
      <c r="L120" s="688"/>
      <c r="M120" s="389"/>
      <c r="N120" s="621"/>
      <c r="O120" s="1165" t="s">
        <v>604</v>
      </c>
      <c r="P120" s="945"/>
      <c r="Q120" s="1167">
        <v>30605.040000000001</v>
      </c>
      <c r="R120" s="1168" t="s">
        <v>596</v>
      </c>
      <c r="S120" s="65">
        <f t="shared" si="24"/>
        <v>30605.040000000001</v>
      </c>
      <c r="T120" s="170">
        <f t="shared" si="25"/>
        <v>1.0000013069759843</v>
      </c>
    </row>
    <row r="121" spans="1:20" s="152" customFormat="1" ht="21" customHeight="1" x14ac:dyDescent="0.25">
      <c r="A121" s="100">
        <v>77</v>
      </c>
      <c r="B121" s="1026" t="s">
        <v>289</v>
      </c>
      <c r="C121" s="931" t="s">
        <v>43</v>
      </c>
      <c r="D121" s="947"/>
      <c r="E121" s="1029">
        <v>44862</v>
      </c>
      <c r="F121" s="935">
        <v>1520.9</v>
      </c>
      <c r="G121" s="729">
        <v>335</v>
      </c>
      <c r="H121" s="730">
        <v>1520.9</v>
      </c>
      <c r="I121" s="105">
        <f t="shared" si="20"/>
        <v>0</v>
      </c>
      <c r="J121" s="451"/>
      <c r="K121" s="389"/>
      <c r="L121" s="688"/>
      <c r="M121" s="389"/>
      <c r="N121" s="621"/>
      <c r="O121" s="1032" t="s">
        <v>371</v>
      </c>
      <c r="P121" s="945"/>
      <c r="Q121" s="953">
        <v>73003.199999999997</v>
      </c>
      <c r="R121" s="1173" t="s">
        <v>391</v>
      </c>
      <c r="S121" s="65">
        <f t="shared" si="24"/>
        <v>73003.199999999997</v>
      </c>
      <c r="T121" s="170">
        <f t="shared" si="25"/>
        <v>47.999999999999993</v>
      </c>
    </row>
    <row r="122" spans="1:20" s="152" customFormat="1" ht="18.75" customHeight="1" x14ac:dyDescent="0.25">
      <c r="A122" s="100">
        <v>78</v>
      </c>
      <c r="B122" s="1027"/>
      <c r="C122" s="931" t="s">
        <v>370</v>
      </c>
      <c r="D122" s="947"/>
      <c r="E122" s="1030"/>
      <c r="F122" s="935">
        <v>150</v>
      </c>
      <c r="G122" s="729">
        <v>15</v>
      </c>
      <c r="H122" s="730">
        <v>150</v>
      </c>
      <c r="I122" s="105">
        <f t="shared" si="20"/>
        <v>0</v>
      </c>
      <c r="J122" s="451"/>
      <c r="K122" s="389"/>
      <c r="L122" s="688"/>
      <c r="M122" s="389"/>
      <c r="N122" s="621"/>
      <c r="O122" s="1033"/>
      <c r="P122" s="945"/>
      <c r="Q122" s="953">
        <v>12750</v>
      </c>
      <c r="R122" s="1012"/>
      <c r="S122" s="65">
        <f t="shared" si="24"/>
        <v>12750</v>
      </c>
      <c r="T122" s="170">
        <f t="shared" si="25"/>
        <v>85</v>
      </c>
    </row>
    <row r="123" spans="1:20" s="152" customFormat="1" ht="19.5" customHeight="1" thickBot="1" x14ac:dyDescent="0.3">
      <c r="A123" s="100">
        <v>79</v>
      </c>
      <c r="B123" s="1028"/>
      <c r="C123" s="931" t="s">
        <v>290</v>
      </c>
      <c r="D123" s="947"/>
      <c r="E123" s="1031"/>
      <c r="F123" s="935">
        <v>100</v>
      </c>
      <c r="G123" s="729">
        <v>10</v>
      </c>
      <c r="H123" s="730">
        <v>100</v>
      </c>
      <c r="I123" s="105">
        <f t="shared" si="20"/>
        <v>0</v>
      </c>
      <c r="J123" s="451"/>
      <c r="K123" s="389"/>
      <c r="L123" s="688"/>
      <c r="M123" s="389"/>
      <c r="N123" s="621"/>
      <c r="O123" s="1034"/>
      <c r="P123" s="945"/>
      <c r="Q123" s="953">
        <v>9500</v>
      </c>
      <c r="R123" s="1013"/>
      <c r="S123" s="65">
        <f t="shared" si="24"/>
        <v>9500</v>
      </c>
      <c r="T123" s="170">
        <f t="shared" si="25"/>
        <v>95</v>
      </c>
    </row>
    <row r="124" spans="1:20" s="152" customFormat="1" ht="28.5" customHeight="1" thickTop="1" x14ac:dyDescent="0.25">
      <c r="A124" s="100">
        <v>80</v>
      </c>
      <c r="B124" s="952" t="s">
        <v>388</v>
      </c>
      <c r="C124" s="890" t="s">
        <v>389</v>
      </c>
      <c r="D124" s="836"/>
      <c r="E124" s="937"/>
      <c r="F124" s="724">
        <v>1562.5</v>
      </c>
      <c r="G124" s="729"/>
      <c r="H124" s="730">
        <v>1562.5</v>
      </c>
      <c r="I124" s="105">
        <f t="shared" si="20"/>
        <v>0</v>
      </c>
      <c r="J124" s="451"/>
      <c r="K124" s="389"/>
      <c r="L124" s="688"/>
      <c r="M124" s="389"/>
      <c r="N124" s="621"/>
      <c r="O124" s="901" t="s">
        <v>390</v>
      </c>
      <c r="P124" s="845"/>
      <c r="Q124" s="955">
        <v>150000</v>
      </c>
      <c r="R124" s="956" t="s">
        <v>391</v>
      </c>
      <c r="S124" s="65">
        <f t="shared" si="24"/>
        <v>150000</v>
      </c>
      <c r="T124" s="170">
        <f t="shared" si="25"/>
        <v>96</v>
      </c>
    </row>
    <row r="125" spans="1:20" s="152" customFormat="1" ht="23.25" customHeight="1" x14ac:dyDescent="0.25">
      <c r="A125" s="100">
        <v>81</v>
      </c>
      <c r="B125" s="890"/>
      <c r="C125" s="890"/>
      <c r="D125" s="836"/>
      <c r="E125" s="726"/>
      <c r="F125" s="724"/>
      <c r="G125" s="729"/>
      <c r="H125" s="730"/>
      <c r="I125" s="105">
        <f t="shared" si="20"/>
        <v>0</v>
      </c>
      <c r="J125" s="451"/>
      <c r="K125" s="389"/>
      <c r="L125" s="688"/>
      <c r="M125" s="389"/>
      <c r="N125" s="621"/>
      <c r="O125" s="846"/>
      <c r="P125" s="845"/>
      <c r="Q125" s="535"/>
      <c r="R125" s="847"/>
      <c r="S125" s="65">
        <f t="shared" si="24"/>
        <v>0</v>
      </c>
      <c r="T125" s="170" t="e">
        <f t="shared" si="25"/>
        <v>#DIV/0!</v>
      </c>
    </row>
    <row r="126" spans="1:20" s="152" customFormat="1" ht="27" customHeight="1" x14ac:dyDescent="0.25">
      <c r="A126" s="100">
        <v>82</v>
      </c>
      <c r="B126" s="890"/>
      <c r="C126" s="890"/>
      <c r="D126" s="728"/>
      <c r="E126" s="726"/>
      <c r="F126" s="724"/>
      <c r="G126" s="729"/>
      <c r="H126" s="724"/>
      <c r="I126" s="105">
        <f t="shared" si="20"/>
        <v>0</v>
      </c>
      <c r="J126" s="451"/>
      <c r="K126" s="389"/>
      <c r="L126" s="688"/>
      <c r="M126" s="389"/>
      <c r="N126" s="621"/>
      <c r="O126" s="848"/>
      <c r="P126" s="845"/>
      <c r="Q126" s="535"/>
      <c r="R126" s="841"/>
      <c r="S126" s="65">
        <f t="shared" si="24"/>
        <v>0</v>
      </c>
      <c r="T126" s="170" t="e">
        <f t="shared" si="25"/>
        <v>#DIV/0!</v>
      </c>
    </row>
    <row r="127" spans="1:20" s="152" customFormat="1" ht="18.75" x14ac:dyDescent="0.25">
      <c r="A127" s="100">
        <v>83</v>
      </c>
      <c r="B127" s="890"/>
      <c r="C127" s="890"/>
      <c r="D127" s="756"/>
      <c r="E127" s="726"/>
      <c r="F127" s="724"/>
      <c r="G127" s="729"/>
      <c r="H127" s="724"/>
      <c r="I127" s="105">
        <f t="shared" si="20"/>
        <v>0</v>
      </c>
      <c r="J127" s="451"/>
      <c r="K127" s="389"/>
      <c r="L127" s="688"/>
      <c r="M127" s="389"/>
      <c r="N127" s="621"/>
      <c r="O127" s="848"/>
      <c r="P127" s="845"/>
      <c r="Q127" s="535"/>
      <c r="R127" s="841"/>
      <c r="S127" s="65">
        <f t="shared" si="24"/>
        <v>0</v>
      </c>
      <c r="T127" s="170" t="e">
        <f t="shared" si="25"/>
        <v>#DIV/0!</v>
      </c>
    </row>
    <row r="128" spans="1:20" s="152" customFormat="1" ht="33" customHeight="1" x14ac:dyDescent="0.25">
      <c r="A128" s="100">
        <v>84</v>
      </c>
      <c r="B128" s="889"/>
      <c r="C128" s="890"/>
      <c r="D128" s="728"/>
      <c r="E128" s="726"/>
      <c r="F128" s="724"/>
      <c r="G128" s="729"/>
      <c r="H128" s="724"/>
      <c r="I128" s="105">
        <f t="shared" si="20"/>
        <v>0</v>
      </c>
      <c r="J128" s="451"/>
      <c r="K128" s="389"/>
      <c r="L128" s="688"/>
      <c r="M128" s="389"/>
      <c r="N128" s="621"/>
      <c r="O128" s="843"/>
      <c r="P128" s="844"/>
      <c r="Q128" s="535"/>
      <c r="R128" s="841"/>
      <c r="S128" s="65">
        <f t="shared" si="24"/>
        <v>0</v>
      </c>
      <c r="T128" s="170" t="e">
        <f t="shared" si="25"/>
        <v>#DIV/0!</v>
      </c>
    </row>
    <row r="129" spans="1:20" s="152" customFormat="1" ht="18.75" x14ac:dyDescent="0.25">
      <c r="A129" s="100">
        <v>85</v>
      </c>
      <c r="B129" s="889"/>
      <c r="C129" s="890"/>
      <c r="D129" s="756"/>
      <c r="E129" s="726"/>
      <c r="F129" s="724"/>
      <c r="G129" s="729"/>
      <c r="H129" s="724"/>
      <c r="I129" s="105">
        <f t="shared" si="20"/>
        <v>0</v>
      </c>
      <c r="J129" s="451"/>
      <c r="K129" s="389"/>
      <c r="L129" s="688"/>
      <c r="M129" s="389"/>
      <c r="N129" s="621"/>
      <c r="O129" s="843"/>
      <c r="P129" s="844"/>
      <c r="Q129" s="535"/>
      <c r="R129" s="841"/>
      <c r="S129" s="65">
        <f t="shared" si="24"/>
        <v>0</v>
      </c>
      <c r="T129" s="170" t="e">
        <f t="shared" si="25"/>
        <v>#DIV/0!</v>
      </c>
    </row>
    <row r="130" spans="1:20" s="152" customFormat="1" ht="35.25" customHeight="1" x14ac:dyDescent="0.25">
      <c r="A130" s="100">
        <v>86</v>
      </c>
      <c r="B130" s="892"/>
      <c r="C130" s="890"/>
      <c r="D130" s="728"/>
      <c r="E130" s="837"/>
      <c r="F130" s="724"/>
      <c r="G130" s="729"/>
      <c r="H130" s="724"/>
      <c r="I130" s="105">
        <f t="shared" ref="I130:I133" si="26">H130-F130</f>
        <v>0</v>
      </c>
      <c r="J130" s="451"/>
      <c r="K130" s="389"/>
      <c r="L130" s="688"/>
      <c r="M130" s="389"/>
      <c r="N130" s="621"/>
      <c r="O130" s="855"/>
      <c r="P130" s="844"/>
      <c r="Q130" s="535"/>
      <c r="R130" s="849"/>
      <c r="S130" s="65">
        <f t="shared" si="24"/>
        <v>0</v>
      </c>
      <c r="T130" s="170" t="e">
        <f t="shared" si="25"/>
        <v>#DIV/0!</v>
      </c>
    </row>
    <row r="131" spans="1:20" s="152" customFormat="1" ht="30" customHeight="1" x14ac:dyDescent="0.3">
      <c r="A131" s="100">
        <v>87</v>
      </c>
      <c r="B131" s="892"/>
      <c r="C131" s="891"/>
      <c r="D131" s="538"/>
      <c r="E131" s="837"/>
      <c r="F131" s="617"/>
      <c r="G131" s="616"/>
      <c r="H131" s="570"/>
      <c r="I131" s="477">
        <f t="shared" si="26"/>
        <v>0</v>
      </c>
      <c r="J131" s="515"/>
      <c r="K131" s="389"/>
      <c r="L131" s="688"/>
      <c r="M131" s="389"/>
      <c r="N131" s="622"/>
      <c r="O131" s="855"/>
      <c r="P131" s="840"/>
      <c r="Q131" s="538"/>
      <c r="R131" s="841"/>
      <c r="S131" s="65">
        <f t="shared" si="24"/>
        <v>0</v>
      </c>
      <c r="T131" s="170" t="e">
        <f t="shared" si="25"/>
        <v>#DIV/0!</v>
      </c>
    </row>
    <row r="132" spans="1:20" s="152" customFormat="1" ht="33" customHeight="1" x14ac:dyDescent="0.3">
      <c r="A132" s="100">
        <v>88</v>
      </c>
      <c r="B132" s="892"/>
      <c r="C132" s="890"/>
      <c r="D132" s="379"/>
      <c r="E132" s="837"/>
      <c r="F132" s="570"/>
      <c r="G132" s="596"/>
      <c r="H132" s="570"/>
      <c r="I132" s="341">
        <f t="shared" si="26"/>
        <v>0</v>
      </c>
      <c r="J132" s="452"/>
      <c r="K132" s="389"/>
      <c r="L132" s="688"/>
      <c r="M132" s="389"/>
      <c r="N132" s="621"/>
      <c r="O132" s="855"/>
      <c r="P132" s="845"/>
      <c r="Q132" s="535"/>
      <c r="R132" s="849"/>
      <c r="S132" s="65">
        <f t="shared" si="24"/>
        <v>0</v>
      </c>
      <c r="T132" s="170" t="e">
        <f t="shared" si="25"/>
        <v>#DIV/0!</v>
      </c>
    </row>
    <row r="133" spans="1:20" s="152" customFormat="1" ht="33" customHeight="1" x14ac:dyDescent="0.3">
      <c r="A133" s="100">
        <v>89</v>
      </c>
      <c r="B133" s="892"/>
      <c r="C133" s="889"/>
      <c r="D133" s="658"/>
      <c r="E133" s="837"/>
      <c r="F133" s="570"/>
      <c r="G133" s="596"/>
      <c r="H133" s="570"/>
      <c r="I133" s="341">
        <f t="shared" si="26"/>
        <v>0</v>
      </c>
      <c r="J133" s="452"/>
      <c r="K133" s="389"/>
      <c r="L133" s="688"/>
      <c r="M133" s="389"/>
      <c r="N133" s="621"/>
      <c r="O133" s="855"/>
      <c r="P133" s="845"/>
      <c r="Q133" s="535"/>
      <c r="R133" s="849"/>
      <c r="S133" s="65">
        <f t="shared" ref="S133:S171" si="27">Q133+M133+K133</f>
        <v>0</v>
      </c>
      <c r="T133" s="170" t="e">
        <f t="shared" ref="T133:T171" si="28">S133/H133</f>
        <v>#DIV/0!</v>
      </c>
    </row>
    <row r="134" spans="1:20" s="152" customFormat="1" ht="28.5" customHeight="1" x14ac:dyDescent="0.25">
      <c r="A134" s="100">
        <v>90</v>
      </c>
      <c r="B134" s="890"/>
      <c r="C134" s="890"/>
      <c r="D134" s="379"/>
      <c r="E134" s="574"/>
      <c r="F134" s="570"/>
      <c r="G134" s="596"/>
      <c r="H134" s="570"/>
      <c r="I134" s="105">
        <f t="shared" ref="I134:I186" si="29">H134-F134</f>
        <v>0</v>
      </c>
      <c r="J134" s="451"/>
      <c r="K134" s="389"/>
      <c r="L134" s="688"/>
      <c r="M134" s="389"/>
      <c r="N134" s="621"/>
      <c r="O134" s="850"/>
      <c r="P134" s="844"/>
      <c r="Q134" s="535"/>
      <c r="R134" s="849"/>
      <c r="S134" s="65">
        <f t="shared" si="27"/>
        <v>0</v>
      </c>
      <c r="T134" s="170" t="e">
        <f t="shared" si="28"/>
        <v>#DIV/0!</v>
      </c>
    </row>
    <row r="135" spans="1:20" s="152" customFormat="1" ht="29.25" customHeight="1" x14ac:dyDescent="0.25">
      <c r="A135" s="100">
        <v>91</v>
      </c>
      <c r="B135" s="890"/>
      <c r="C135" s="890"/>
      <c r="D135" s="757"/>
      <c r="E135" s="574"/>
      <c r="F135" s="570"/>
      <c r="G135" s="596"/>
      <c r="H135" s="570"/>
      <c r="I135" s="105">
        <f t="shared" si="29"/>
        <v>0</v>
      </c>
      <c r="J135" s="451"/>
      <c r="K135" s="389"/>
      <c r="L135" s="688"/>
      <c r="M135" s="389"/>
      <c r="N135" s="621"/>
      <c r="O135" s="851"/>
      <c r="P135" s="844"/>
      <c r="Q135" s="535"/>
      <c r="R135" s="849"/>
      <c r="S135" s="65">
        <f t="shared" si="27"/>
        <v>0</v>
      </c>
      <c r="T135" s="170" t="e">
        <f t="shared" si="28"/>
        <v>#DIV/0!</v>
      </c>
    </row>
    <row r="136" spans="1:20" s="152" customFormat="1" ht="29.25" customHeight="1" x14ac:dyDescent="0.25">
      <c r="A136" s="100">
        <v>92</v>
      </c>
      <c r="B136" s="890"/>
      <c r="C136" s="890"/>
      <c r="D136" s="757"/>
      <c r="E136" s="574"/>
      <c r="F136" s="570"/>
      <c r="G136" s="596"/>
      <c r="H136" s="570"/>
      <c r="I136" s="105">
        <f t="shared" si="29"/>
        <v>0</v>
      </c>
      <c r="J136" s="451"/>
      <c r="K136" s="389"/>
      <c r="L136" s="688"/>
      <c r="M136" s="389"/>
      <c r="N136" s="621"/>
      <c r="O136" s="851"/>
      <c r="P136" s="844"/>
      <c r="Q136" s="535"/>
      <c r="R136" s="849"/>
      <c r="S136" s="65">
        <f t="shared" si="27"/>
        <v>0</v>
      </c>
      <c r="T136" s="170" t="e">
        <f t="shared" si="28"/>
        <v>#DIV/0!</v>
      </c>
    </row>
    <row r="137" spans="1:20" s="152" customFormat="1" ht="15.75" x14ac:dyDescent="0.25">
      <c r="A137" s="100">
        <v>93</v>
      </c>
      <c r="B137" s="890"/>
      <c r="C137" s="890"/>
      <c r="D137" s="757"/>
      <c r="E137" s="574"/>
      <c r="F137" s="570"/>
      <c r="G137" s="596"/>
      <c r="H137" s="570"/>
      <c r="I137" s="105">
        <f t="shared" si="29"/>
        <v>0</v>
      </c>
      <c r="J137" s="451"/>
      <c r="K137" s="389"/>
      <c r="L137" s="688"/>
      <c r="M137" s="389"/>
      <c r="N137" s="621"/>
      <c r="O137" s="850"/>
      <c r="P137" s="844"/>
      <c r="Q137" s="535"/>
      <c r="R137" s="849"/>
      <c r="S137" s="65">
        <f t="shared" si="27"/>
        <v>0</v>
      </c>
      <c r="T137" s="170" t="e">
        <f t="shared" si="28"/>
        <v>#DIV/0!</v>
      </c>
    </row>
    <row r="138" spans="1:20" s="152" customFormat="1" ht="29.25" customHeight="1" x14ac:dyDescent="0.25">
      <c r="A138" s="100">
        <v>94</v>
      </c>
      <c r="B138" s="890"/>
      <c r="C138" s="890"/>
      <c r="D138" s="757"/>
      <c r="E138" s="574"/>
      <c r="F138" s="570"/>
      <c r="G138" s="596"/>
      <c r="H138" s="570"/>
      <c r="I138" s="105">
        <f t="shared" si="29"/>
        <v>0</v>
      </c>
      <c r="J138" s="451"/>
      <c r="K138" s="389"/>
      <c r="L138" s="688"/>
      <c r="M138" s="389"/>
      <c r="N138" s="621"/>
      <c r="O138" s="850"/>
      <c r="P138" s="844"/>
      <c r="Q138" s="535"/>
      <c r="R138" s="849"/>
      <c r="S138" s="65">
        <f t="shared" si="27"/>
        <v>0</v>
      </c>
      <c r="T138" s="170" t="e">
        <f t="shared" si="28"/>
        <v>#DIV/0!</v>
      </c>
    </row>
    <row r="139" spans="1:20" s="152" customFormat="1" ht="37.5" customHeight="1" x14ac:dyDescent="0.25">
      <c r="A139" s="100">
        <v>95</v>
      </c>
      <c r="B139" s="890"/>
      <c r="C139" s="890"/>
      <c r="D139" s="757"/>
      <c r="E139" s="574"/>
      <c r="F139" s="570"/>
      <c r="G139" s="596"/>
      <c r="H139" s="570"/>
      <c r="I139" s="105">
        <f t="shared" si="29"/>
        <v>0</v>
      </c>
      <c r="J139" s="451"/>
      <c r="K139" s="389"/>
      <c r="L139" s="688"/>
      <c r="M139" s="389"/>
      <c r="N139" s="621"/>
      <c r="O139" s="851"/>
      <c r="P139" s="844"/>
      <c r="Q139" s="535"/>
      <c r="R139" s="849"/>
      <c r="S139" s="65">
        <f t="shared" si="27"/>
        <v>0</v>
      </c>
      <c r="T139" s="170" t="e">
        <f t="shared" si="28"/>
        <v>#DIV/0!</v>
      </c>
    </row>
    <row r="140" spans="1:20" s="152" customFormat="1" ht="34.5" customHeight="1" x14ac:dyDescent="0.25">
      <c r="A140" s="100">
        <v>96</v>
      </c>
      <c r="B140" s="890"/>
      <c r="C140" s="890"/>
      <c r="D140" s="379"/>
      <c r="E140" s="574"/>
      <c r="F140" s="570"/>
      <c r="G140" s="596"/>
      <c r="H140" s="570"/>
      <c r="I140" s="105">
        <f t="shared" si="29"/>
        <v>0</v>
      </c>
      <c r="J140" s="451"/>
      <c r="K140" s="389"/>
      <c r="L140" s="688"/>
      <c r="M140" s="389"/>
      <c r="N140" s="621"/>
      <c r="O140" s="856"/>
      <c r="P140" s="845"/>
      <c r="Q140" s="535"/>
      <c r="R140" s="849"/>
      <c r="S140" s="65">
        <f t="shared" si="27"/>
        <v>0</v>
      </c>
      <c r="T140" s="170" t="e">
        <f t="shared" si="28"/>
        <v>#DIV/0!</v>
      </c>
    </row>
    <row r="141" spans="1:20" s="152" customFormat="1" ht="21.75" customHeight="1" x14ac:dyDescent="0.25">
      <c r="A141" s="100">
        <v>97</v>
      </c>
      <c r="B141" s="890"/>
      <c r="C141" s="890"/>
      <c r="D141" s="757"/>
      <c r="E141" s="574"/>
      <c r="F141" s="570"/>
      <c r="G141" s="596"/>
      <c r="H141" s="570"/>
      <c r="I141" s="105">
        <f t="shared" si="29"/>
        <v>0</v>
      </c>
      <c r="J141" s="451"/>
      <c r="K141" s="389"/>
      <c r="L141" s="688"/>
      <c r="M141" s="389"/>
      <c r="N141" s="621"/>
      <c r="O141" s="851"/>
      <c r="P141" s="844"/>
      <c r="Q141" s="535"/>
      <c r="R141" s="849"/>
      <c r="S141" s="65">
        <f t="shared" si="27"/>
        <v>0</v>
      </c>
      <c r="T141" s="170" t="e">
        <f t="shared" si="28"/>
        <v>#DIV/0!</v>
      </c>
    </row>
    <row r="142" spans="1:20" s="152" customFormat="1" ht="24" customHeight="1" x14ac:dyDescent="0.25">
      <c r="A142" s="100">
        <v>98</v>
      </c>
      <c r="B142" s="890"/>
      <c r="C142" s="890"/>
      <c r="D142" s="757"/>
      <c r="E142" s="574"/>
      <c r="F142" s="570"/>
      <c r="G142" s="596"/>
      <c r="H142" s="570"/>
      <c r="I142" s="105">
        <f t="shared" si="29"/>
        <v>0</v>
      </c>
      <c r="J142" s="453"/>
      <c r="K142" s="389"/>
      <c r="L142" s="688"/>
      <c r="M142" s="389"/>
      <c r="N142" s="625"/>
      <c r="O142" s="851"/>
      <c r="P142" s="845"/>
      <c r="Q142" s="535"/>
      <c r="R142" s="849"/>
      <c r="S142" s="65">
        <f t="shared" si="27"/>
        <v>0</v>
      </c>
      <c r="T142" s="170" t="e">
        <f t="shared" si="28"/>
        <v>#DIV/0!</v>
      </c>
    </row>
    <row r="143" spans="1:20" s="152" customFormat="1" ht="22.5" x14ac:dyDescent="0.3">
      <c r="A143" s="100">
        <v>99</v>
      </c>
      <c r="B143" s="890"/>
      <c r="C143" s="890"/>
      <c r="D143" s="379"/>
      <c r="E143" s="838"/>
      <c r="F143" s="570"/>
      <c r="G143" s="596"/>
      <c r="H143" s="570"/>
      <c r="I143" s="105">
        <f t="shared" si="29"/>
        <v>0</v>
      </c>
      <c r="J143" s="597"/>
      <c r="K143" s="389"/>
      <c r="L143" s="688"/>
      <c r="M143" s="389"/>
      <c r="N143" s="625"/>
      <c r="O143" s="846"/>
      <c r="P143" s="845"/>
      <c r="Q143" s="535"/>
      <c r="R143" s="849"/>
      <c r="S143" s="65">
        <f t="shared" si="27"/>
        <v>0</v>
      </c>
      <c r="T143" s="170" t="e">
        <f t="shared" si="28"/>
        <v>#DIV/0!</v>
      </c>
    </row>
    <row r="144" spans="1:20" s="152" customFormat="1" ht="22.5" x14ac:dyDescent="0.3">
      <c r="A144" s="100">
        <v>100</v>
      </c>
      <c r="B144" s="890"/>
      <c r="C144" s="890"/>
      <c r="D144" s="379"/>
      <c r="E144" s="838"/>
      <c r="F144" s="570"/>
      <c r="G144" s="596"/>
      <c r="H144" s="570"/>
      <c r="I144" s="105">
        <f t="shared" si="29"/>
        <v>0</v>
      </c>
      <c r="J144" s="597"/>
      <c r="K144" s="389"/>
      <c r="L144" s="688"/>
      <c r="M144" s="389"/>
      <c r="N144" s="625"/>
      <c r="O144" s="846"/>
      <c r="P144" s="845"/>
      <c r="Q144" s="535"/>
      <c r="R144" s="849"/>
      <c r="S144" s="65">
        <f t="shared" si="27"/>
        <v>0</v>
      </c>
      <c r="T144" s="170" t="e">
        <f t="shared" si="28"/>
        <v>#DIV/0!</v>
      </c>
    </row>
    <row r="145" spans="1:20" s="152" customFormat="1" ht="22.5" x14ac:dyDescent="0.3">
      <c r="A145" s="100">
        <v>101</v>
      </c>
      <c r="B145" s="890"/>
      <c r="C145" s="890"/>
      <c r="D145" s="379"/>
      <c r="E145" s="838"/>
      <c r="F145" s="570"/>
      <c r="G145" s="596"/>
      <c r="H145" s="570"/>
      <c r="I145" s="105">
        <f t="shared" si="29"/>
        <v>0</v>
      </c>
      <c r="J145" s="597"/>
      <c r="K145" s="389"/>
      <c r="L145" s="688"/>
      <c r="M145" s="389"/>
      <c r="N145" s="625"/>
      <c r="O145" s="846"/>
      <c r="P145" s="845"/>
      <c r="Q145" s="535"/>
      <c r="R145" s="849"/>
      <c r="S145" s="65">
        <f t="shared" si="27"/>
        <v>0</v>
      </c>
      <c r="T145" s="170" t="e">
        <f t="shared" si="28"/>
        <v>#DIV/0!</v>
      </c>
    </row>
    <row r="146" spans="1:20" s="152" customFormat="1" ht="22.5" x14ac:dyDescent="0.3">
      <c r="A146" s="100">
        <v>102</v>
      </c>
      <c r="B146" s="890"/>
      <c r="C146" s="890"/>
      <c r="D146" s="379"/>
      <c r="E146" s="838"/>
      <c r="F146" s="570"/>
      <c r="G146" s="596"/>
      <c r="H146" s="570"/>
      <c r="I146" s="105">
        <f t="shared" si="29"/>
        <v>0</v>
      </c>
      <c r="J146" s="597"/>
      <c r="K146" s="389"/>
      <c r="L146" s="688"/>
      <c r="M146" s="389"/>
      <c r="N146" s="625"/>
      <c r="O146" s="846"/>
      <c r="P146" s="845"/>
      <c r="Q146" s="535"/>
      <c r="R146" s="849"/>
      <c r="S146" s="65">
        <f t="shared" si="27"/>
        <v>0</v>
      </c>
      <c r="T146" s="170" t="e">
        <f t="shared" si="28"/>
        <v>#DIV/0!</v>
      </c>
    </row>
    <row r="147" spans="1:20" s="152" customFormat="1" ht="15.75" x14ac:dyDescent="0.25">
      <c r="A147" s="100">
        <v>103</v>
      </c>
      <c r="B147" s="890"/>
      <c r="C147" s="890"/>
      <c r="D147" s="757"/>
      <c r="E147" s="574"/>
      <c r="F147" s="570"/>
      <c r="G147" s="596"/>
      <c r="H147" s="570"/>
      <c r="I147" s="105">
        <f t="shared" ref="I147" si="30">H147-F147</f>
        <v>0</v>
      </c>
      <c r="J147" s="451"/>
      <c r="K147" s="389"/>
      <c r="L147" s="688"/>
      <c r="M147" s="389"/>
      <c r="N147" s="621"/>
      <c r="O147" s="851"/>
      <c r="P147" s="844"/>
      <c r="Q147" s="535"/>
      <c r="R147" s="849"/>
      <c r="S147" s="65">
        <f t="shared" si="27"/>
        <v>0</v>
      </c>
      <c r="T147" s="170" t="e">
        <f t="shared" si="28"/>
        <v>#DIV/0!</v>
      </c>
    </row>
    <row r="148" spans="1:20" s="152" customFormat="1" ht="29.25" customHeight="1" x14ac:dyDescent="0.25">
      <c r="A148" s="100">
        <v>104</v>
      </c>
      <c r="B148" s="893"/>
      <c r="C148" s="890"/>
      <c r="D148" s="379"/>
      <c r="E148" s="574"/>
      <c r="F148" s="570"/>
      <c r="G148" s="596"/>
      <c r="H148" s="570"/>
      <c r="I148" s="417">
        <f t="shared" si="29"/>
        <v>0</v>
      </c>
      <c r="J148" s="453"/>
      <c r="K148" s="389"/>
      <c r="L148" s="688"/>
      <c r="M148" s="389"/>
      <c r="N148" s="625"/>
      <c r="O148" s="850"/>
      <c r="P148" s="845"/>
      <c r="Q148" s="535"/>
      <c r="R148" s="852"/>
      <c r="S148" s="65">
        <f t="shared" si="27"/>
        <v>0</v>
      </c>
      <c r="T148" s="170" t="e">
        <f t="shared" si="28"/>
        <v>#DIV/0!</v>
      </c>
    </row>
    <row r="149" spans="1:20" s="152" customFormat="1" ht="25.5" customHeight="1" x14ac:dyDescent="0.25">
      <c r="A149" s="100">
        <v>105</v>
      </c>
      <c r="B149" s="890"/>
      <c r="C149" s="890"/>
      <c r="D149" s="379"/>
      <c r="E149" s="574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851"/>
      <c r="P149" s="845"/>
      <c r="Q149" s="535"/>
      <c r="R149" s="852"/>
      <c r="S149" s="65">
        <f t="shared" si="27"/>
        <v>0</v>
      </c>
      <c r="T149" s="170" t="e">
        <f t="shared" si="28"/>
        <v>#DIV/0!</v>
      </c>
    </row>
    <row r="150" spans="1:20" s="152" customFormat="1" ht="26.25" customHeight="1" x14ac:dyDescent="0.25">
      <c r="A150" s="100"/>
      <c r="B150" s="890"/>
      <c r="C150" s="890"/>
      <c r="D150" s="379"/>
      <c r="E150" s="574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851"/>
      <c r="P150" s="845"/>
      <c r="Q150" s="535"/>
      <c r="R150" s="852"/>
      <c r="S150" s="65">
        <f t="shared" si="27"/>
        <v>0</v>
      </c>
      <c r="T150" s="170" t="e">
        <f t="shared" si="28"/>
        <v>#DIV/0!</v>
      </c>
    </row>
    <row r="151" spans="1:20" s="152" customFormat="1" ht="18.75" customHeight="1" x14ac:dyDescent="0.25">
      <c r="A151" s="100"/>
      <c r="B151" s="890"/>
      <c r="C151" s="890"/>
      <c r="D151" s="379"/>
      <c r="E151" s="574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25"/>
      <c r="O151" s="613"/>
      <c r="P151" s="390"/>
      <c r="Q151" s="538"/>
      <c r="R151" s="614"/>
      <c r="S151" s="65">
        <f t="shared" si="27"/>
        <v>0</v>
      </c>
      <c r="T151" s="170" t="e">
        <f t="shared" si="28"/>
        <v>#DIV/0!</v>
      </c>
    </row>
    <row r="152" spans="1:20" s="152" customFormat="1" ht="24.75" customHeight="1" x14ac:dyDescent="0.25">
      <c r="A152" s="100"/>
      <c r="B152" s="890"/>
      <c r="C152" s="890"/>
      <c r="D152" s="379"/>
      <c r="E152" s="574"/>
      <c r="F152" s="570"/>
      <c r="G152" s="596"/>
      <c r="H152" s="570"/>
      <c r="I152" s="105">
        <f t="shared" si="29"/>
        <v>0</v>
      </c>
      <c r="J152" s="453"/>
      <c r="K152" s="389"/>
      <c r="L152" s="688"/>
      <c r="M152" s="389"/>
      <c r="N152" s="625"/>
      <c r="O152" s="613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27" customHeight="1" x14ac:dyDescent="0.25">
      <c r="A153" s="100"/>
      <c r="B153" s="890"/>
      <c r="C153" s="890"/>
      <c r="D153" s="379"/>
      <c r="E153" s="574"/>
      <c r="F153" s="570"/>
      <c r="G153" s="596"/>
      <c r="H153" s="570"/>
      <c r="I153" s="105">
        <f t="shared" si="29"/>
        <v>0</v>
      </c>
      <c r="J153" s="453"/>
      <c r="K153" s="389"/>
      <c r="L153" s="688"/>
      <c r="M153" s="389"/>
      <c r="N153" s="625"/>
      <c r="O153" s="613"/>
      <c r="P153" s="576"/>
      <c r="Q153" s="538"/>
      <c r="R153" s="388"/>
      <c r="S153" s="65">
        <f t="shared" si="27"/>
        <v>0</v>
      </c>
      <c r="T153" s="170" t="e">
        <f t="shared" si="28"/>
        <v>#DIV/0!</v>
      </c>
    </row>
    <row r="154" spans="1:20" s="152" customFormat="1" ht="27" customHeight="1" x14ac:dyDescent="0.25">
      <c r="A154" s="100"/>
      <c r="B154" s="894"/>
      <c r="C154" s="890"/>
      <c r="D154" s="379"/>
      <c r="E154" s="574"/>
      <c r="F154" s="570"/>
      <c r="G154" s="596"/>
      <c r="H154" s="570"/>
      <c r="I154" s="105">
        <f t="shared" si="29"/>
        <v>0</v>
      </c>
      <c r="J154" s="453"/>
      <c r="K154" s="389"/>
      <c r="L154" s="688"/>
      <c r="M154" s="389"/>
      <c r="N154" s="625"/>
      <c r="O154" s="615"/>
      <c r="P154" s="576"/>
      <c r="Q154" s="538"/>
      <c r="R154" s="662"/>
      <c r="S154" s="65">
        <f t="shared" si="27"/>
        <v>0</v>
      </c>
      <c r="T154" s="170" t="e">
        <f t="shared" si="28"/>
        <v>#DIV/0!</v>
      </c>
    </row>
    <row r="155" spans="1:20" s="152" customFormat="1" ht="29.25" customHeight="1" x14ac:dyDescent="0.25">
      <c r="A155" s="100"/>
      <c r="B155" s="618"/>
      <c r="C155" s="598"/>
      <c r="D155" s="379"/>
      <c r="E155" s="572"/>
      <c r="F155" s="570"/>
      <c r="G155" s="596"/>
      <c r="H155" s="570"/>
      <c r="I155" s="105">
        <f t="shared" si="29"/>
        <v>0</v>
      </c>
      <c r="J155" s="453"/>
      <c r="K155" s="389"/>
      <c r="L155" s="688"/>
      <c r="M155" s="389"/>
      <c r="N155" s="625"/>
      <c r="O155" s="663"/>
      <c r="P155" s="576"/>
      <c r="Q155" s="538"/>
      <c r="R155" s="388"/>
      <c r="S155" s="65">
        <f t="shared" si="27"/>
        <v>0</v>
      </c>
      <c r="T155" s="170" t="e">
        <f t="shared" si="28"/>
        <v>#DIV/0!</v>
      </c>
    </row>
    <row r="156" spans="1:20" s="152" customFormat="1" ht="24.7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453"/>
      <c r="K156" s="389"/>
      <c r="L156" s="688"/>
      <c r="M156" s="389"/>
      <c r="N156" s="625"/>
      <c r="O156" s="615"/>
      <c r="P156" s="390"/>
      <c r="Q156" s="538"/>
      <c r="R156" s="388"/>
      <c r="S156" s="65">
        <f t="shared" si="27"/>
        <v>0</v>
      </c>
      <c r="T156" s="170" t="e">
        <f t="shared" si="28"/>
        <v>#DIV/0!</v>
      </c>
    </row>
    <row r="157" spans="1:20" s="152" customFormat="1" ht="18.75" x14ac:dyDescent="0.25">
      <c r="A157" s="100"/>
      <c r="B157" s="379"/>
      <c r="C157" s="379"/>
      <c r="D157" s="379"/>
      <c r="E157" s="572"/>
      <c r="F157" s="570"/>
      <c r="G157" s="596"/>
      <c r="H157" s="570"/>
      <c r="I157" s="105">
        <f t="shared" si="29"/>
        <v>0</v>
      </c>
      <c r="J157" s="453"/>
      <c r="K157" s="389"/>
      <c r="L157" s="688"/>
      <c r="M157" s="389"/>
      <c r="N157" s="625"/>
      <c r="O157" s="575"/>
      <c r="P157" s="390"/>
      <c r="Q157" s="538"/>
      <c r="R157" s="388"/>
      <c r="S157" s="65">
        <f t="shared" si="27"/>
        <v>0</v>
      </c>
      <c r="T157" s="170" t="e">
        <f t="shared" si="28"/>
        <v>#DIV/0!</v>
      </c>
    </row>
    <row r="158" spans="1:20" s="152" customFormat="1" ht="30.75" customHeight="1" x14ac:dyDescent="0.25">
      <c r="A158" s="100"/>
      <c r="B158" s="645"/>
      <c r="C158" s="379"/>
      <c r="D158" s="379"/>
      <c r="E158" s="572"/>
      <c r="F158" s="570"/>
      <c r="G158" s="596"/>
      <c r="H158" s="570"/>
      <c r="I158" s="105">
        <f t="shared" si="29"/>
        <v>0</v>
      </c>
      <c r="J158" s="453"/>
      <c r="K158" s="389"/>
      <c r="L158" s="688"/>
      <c r="M158" s="389"/>
      <c r="N158" s="659"/>
      <c r="O158" s="575"/>
      <c r="P158" s="390"/>
      <c r="Q158" s="538"/>
      <c r="R158" s="388"/>
      <c r="S158" s="65">
        <f t="shared" si="27"/>
        <v>0</v>
      </c>
      <c r="T158" s="170" t="e">
        <f t="shared" si="28"/>
        <v>#DIV/0!</v>
      </c>
    </row>
    <row r="159" spans="1:20" s="152" customFormat="1" ht="18.75" x14ac:dyDescent="0.25">
      <c r="A159" s="100"/>
      <c r="B159" s="596"/>
      <c r="C159" s="379"/>
      <c r="D159" s="379"/>
      <c r="E159" s="572"/>
      <c r="F159" s="570"/>
      <c r="G159" s="596"/>
      <c r="H159" s="570"/>
      <c r="I159" s="105">
        <f t="shared" si="29"/>
        <v>0</v>
      </c>
      <c r="J159" s="457"/>
      <c r="K159" s="389"/>
      <c r="L159" s="688"/>
      <c r="M159" s="389"/>
      <c r="N159" s="660"/>
      <c r="O159" s="575"/>
      <c r="P159" s="390"/>
      <c r="Q159" s="538"/>
      <c r="R159" s="646"/>
      <c r="S159" s="65">
        <f t="shared" si="27"/>
        <v>0</v>
      </c>
      <c r="T159" s="170" t="e">
        <f t="shared" si="28"/>
        <v>#DIV/0!</v>
      </c>
    </row>
    <row r="160" spans="1:20" s="152" customFormat="1" ht="18.75" x14ac:dyDescent="0.25">
      <c r="A160" s="100"/>
      <c r="B160" s="379"/>
      <c r="C160" s="379"/>
      <c r="D160" s="379"/>
      <c r="E160" s="572"/>
      <c r="F160" s="570"/>
      <c r="G160" s="596"/>
      <c r="H160" s="570"/>
      <c r="I160" s="105">
        <f t="shared" si="29"/>
        <v>0</v>
      </c>
      <c r="J160" s="457"/>
      <c r="K160" s="389"/>
      <c r="L160" s="688"/>
      <c r="M160" s="389"/>
      <c r="N160" s="661"/>
      <c r="O160" s="575"/>
      <c r="P160" s="576"/>
      <c r="Q160" s="538"/>
      <c r="R160" s="646"/>
      <c r="S160" s="65">
        <f t="shared" si="27"/>
        <v>0</v>
      </c>
      <c r="T160" s="170" t="e">
        <f t="shared" si="28"/>
        <v>#DIV/0!</v>
      </c>
    </row>
    <row r="161" spans="1:20" s="152" customFormat="1" ht="27.75" customHeight="1" x14ac:dyDescent="0.25">
      <c r="A161" s="100"/>
      <c r="B161" s="379"/>
      <c r="C161" s="379"/>
      <c r="D161" s="379"/>
      <c r="E161" s="572"/>
      <c r="F161" s="570"/>
      <c r="G161" s="596"/>
      <c r="H161" s="570"/>
      <c r="I161" s="105">
        <f t="shared" si="29"/>
        <v>0</v>
      </c>
      <c r="J161" s="276"/>
      <c r="K161" s="389"/>
      <c r="L161" s="688"/>
      <c r="M161" s="389"/>
      <c r="N161" s="622"/>
      <c r="O161" s="575"/>
      <c r="P161" s="390"/>
      <c r="Q161" s="538"/>
      <c r="R161" s="646"/>
      <c r="S161" s="65">
        <f t="shared" si="27"/>
        <v>0</v>
      </c>
      <c r="T161" s="170" t="e">
        <f t="shared" si="28"/>
        <v>#DIV/0!</v>
      </c>
    </row>
    <row r="162" spans="1:20" s="152" customFormat="1" ht="32.25" customHeight="1" x14ac:dyDescent="0.25">
      <c r="A162" s="100"/>
      <c r="B162" s="379"/>
      <c r="C162" s="379"/>
      <c r="D162" s="379"/>
      <c r="E162" s="572"/>
      <c r="F162" s="570"/>
      <c r="G162" s="596"/>
      <c r="H162" s="570"/>
      <c r="I162" s="105">
        <f t="shared" si="29"/>
        <v>0</v>
      </c>
      <c r="J162" s="276"/>
      <c r="K162" s="389"/>
      <c r="L162" s="688"/>
      <c r="M162" s="389"/>
      <c r="N162" s="622"/>
      <c r="O162" s="575"/>
      <c r="P162" s="390"/>
      <c r="Q162" s="538"/>
      <c r="R162" s="646"/>
      <c r="S162" s="65">
        <f t="shared" si="27"/>
        <v>0</v>
      </c>
      <c r="T162" s="170" t="e">
        <f t="shared" si="28"/>
        <v>#DIV/0!</v>
      </c>
    </row>
    <row r="163" spans="1:20" s="152" customFormat="1" ht="19.5" customHeight="1" x14ac:dyDescent="0.25">
      <c r="A163" s="100"/>
      <c r="B163" s="379"/>
      <c r="C163" s="379"/>
      <c r="D163" s="379"/>
      <c r="E163" s="572"/>
      <c r="F163" s="570"/>
      <c r="G163" s="596"/>
      <c r="H163" s="570"/>
      <c r="I163" s="105">
        <f t="shared" si="29"/>
        <v>0</v>
      </c>
      <c r="J163" s="276"/>
      <c r="K163" s="389"/>
      <c r="L163" s="688"/>
      <c r="M163" s="389"/>
      <c r="N163" s="622"/>
      <c r="O163" s="575"/>
      <c r="P163" s="390"/>
      <c r="Q163" s="538"/>
      <c r="R163" s="646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416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80"/>
      <c r="O164" s="398"/>
      <c r="P164" s="223"/>
      <c r="Q164" s="539"/>
      <c r="R164" s="700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80"/>
      <c r="O165" s="398"/>
      <c r="P165" s="223"/>
      <c r="Q165" s="539"/>
      <c r="R165" s="700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80"/>
      <c r="O166" s="398"/>
      <c r="P166" s="223"/>
      <c r="Q166" s="539"/>
      <c r="R166" s="700"/>
      <c r="S166" s="65">
        <f t="shared" si="27"/>
        <v>0</v>
      </c>
      <c r="T166" s="170" t="e">
        <f t="shared" si="28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90"/>
      <c r="M167" s="224"/>
      <c r="N167" s="380"/>
      <c r="O167" s="398"/>
      <c r="P167" s="223"/>
      <c r="Q167" s="539"/>
      <c r="R167" s="700"/>
      <c r="S167" s="65">
        <f t="shared" si="27"/>
        <v>0</v>
      </c>
      <c r="T167" s="170" t="e">
        <f t="shared" si="28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75"/>
      <c r="I168" s="105">
        <f t="shared" si="29"/>
        <v>0</v>
      </c>
      <c r="J168" s="178"/>
      <c r="K168" s="225"/>
      <c r="L168" s="690"/>
      <c r="M168" s="224"/>
      <c r="N168" s="380"/>
      <c r="O168" s="398"/>
      <c r="P168" s="223"/>
      <c r="Q168" s="539"/>
      <c r="R168" s="700"/>
      <c r="S168" s="65">
        <f t="shared" si="27"/>
        <v>0</v>
      </c>
      <c r="T168" s="170" t="e">
        <f t="shared" si="28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75"/>
      <c r="I169" s="105">
        <f t="shared" si="29"/>
        <v>0</v>
      </c>
      <c r="J169" s="178"/>
      <c r="K169" s="225"/>
      <c r="L169" s="690"/>
      <c r="M169" s="224"/>
      <c r="N169" s="380"/>
      <c r="O169" s="398"/>
      <c r="P169" s="223"/>
      <c r="Q169" s="539"/>
      <c r="R169" s="700"/>
      <c r="S169" s="65">
        <f t="shared" si="27"/>
        <v>0</v>
      </c>
      <c r="T169" s="170" t="e">
        <f t="shared" si="28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75"/>
      <c r="I170" s="105">
        <f t="shared" si="29"/>
        <v>0</v>
      </c>
      <c r="J170" s="178"/>
      <c r="K170" s="225"/>
      <c r="L170" s="690"/>
      <c r="M170" s="224"/>
      <c r="N170" s="380"/>
      <c r="O170" s="398"/>
      <c r="P170" s="223"/>
      <c r="Q170" s="539"/>
      <c r="R170" s="700"/>
      <c r="S170" s="65">
        <f t="shared" si="27"/>
        <v>0</v>
      </c>
      <c r="T170" s="170" t="e">
        <f t="shared" si="28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75"/>
      <c r="I171" s="105">
        <f t="shared" si="29"/>
        <v>0</v>
      </c>
      <c r="J171" s="178"/>
      <c r="K171" s="225"/>
      <c r="L171" s="690"/>
      <c r="M171" s="224"/>
      <c r="N171" s="347"/>
      <c r="O171" s="398"/>
      <c r="P171" s="223"/>
      <c r="Q171" s="540"/>
      <c r="R171" s="701"/>
      <c r="S171" s="65">
        <f t="shared" si="27"/>
        <v>0</v>
      </c>
      <c r="T171" s="170" t="e">
        <f t="shared" si="28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75"/>
      <c r="I172" s="105">
        <f t="shared" si="29"/>
        <v>0</v>
      </c>
      <c r="J172" s="178"/>
      <c r="K172" s="225"/>
      <c r="L172" s="690"/>
      <c r="M172" s="224"/>
      <c r="N172" s="347"/>
      <c r="O172" s="398"/>
      <c r="P172" s="223"/>
      <c r="Q172" s="540"/>
      <c r="R172" s="701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75"/>
      <c r="I173" s="105">
        <f t="shared" si="29"/>
        <v>0</v>
      </c>
      <c r="J173" s="178"/>
      <c r="K173" s="225"/>
      <c r="L173" s="690"/>
      <c r="M173" s="224"/>
      <c r="N173" s="347"/>
      <c r="O173" s="398"/>
      <c r="P173" s="223"/>
      <c r="Q173" s="540"/>
      <c r="R173" s="701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541"/>
      <c r="R174" s="702"/>
      <c r="S174" s="65">
        <f t="shared" ref="S174:S179" si="31">Q174+M174+K174</f>
        <v>0</v>
      </c>
      <c r="T174" s="65" t="e">
        <f t="shared" ref="T174:T182" si="32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542"/>
      <c r="R175" s="703"/>
      <c r="S175" s="65">
        <f t="shared" si="31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542"/>
      <c r="R176" s="703"/>
      <c r="S176" s="65">
        <f t="shared" si="31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542"/>
      <c r="R177" s="704"/>
      <c r="S177" s="65">
        <f t="shared" si="31"/>
        <v>0</v>
      </c>
      <c r="T177" s="65" t="e">
        <f t="shared" si="32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2"/>
      <c r="R178" s="704"/>
      <c r="S178" s="65">
        <f t="shared" si="31"/>
        <v>0</v>
      </c>
      <c r="T178" s="65" t="e">
        <f t="shared" si="32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90"/>
      <c r="M179" s="71"/>
      <c r="N179" s="347"/>
      <c r="O179" s="127"/>
      <c r="P179" s="116"/>
      <c r="Q179" s="402"/>
      <c r="R179" s="705"/>
      <c r="S179" s="65">
        <f t="shared" si="31"/>
        <v>0</v>
      </c>
      <c r="T179" s="65" t="e">
        <f t="shared" si="32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56"/>
      <c r="G180" s="100"/>
      <c r="H180" s="375"/>
      <c r="I180" s="105">
        <f t="shared" si="29"/>
        <v>0</v>
      </c>
      <c r="J180" s="178"/>
      <c r="K180" s="108"/>
      <c r="L180" s="690"/>
      <c r="M180" s="71"/>
      <c r="N180" s="347"/>
      <c r="O180" s="127"/>
      <c r="P180" s="116"/>
      <c r="Q180" s="402"/>
      <c r="R180" s="705"/>
      <c r="S180" s="65">
        <f t="shared" ref="S180:S185" si="33">Q180+M180+K180</f>
        <v>0</v>
      </c>
      <c r="T180" s="65" t="e">
        <f t="shared" si="32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56"/>
      <c r="G181" s="100"/>
      <c r="H181" s="375"/>
      <c r="I181" s="105">
        <f t="shared" si="29"/>
        <v>0</v>
      </c>
      <c r="J181" s="178"/>
      <c r="K181" s="108"/>
      <c r="L181" s="690"/>
      <c r="M181" s="71"/>
      <c r="N181" s="347"/>
      <c r="O181" s="127"/>
      <c r="P181" s="116"/>
      <c r="Q181" s="402"/>
      <c r="R181" s="705"/>
      <c r="S181" s="65">
        <f t="shared" si="33"/>
        <v>0</v>
      </c>
      <c r="T181" s="65" t="e">
        <f t="shared" si="32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56"/>
      <c r="G182" s="100"/>
      <c r="H182" s="375"/>
      <c r="I182" s="105">
        <f t="shared" si="29"/>
        <v>0</v>
      </c>
      <c r="J182" s="178"/>
      <c r="K182" s="108"/>
      <c r="L182" s="690"/>
      <c r="M182" s="71"/>
      <c r="N182" s="347"/>
      <c r="O182" s="127"/>
      <c r="P182" s="116"/>
      <c r="Q182" s="402"/>
      <c r="R182" s="705"/>
      <c r="S182" s="65">
        <f t="shared" si="33"/>
        <v>0</v>
      </c>
      <c r="T182" s="65" t="e">
        <f t="shared" si="32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56"/>
      <c r="G183" s="100"/>
      <c r="H183" s="375"/>
      <c r="I183" s="105">
        <f t="shared" si="29"/>
        <v>0</v>
      </c>
      <c r="J183" s="178"/>
      <c r="K183" s="108"/>
      <c r="L183" s="690"/>
      <c r="M183" s="71"/>
      <c r="N183" s="347"/>
      <c r="O183" s="127"/>
      <c r="P183" s="116"/>
      <c r="Q183" s="402"/>
      <c r="R183" s="705"/>
      <c r="S183" s="65">
        <f t="shared" si="33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56"/>
      <c r="G184" s="100"/>
      <c r="H184" s="375"/>
      <c r="I184" s="105">
        <f t="shared" si="29"/>
        <v>0</v>
      </c>
      <c r="J184" s="178"/>
      <c r="K184" s="108"/>
      <c r="L184" s="690"/>
      <c r="M184" s="71"/>
      <c r="N184" s="347"/>
      <c r="O184" s="127"/>
      <c r="P184" s="116"/>
      <c r="Q184" s="543"/>
      <c r="R184" s="702"/>
      <c r="S184" s="65">
        <f t="shared" si="33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56"/>
      <c r="G185" s="100"/>
      <c r="H185" s="375"/>
      <c r="I185" s="105">
        <f t="shared" si="29"/>
        <v>0</v>
      </c>
      <c r="J185" s="178"/>
      <c r="K185" s="108"/>
      <c r="L185" s="690"/>
      <c r="M185" s="71"/>
      <c r="N185" s="347"/>
      <c r="O185" s="127"/>
      <c r="P185" s="116"/>
      <c r="Q185" s="543"/>
      <c r="R185" s="706"/>
      <c r="S185" s="65">
        <f t="shared" si="33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63"/>
      <c r="F186" s="456"/>
      <c r="G186" s="100"/>
      <c r="H186" s="375"/>
      <c r="I186" s="105">
        <f t="shared" si="29"/>
        <v>0</v>
      </c>
      <c r="J186" s="129"/>
      <c r="K186" s="162"/>
      <c r="L186" s="691"/>
      <c r="M186" s="71"/>
      <c r="N186" s="348"/>
      <c r="O186" s="127"/>
      <c r="P186" s="95"/>
      <c r="Q186" s="402"/>
      <c r="R186" s="707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60" t="s">
        <v>31</v>
      </c>
      <c r="G187" s="72">
        <f>SUM(G5:G186)</f>
        <v>2532</v>
      </c>
      <c r="H187" s="376">
        <f>SUM(H3:H186)</f>
        <v>729143.37000000011</v>
      </c>
      <c r="I187" s="478">
        <f>PIERNA!I37</f>
        <v>0</v>
      </c>
      <c r="J187" s="46"/>
      <c r="K187" s="164">
        <f>SUM(K5:K186)</f>
        <v>282765</v>
      </c>
      <c r="L187" s="692"/>
      <c r="M187" s="164">
        <f>SUM(M5:M186)</f>
        <v>801560</v>
      </c>
      <c r="N187" s="349"/>
      <c r="O187" s="399"/>
      <c r="P187" s="117"/>
      <c r="Q187" s="544">
        <f>SUM(Q5:Q186)</f>
        <v>28347713.050875995</v>
      </c>
      <c r="R187" s="708"/>
      <c r="S187" s="167">
        <f>Q187+M187+K187</f>
        <v>29432038.050875995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93"/>
      <c r="N188" s="172"/>
      <c r="O188" s="161"/>
      <c r="P188" s="95"/>
      <c r="Q188" s="402"/>
      <c r="R188" s="490" t="s">
        <v>42</v>
      </c>
    </row>
  </sheetData>
  <sortState ref="B98:O105">
    <sortCondition ref="E98:E105"/>
  </sortState>
  <mergeCells count="19">
    <mergeCell ref="B110:B112"/>
    <mergeCell ref="E110:E112"/>
    <mergeCell ref="O110:O112"/>
    <mergeCell ref="R100:R101"/>
    <mergeCell ref="Q1:Q2"/>
    <mergeCell ref="K1:K2"/>
    <mergeCell ref="M1:M2"/>
    <mergeCell ref="B100:B101"/>
    <mergeCell ref="O100:O101"/>
    <mergeCell ref="R110:R112"/>
    <mergeCell ref="P110:P112"/>
    <mergeCell ref="R121:R123"/>
    <mergeCell ref="R115:R117"/>
    <mergeCell ref="B115:B117"/>
    <mergeCell ref="E115:E117"/>
    <mergeCell ref="O115:O117"/>
    <mergeCell ref="B121:B123"/>
    <mergeCell ref="E121:E123"/>
    <mergeCell ref="O121:O12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84"/>
      <c r="B5" s="1085" t="s">
        <v>78</v>
      </c>
      <c r="C5" s="231"/>
      <c r="D5" s="134"/>
      <c r="E5" s="78"/>
      <c r="F5" s="62"/>
      <c r="G5" s="5"/>
    </row>
    <row r="6" spans="1:9" x14ac:dyDescent="0.25">
      <c r="A6" s="1084"/>
      <c r="B6" s="1085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1084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74" t="s">
        <v>158</v>
      </c>
      <c r="B1" s="1074"/>
      <c r="C1" s="1074"/>
      <c r="D1" s="1074"/>
      <c r="E1" s="1074"/>
      <c r="F1" s="1074"/>
      <c r="G1" s="1074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84"/>
      <c r="B5" s="1086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84"/>
      <c r="B6" s="1086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3"/>
      <c r="F10" s="771">
        <f t="shared" ref="F10:F33" si="0">D10</f>
        <v>0</v>
      </c>
      <c r="G10" s="769"/>
      <c r="H10" s="770"/>
      <c r="I10" s="804">
        <f>E4+E5+E6+E7-F10+E8</f>
        <v>0</v>
      </c>
      <c r="J10" s="805"/>
    </row>
    <row r="11" spans="1:10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  <c r="J11" s="805"/>
    </row>
    <row r="12" spans="1:10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  <c r="J12" s="805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  <c r="J13" s="805"/>
    </row>
    <row r="14" spans="1:10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  <c r="J14" s="805"/>
    </row>
    <row r="15" spans="1:10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  <c r="J15" s="805"/>
    </row>
    <row r="16" spans="1:10" x14ac:dyDescent="0.25">
      <c r="B16" s="236">
        <f t="shared" si="1"/>
        <v>0</v>
      </c>
      <c r="C16" s="15"/>
      <c r="D16" s="69"/>
      <c r="E16" s="803"/>
      <c r="F16" s="771">
        <f t="shared" si="0"/>
        <v>0</v>
      </c>
      <c r="G16" s="769"/>
      <c r="H16" s="770"/>
      <c r="I16" s="804">
        <f t="shared" si="2"/>
        <v>0</v>
      </c>
      <c r="J16" s="805"/>
    </row>
    <row r="17" spans="1:10" x14ac:dyDescent="0.25">
      <c r="B17" s="236">
        <f t="shared" si="1"/>
        <v>0</v>
      </c>
      <c r="C17" s="15"/>
      <c r="D17" s="69"/>
      <c r="E17" s="803"/>
      <c r="F17" s="771">
        <f t="shared" si="0"/>
        <v>0</v>
      </c>
      <c r="G17" s="769"/>
      <c r="H17" s="770"/>
      <c r="I17" s="804">
        <f t="shared" si="2"/>
        <v>0</v>
      </c>
      <c r="J17" s="805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4" sqref="G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1074" t="s">
        <v>319</v>
      </c>
      <c r="B1" s="1074"/>
      <c r="C1" s="1074"/>
      <c r="D1" s="1074"/>
      <c r="E1" s="1074"/>
      <c r="F1" s="1074"/>
      <c r="G1" s="1074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1087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1078" t="s">
        <v>52</v>
      </c>
      <c r="B5" s="1088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78"/>
      <c r="B6" s="1088"/>
      <c r="C6" s="479"/>
      <c r="D6" s="230"/>
      <c r="E6" s="78"/>
      <c r="F6" s="62"/>
      <c r="G6" s="47">
        <f>F35</f>
        <v>254.74</v>
      </c>
      <c r="H6" s="7">
        <f>E6-G6+E7+E5-G5+E4+E8</f>
        <v>1727.08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78</v>
      </c>
      <c r="C10" s="15">
        <v>1</v>
      </c>
      <c r="D10" s="69">
        <v>27.18</v>
      </c>
      <c r="E10" s="203">
        <v>44847</v>
      </c>
      <c r="F10" s="69">
        <f t="shared" ref="F10:F26" si="0">D10</f>
        <v>27.18</v>
      </c>
      <c r="G10" s="70" t="s">
        <v>482</v>
      </c>
      <c r="H10" s="71">
        <v>86</v>
      </c>
      <c r="I10" s="60">
        <f>E4+E5+E6+E7-F10+E8</f>
        <v>1954.6399999999999</v>
      </c>
    </row>
    <row r="11" spans="1:9" x14ac:dyDescent="0.25">
      <c r="A11" s="195"/>
      <c r="B11" s="236">
        <f>B10-C11</f>
        <v>74</v>
      </c>
      <c r="C11" s="15">
        <v>4</v>
      </c>
      <c r="D11" s="69">
        <v>102.5</v>
      </c>
      <c r="E11" s="203">
        <v>44848</v>
      </c>
      <c r="F11" s="69">
        <f t="shared" si="0"/>
        <v>102.5</v>
      </c>
      <c r="G11" s="70" t="s">
        <v>495</v>
      </c>
      <c r="H11" s="71">
        <v>86</v>
      </c>
      <c r="I11" s="60">
        <f>I10-F11</f>
        <v>1852.1399999999999</v>
      </c>
    </row>
    <row r="12" spans="1:9" x14ac:dyDescent="0.25">
      <c r="A12" s="183"/>
      <c r="B12" s="236">
        <f t="shared" ref="B12:B28" si="1">B11-C12</f>
        <v>70</v>
      </c>
      <c r="C12" s="15">
        <v>4</v>
      </c>
      <c r="D12" s="69">
        <v>101.24</v>
      </c>
      <c r="E12" s="203">
        <v>44860</v>
      </c>
      <c r="F12" s="69">
        <f t="shared" si="0"/>
        <v>101.24</v>
      </c>
      <c r="G12" s="70" t="s">
        <v>558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236">
        <f t="shared" si="1"/>
        <v>69</v>
      </c>
      <c r="C13" s="15">
        <v>1</v>
      </c>
      <c r="D13" s="69">
        <v>23.82</v>
      </c>
      <c r="E13" s="203">
        <v>44860</v>
      </c>
      <c r="F13" s="69">
        <f t="shared" si="0"/>
        <v>23.82</v>
      </c>
      <c r="G13" s="70" t="s">
        <v>559</v>
      </c>
      <c r="H13" s="71">
        <v>84</v>
      </c>
      <c r="I13" s="60">
        <f t="shared" si="2"/>
        <v>1727.08</v>
      </c>
    </row>
    <row r="14" spans="1:9" x14ac:dyDescent="0.25">
      <c r="A14" s="73"/>
      <c r="B14" s="236">
        <f t="shared" si="1"/>
        <v>69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1727.08</v>
      </c>
    </row>
    <row r="15" spans="1:9" x14ac:dyDescent="0.25">
      <c r="A15" s="73"/>
      <c r="B15" s="236">
        <f t="shared" si="1"/>
        <v>69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1727.08</v>
      </c>
    </row>
    <row r="16" spans="1:9" x14ac:dyDescent="0.25">
      <c r="B16" s="236">
        <f t="shared" si="1"/>
        <v>69</v>
      </c>
      <c r="C16" s="15"/>
      <c r="D16" s="69"/>
      <c r="E16" s="803"/>
      <c r="F16" s="771">
        <f t="shared" si="0"/>
        <v>0</v>
      </c>
      <c r="G16" s="769"/>
      <c r="H16" s="770"/>
      <c r="I16" s="806">
        <f t="shared" si="2"/>
        <v>1727.08</v>
      </c>
    </row>
    <row r="17" spans="1:9" x14ac:dyDescent="0.25">
      <c r="B17" s="236">
        <f t="shared" si="1"/>
        <v>69</v>
      </c>
      <c r="C17" s="15"/>
      <c r="D17" s="69"/>
      <c r="E17" s="803"/>
      <c r="F17" s="771">
        <f t="shared" si="0"/>
        <v>0</v>
      </c>
      <c r="G17" s="769"/>
      <c r="H17" s="770"/>
      <c r="I17" s="806">
        <f t="shared" si="2"/>
        <v>1727.08</v>
      </c>
    </row>
    <row r="18" spans="1:9" x14ac:dyDescent="0.25">
      <c r="A18" s="122"/>
      <c r="B18" s="236">
        <f t="shared" si="1"/>
        <v>69</v>
      </c>
      <c r="C18" s="15"/>
      <c r="D18" s="69"/>
      <c r="E18" s="803"/>
      <c r="F18" s="771">
        <f t="shared" si="0"/>
        <v>0</v>
      </c>
      <c r="G18" s="769"/>
      <c r="H18" s="770"/>
      <c r="I18" s="806">
        <f t="shared" si="2"/>
        <v>1727.08</v>
      </c>
    </row>
    <row r="19" spans="1:9" x14ac:dyDescent="0.25">
      <c r="A19" s="122"/>
      <c r="B19" s="236">
        <f t="shared" si="1"/>
        <v>69</v>
      </c>
      <c r="C19" s="15"/>
      <c r="D19" s="69"/>
      <c r="E19" s="803"/>
      <c r="F19" s="771">
        <f t="shared" si="0"/>
        <v>0</v>
      </c>
      <c r="G19" s="769"/>
      <c r="H19" s="770"/>
      <c r="I19" s="806">
        <f t="shared" si="2"/>
        <v>1727.08</v>
      </c>
    </row>
    <row r="20" spans="1:9" x14ac:dyDescent="0.25">
      <c r="A20" s="122"/>
      <c r="B20" s="236">
        <f t="shared" si="1"/>
        <v>69</v>
      </c>
      <c r="C20" s="15"/>
      <c r="D20" s="69"/>
      <c r="E20" s="803"/>
      <c r="F20" s="771">
        <f t="shared" si="0"/>
        <v>0</v>
      </c>
      <c r="G20" s="769"/>
      <c r="H20" s="770"/>
      <c r="I20" s="806">
        <f t="shared" si="2"/>
        <v>1727.08</v>
      </c>
    </row>
    <row r="21" spans="1:9" x14ac:dyDescent="0.25">
      <c r="A21" s="122"/>
      <c r="B21" s="236">
        <f t="shared" si="1"/>
        <v>69</v>
      </c>
      <c r="C21" s="15"/>
      <c r="D21" s="69"/>
      <c r="E21" s="803"/>
      <c r="F21" s="771">
        <f t="shared" si="0"/>
        <v>0</v>
      </c>
      <c r="G21" s="769"/>
      <c r="H21" s="770"/>
      <c r="I21" s="806">
        <f t="shared" si="2"/>
        <v>1727.08</v>
      </c>
    </row>
    <row r="22" spans="1:9" x14ac:dyDescent="0.25">
      <c r="A22" s="122"/>
      <c r="B22" s="236">
        <f t="shared" si="1"/>
        <v>69</v>
      </c>
      <c r="C22" s="15"/>
      <c r="D22" s="69"/>
      <c r="E22" s="803"/>
      <c r="F22" s="771">
        <f t="shared" si="0"/>
        <v>0</v>
      </c>
      <c r="G22" s="769"/>
      <c r="H22" s="770"/>
      <c r="I22" s="806">
        <f t="shared" si="2"/>
        <v>1727.08</v>
      </c>
    </row>
    <row r="23" spans="1:9" x14ac:dyDescent="0.25">
      <c r="A23" s="123"/>
      <c r="B23" s="236">
        <f t="shared" si="1"/>
        <v>69</v>
      </c>
      <c r="C23" s="15"/>
      <c r="D23" s="69"/>
      <c r="E23" s="803"/>
      <c r="F23" s="771">
        <f t="shared" si="0"/>
        <v>0</v>
      </c>
      <c r="G23" s="769"/>
      <c r="H23" s="770"/>
      <c r="I23" s="806">
        <f t="shared" si="2"/>
        <v>1727.08</v>
      </c>
    </row>
    <row r="24" spans="1:9" x14ac:dyDescent="0.25">
      <c r="A24" s="122"/>
      <c r="B24" s="236">
        <f t="shared" si="1"/>
        <v>69</v>
      </c>
      <c r="C24" s="15"/>
      <c r="D24" s="69"/>
      <c r="E24" s="803"/>
      <c r="F24" s="771">
        <f t="shared" si="0"/>
        <v>0</v>
      </c>
      <c r="G24" s="769"/>
      <c r="H24" s="770"/>
      <c r="I24" s="806">
        <f t="shared" si="2"/>
        <v>1727.08</v>
      </c>
    </row>
    <row r="25" spans="1:9" x14ac:dyDescent="0.25">
      <c r="A25" s="122"/>
      <c r="B25" s="236">
        <f t="shared" si="1"/>
        <v>69</v>
      </c>
      <c r="C25" s="15"/>
      <c r="D25" s="69"/>
      <c r="E25" s="803"/>
      <c r="F25" s="771">
        <f t="shared" si="0"/>
        <v>0</v>
      </c>
      <c r="G25" s="769"/>
      <c r="H25" s="770"/>
      <c r="I25" s="806">
        <f t="shared" si="2"/>
        <v>1727.08</v>
      </c>
    </row>
    <row r="26" spans="1:9" x14ac:dyDescent="0.25">
      <c r="A26" s="122"/>
      <c r="B26" s="236">
        <f t="shared" si="1"/>
        <v>69</v>
      </c>
      <c r="C26" s="15"/>
      <c r="D26" s="69"/>
      <c r="E26" s="803"/>
      <c r="F26" s="771">
        <f t="shared" si="0"/>
        <v>0</v>
      </c>
      <c r="G26" s="769"/>
      <c r="H26" s="770"/>
      <c r="I26" s="806">
        <f t="shared" si="2"/>
        <v>1727.08</v>
      </c>
    </row>
    <row r="27" spans="1:9" x14ac:dyDescent="0.25">
      <c r="A27" s="122"/>
      <c r="B27" s="236">
        <f t="shared" si="1"/>
        <v>69</v>
      </c>
      <c r="C27" s="15"/>
      <c r="D27" s="69"/>
      <c r="E27" s="803"/>
      <c r="F27" s="771">
        <v>0</v>
      </c>
      <c r="G27" s="769"/>
      <c r="H27" s="770"/>
      <c r="I27" s="806">
        <f t="shared" si="2"/>
        <v>1727.08</v>
      </c>
    </row>
    <row r="28" spans="1:9" x14ac:dyDescent="0.25">
      <c r="A28" s="122"/>
      <c r="B28" s="236">
        <f t="shared" si="1"/>
        <v>69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1727.08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1727.08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78"/>
      <c r="B5" s="1089" t="s">
        <v>169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1078"/>
      <c r="B6" s="1089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3"/>
      <c r="F11" s="771">
        <f t="shared" si="0"/>
        <v>0</v>
      </c>
      <c r="G11" s="769"/>
      <c r="H11" s="770"/>
      <c r="I11" s="804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3"/>
      <c r="F12" s="771">
        <f t="shared" si="0"/>
        <v>0</v>
      </c>
      <c r="G12" s="769"/>
      <c r="H12" s="770"/>
      <c r="I12" s="804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3"/>
      <c r="F13" s="771">
        <f t="shared" si="0"/>
        <v>0</v>
      </c>
      <c r="G13" s="769"/>
      <c r="H13" s="770"/>
      <c r="I13" s="804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3"/>
      <c r="F14" s="771">
        <f t="shared" si="0"/>
        <v>0</v>
      </c>
      <c r="G14" s="769"/>
      <c r="H14" s="770"/>
      <c r="I14" s="804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3"/>
      <c r="F15" s="771">
        <f t="shared" si="0"/>
        <v>0</v>
      </c>
      <c r="G15" s="769"/>
      <c r="H15" s="770"/>
      <c r="I15" s="804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72" t="s">
        <v>11</v>
      </c>
      <c r="D40" s="107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14" activePane="bottomLeft" state="frozen"/>
      <selection pane="bottomLeft" activeCell="A26" sqref="A2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70" t="s">
        <v>264</v>
      </c>
      <c r="B1" s="1070"/>
      <c r="C1" s="1070"/>
      <c r="D1" s="1070"/>
      <c r="E1" s="1070"/>
      <c r="F1" s="1070"/>
      <c r="G1" s="1070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1084" t="s">
        <v>82</v>
      </c>
      <c r="B5" s="1089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968.62</v>
      </c>
      <c r="H5" s="7">
        <f>E5-G5+E4+E6</f>
        <v>-5.0000000000011369E-2</v>
      </c>
    </row>
    <row r="6" spans="1:9" ht="15.75" customHeight="1" thickBot="1" x14ac:dyDescent="0.3">
      <c r="A6" s="1084"/>
      <c r="B6" s="1090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254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186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187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192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204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216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219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225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39</v>
      </c>
      <c r="C16" s="15">
        <v>5</v>
      </c>
      <c r="D16" s="549">
        <v>85.2</v>
      </c>
      <c r="E16" s="811">
        <v>44841</v>
      </c>
      <c r="F16" s="812">
        <f t="shared" ref="F16:F35" si="3">D16</f>
        <v>85.2</v>
      </c>
      <c r="G16" s="331" t="s">
        <v>440</v>
      </c>
      <c r="H16" s="332">
        <v>47</v>
      </c>
      <c r="I16" s="215">
        <f t="shared" si="2"/>
        <v>389.95000000000005</v>
      </c>
    </row>
    <row r="17" spans="1:9" ht="15" customHeight="1" x14ac:dyDescent="0.25">
      <c r="B17" s="548">
        <f t="shared" si="1"/>
        <v>38</v>
      </c>
      <c r="C17" s="15">
        <v>1</v>
      </c>
      <c r="D17" s="549">
        <v>10</v>
      </c>
      <c r="E17" s="811">
        <v>44844</v>
      </c>
      <c r="F17" s="812">
        <f t="shared" si="3"/>
        <v>10</v>
      </c>
      <c r="G17" s="331" t="s">
        <v>462</v>
      </c>
      <c r="H17" s="332">
        <v>47</v>
      </c>
      <c r="I17" s="215">
        <f t="shared" si="2"/>
        <v>379.95000000000005</v>
      </c>
    </row>
    <row r="18" spans="1:9" ht="15" customHeight="1" x14ac:dyDescent="0.25">
      <c r="B18" s="548">
        <f t="shared" si="1"/>
        <v>37</v>
      </c>
      <c r="C18" s="15">
        <v>1</v>
      </c>
      <c r="D18" s="549">
        <v>10</v>
      </c>
      <c r="E18" s="811">
        <v>44847</v>
      </c>
      <c r="F18" s="812">
        <f t="shared" si="3"/>
        <v>10</v>
      </c>
      <c r="G18" s="331" t="s">
        <v>478</v>
      </c>
      <c r="H18" s="332">
        <v>47</v>
      </c>
      <c r="I18" s="215">
        <f t="shared" si="2"/>
        <v>369.95000000000005</v>
      </c>
    </row>
    <row r="19" spans="1:9" ht="15" customHeight="1" x14ac:dyDescent="0.25">
      <c r="B19" s="548">
        <f t="shared" si="1"/>
        <v>32</v>
      </c>
      <c r="C19" s="15">
        <v>5</v>
      </c>
      <c r="D19" s="549">
        <v>50</v>
      </c>
      <c r="E19" s="811">
        <v>44848</v>
      </c>
      <c r="F19" s="812">
        <f t="shared" si="3"/>
        <v>50</v>
      </c>
      <c r="G19" s="331" t="s">
        <v>494</v>
      </c>
      <c r="H19" s="332">
        <v>47</v>
      </c>
      <c r="I19" s="215">
        <f t="shared" si="2"/>
        <v>319.95000000000005</v>
      </c>
    </row>
    <row r="20" spans="1:9" ht="15" customHeight="1" x14ac:dyDescent="0.25">
      <c r="B20" s="548">
        <f t="shared" si="1"/>
        <v>31</v>
      </c>
      <c r="C20" s="15">
        <v>1</v>
      </c>
      <c r="D20" s="549">
        <v>10</v>
      </c>
      <c r="E20" s="811">
        <v>44848</v>
      </c>
      <c r="F20" s="812">
        <f t="shared" si="3"/>
        <v>10</v>
      </c>
      <c r="G20" s="331" t="s">
        <v>436</v>
      </c>
      <c r="H20" s="332">
        <v>47</v>
      </c>
      <c r="I20" s="215">
        <f t="shared" si="2"/>
        <v>309.95000000000005</v>
      </c>
    </row>
    <row r="21" spans="1:9" ht="15" customHeight="1" x14ac:dyDescent="0.25">
      <c r="B21" s="548">
        <f t="shared" si="1"/>
        <v>29</v>
      </c>
      <c r="C21" s="15">
        <v>2</v>
      </c>
      <c r="D21" s="549">
        <v>20</v>
      </c>
      <c r="E21" s="811">
        <v>44851</v>
      </c>
      <c r="F21" s="812">
        <f t="shared" si="3"/>
        <v>20</v>
      </c>
      <c r="G21" s="331" t="s">
        <v>506</v>
      </c>
      <c r="H21" s="332">
        <v>47</v>
      </c>
      <c r="I21" s="215">
        <f t="shared" si="2"/>
        <v>289.95000000000005</v>
      </c>
    </row>
    <row r="22" spans="1:9" ht="15" customHeight="1" x14ac:dyDescent="0.25">
      <c r="B22" s="548">
        <f t="shared" si="1"/>
        <v>27</v>
      </c>
      <c r="C22" s="15">
        <v>2</v>
      </c>
      <c r="D22" s="549">
        <v>20</v>
      </c>
      <c r="E22" s="811">
        <v>44852</v>
      </c>
      <c r="F22" s="812">
        <f>D22</f>
        <v>20</v>
      </c>
      <c r="G22" s="331" t="s">
        <v>511</v>
      </c>
      <c r="H22" s="332">
        <v>47</v>
      </c>
      <c r="I22" s="215">
        <f t="shared" si="2"/>
        <v>269.95000000000005</v>
      </c>
    </row>
    <row r="23" spans="1:9" ht="15" customHeight="1" x14ac:dyDescent="0.25">
      <c r="B23" s="548">
        <f t="shared" si="1"/>
        <v>25</v>
      </c>
      <c r="C23" s="15">
        <v>2</v>
      </c>
      <c r="D23" s="549">
        <v>20</v>
      </c>
      <c r="E23" s="811">
        <v>44853</v>
      </c>
      <c r="F23" s="812">
        <f>D23</f>
        <v>20</v>
      </c>
      <c r="G23" s="331" t="s">
        <v>517</v>
      </c>
      <c r="H23" s="332">
        <v>47</v>
      </c>
      <c r="I23" s="215">
        <f t="shared" si="2"/>
        <v>249.95000000000005</v>
      </c>
    </row>
    <row r="24" spans="1:9" ht="15" customHeight="1" x14ac:dyDescent="0.25">
      <c r="B24" s="548">
        <f t="shared" si="1"/>
        <v>17</v>
      </c>
      <c r="C24" s="15">
        <v>8</v>
      </c>
      <c r="D24" s="549">
        <v>80</v>
      </c>
      <c r="E24" s="811">
        <v>44858</v>
      </c>
      <c r="F24" s="812">
        <f>D24</f>
        <v>80</v>
      </c>
      <c r="G24" s="331" t="s">
        <v>549</v>
      </c>
      <c r="H24" s="332">
        <v>47</v>
      </c>
      <c r="I24" s="215">
        <f t="shared" si="2"/>
        <v>169.95000000000005</v>
      </c>
    </row>
    <row r="25" spans="1:9" ht="15" customHeight="1" x14ac:dyDescent="0.25">
      <c r="B25" s="548">
        <f t="shared" si="1"/>
        <v>7</v>
      </c>
      <c r="C25" s="15">
        <v>10</v>
      </c>
      <c r="D25" s="549">
        <v>100</v>
      </c>
      <c r="E25" s="811">
        <v>44859</v>
      </c>
      <c r="F25" s="812">
        <f>D25</f>
        <v>100</v>
      </c>
      <c r="G25" s="331" t="s">
        <v>551</v>
      </c>
      <c r="H25" s="332">
        <v>47</v>
      </c>
      <c r="I25" s="215">
        <f t="shared" si="2"/>
        <v>69.950000000000045</v>
      </c>
    </row>
    <row r="26" spans="1:9" ht="15" customHeight="1" x14ac:dyDescent="0.25">
      <c r="B26" s="548">
        <f t="shared" si="1"/>
        <v>0</v>
      </c>
      <c r="C26" s="15">
        <v>7</v>
      </c>
      <c r="D26" s="549">
        <v>70</v>
      </c>
      <c r="E26" s="811">
        <v>44863</v>
      </c>
      <c r="F26" s="812">
        <f>D26</f>
        <v>70</v>
      </c>
      <c r="G26" s="331" t="s">
        <v>588</v>
      </c>
      <c r="H26" s="332">
        <v>47</v>
      </c>
      <c r="I26" s="215">
        <f t="shared" si="2"/>
        <v>-4.9999999999954525E-2</v>
      </c>
    </row>
    <row r="27" spans="1:9" ht="15" customHeight="1" x14ac:dyDescent="0.25">
      <c r="B27" s="548">
        <f t="shared" si="1"/>
        <v>0</v>
      </c>
      <c r="C27" s="15"/>
      <c r="D27" s="69">
        <v>0</v>
      </c>
      <c r="E27" s="246"/>
      <c r="F27" s="974">
        <f t="shared" si="3"/>
        <v>0</v>
      </c>
      <c r="G27" s="981"/>
      <c r="H27" s="982"/>
      <c r="I27" s="1011">
        <f t="shared" si="2"/>
        <v>-4.9999999999954525E-2</v>
      </c>
    </row>
    <row r="28" spans="1:9" ht="15" customHeight="1" x14ac:dyDescent="0.25">
      <c r="A28" s="47"/>
      <c r="B28" s="548">
        <f t="shared" si="1"/>
        <v>0</v>
      </c>
      <c r="C28" s="15"/>
      <c r="D28" s="69">
        <v>0</v>
      </c>
      <c r="E28" s="246"/>
      <c r="F28" s="974">
        <f t="shared" si="3"/>
        <v>0</v>
      </c>
      <c r="G28" s="981"/>
      <c r="H28" s="982"/>
      <c r="I28" s="1011">
        <f t="shared" si="2"/>
        <v>-4.9999999999954525E-2</v>
      </c>
    </row>
    <row r="29" spans="1:9" ht="15" customHeight="1" x14ac:dyDescent="0.25">
      <c r="A29" s="47"/>
      <c r="B29" s="548">
        <f t="shared" si="1"/>
        <v>0</v>
      </c>
      <c r="C29" s="15"/>
      <c r="D29" s="69">
        <v>0</v>
      </c>
      <c r="E29" s="246"/>
      <c r="F29" s="974">
        <f t="shared" si="3"/>
        <v>0</v>
      </c>
      <c r="G29" s="981"/>
      <c r="H29" s="982"/>
      <c r="I29" s="1011">
        <f t="shared" si="2"/>
        <v>-4.9999999999954525E-2</v>
      </c>
    </row>
    <row r="30" spans="1:9" ht="15" customHeight="1" x14ac:dyDescent="0.25">
      <c r="A30" s="47"/>
      <c r="B30" s="548">
        <f t="shared" si="1"/>
        <v>0</v>
      </c>
      <c r="C30" s="15"/>
      <c r="D30" s="69">
        <v>0</v>
      </c>
      <c r="E30" s="246"/>
      <c r="F30" s="974">
        <f t="shared" si="3"/>
        <v>0</v>
      </c>
      <c r="G30" s="981"/>
      <c r="H30" s="982"/>
      <c r="I30" s="1011">
        <f t="shared" si="2"/>
        <v>-4.9999999999954525E-2</v>
      </c>
    </row>
    <row r="31" spans="1:9" ht="15" customHeight="1" x14ac:dyDescent="0.25">
      <c r="A31" s="47"/>
      <c r="B31" s="548">
        <f t="shared" si="1"/>
        <v>0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-4.9999999999954525E-2</v>
      </c>
    </row>
    <row r="32" spans="1:9" ht="15" customHeight="1" x14ac:dyDescent="0.25">
      <c r="A32" s="47"/>
      <c r="B32" s="548">
        <f t="shared" si="1"/>
        <v>0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-4.9999999999954525E-2</v>
      </c>
    </row>
    <row r="33" spans="1:9" ht="15" customHeight="1" x14ac:dyDescent="0.25">
      <c r="A33" s="47"/>
      <c r="B33" s="548">
        <f t="shared" si="1"/>
        <v>0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-4.9999999999954525E-2</v>
      </c>
    </row>
    <row r="34" spans="1:9" ht="15" customHeight="1" x14ac:dyDescent="0.25">
      <c r="A34" s="47"/>
      <c r="B34" s="548">
        <f t="shared" si="1"/>
        <v>0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-4.9999999999954525E-2</v>
      </c>
    </row>
    <row r="35" spans="1:9" ht="15.75" thickBot="1" x14ac:dyDescent="0.3">
      <c r="A35" s="121"/>
      <c r="B35" s="548">
        <f t="shared" si="1"/>
        <v>0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70</v>
      </c>
      <c r="D36" s="105">
        <f>SUM(D8:D35)</f>
        <v>968.62</v>
      </c>
      <c r="E36" s="75"/>
      <c r="F36" s="105">
        <f>SUM(F8:F35)</f>
        <v>968.62</v>
      </c>
    </row>
    <row r="37" spans="1:9" ht="15.75" thickBot="1" x14ac:dyDescent="0.3">
      <c r="A37" s="47"/>
    </row>
    <row r="38" spans="1:9" x14ac:dyDescent="0.25">
      <c r="B38" s="546"/>
      <c r="D38" s="1059" t="s">
        <v>21</v>
      </c>
      <c r="E38" s="1060"/>
      <c r="F38" s="141">
        <f>E4+E5-F36+E6</f>
        <v>-5.0000000000068212E-2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0</v>
      </c>
    </row>
    <row r="40" spans="1:9" x14ac:dyDescent="0.25">
      <c r="B40" s="546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78"/>
      <c r="B5" s="1091" t="s">
        <v>168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78"/>
      <c r="B6" s="1092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7">
        <f t="shared" si="0"/>
        <v>0</v>
      </c>
      <c r="G9" s="769"/>
      <c r="H9" s="770"/>
      <c r="I9" s="808">
        <f>I8-F9</f>
        <v>0</v>
      </c>
      <c r="J9" s="809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7">
        <f t="shared" si="0"/>
        <v>0</v>
      </c>
      <c r="G10" s="769"/>
      <c r="H10" s="770"/>
      <c r="I10" s="808">
        <f t="shared" ref="I10:I38" si="3">I9-F10</f>
        <v>0</v>
      </c>
      <c r="J10" s="809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7">
        <f t="shared" si="0"/>
        <v>0</v>
      </c>
      <c r="G11" s="769"/>
      <c r="H11" s="770"/>
      <c r="I11" s="808">
        <f t="shared" si="3"/>
        <v>0</v>
      </c>
      <c r="J11" s="809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7">
        <f t="shared" si="0"/>
        <v>0</v>
      </c>
      <c r="G12" s="769"/>
      <c r="H12" s="770"/>
      <c r="I12" s="808">
        <f t="shared" si="3"/>
        <v>0</v>
      </c>
      <c r="J12" s="809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7">
        <f t="shared" si="0"/>
        <v>0</v>
      </c>
      <c r="G13" s="769"/>
      <c r="H13" s="770"/>
      <c r="I13" s="808">
        <f t="shared" si="3"/>
        <v>0</v>
      </c>
      <c r="J13" s="809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7">
        <f t="shared" si="0"/>
        <v>0</v>
      </c>
      <c r="G14" s="769"/>
      <c r="H14" s="770"/>
      <c r="I14" s="808">
        <f t="shared" si="3"/>
        <v>0</v>
      </c>
      <c r="J14" s="809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9" t="s">
        <v>21</v>
      </c>
      <c r="E42" s="1060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078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07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59" t="s">
        <v>21</v>
      </c>
      <c r="E31" s="1060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93" t="s">
        <v>87</v>
      </c>
      <c r="C4" s="128"/>
      <c r="D4" s="134"/>
      <c r="E4" s="181"/>
      <c r="F4" s="137"/>
      <c r="G4" s="38"/>
    </row>
    <row r="5" spans="1:15" ht="15.75" x14ac:dyDescent="0.25">
      <c r="A5" s="1078"/>
      <c r="B5" s="1094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78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059" t="s">
        <v>21</v>
      </c>
      <c r="E31" s="1060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059" t="s">
        <v>21</v>
      </c>
      <c r="E31" s="1060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3"/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84" t="s">
        <v>97</v>
      </c>
      <c r="B5" s="1095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84"/>
      <c r="B6" s="1095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59" t="s">
        <v>21</v>
      </c>
      <c r="E32" s="1060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Y1" zoomScaleNormal="100" workbookViewId="0">
      <selection activeCell="JE10" sqref="JE10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1069" t="s">
        <v>260</v>
      </c>
      <c r="L1" s="1069"/>
      <c r="M1" s="1069"/>
      <c r="N1" s="1069"/>
      <c r="O1" s="1069"/>
      <c r="P1" s="1069"/>
      <c r="Q1" s="1069"/>
      <c r="R1" s="270">
        <f>I1+1</f>
        <v>1</v>
      </c>
      <c r="S1" s="270"/>
      <c r="U1" s="1063" t="str">
        <f>K1</f>
        <v>ENTRADA DEL MES DE OCTUBRE 2022</v>
      </c>
      <c r="V1" s="1063"/>
      <c r="W1" s="1063"/>
      <c r="X1" s="1063"/>
      <c r="Y1" s="1063"/>
      <c r="Z1" s="1063"/>
      <c r="AA1" s="1063"/>
      <c r="AB1" s="270">
        <f>R1+1</f>
        <v>2</v>
      </c>
      <c r="AC1" s="403"/>
      <c r="AE1" s="1063" t="str">
        <f>U1</f>
        <v>ENTRADA DEL MES DE OCTUBRE 2022</v>
      </c>
      <c r="AF1" s="1063"/>
      <c r="AG1" s="1063"/>
      <c r="AH1" s="1063"/>
      <c r="AI1" s="1063"/>
      <c r="AJ1" s="1063"/>
      <c r="AK1" s="1063"/>
      <c r="AL1" s="270">
        <f>AB1+1</f>
        <v>3</v>
      </c>
      <c r="AM1" s="270"/>
      <c r="AO1" s="1063" t="str">
        <f>AE1</f>
        <v>ENTRADA DEL MES DE OCTUBRE 2022</v>
      </c>
      <c r="AP1" s="1063"/>
      <c r="AQ1" s="1063"/>
      <c r="AR1" s="1063"/>
      <c r="AS1" s="1063"/>
      <c r="AT1" s="1063"/>
      <c r="AU1" s="1063"/>
      <c r="AV1" s="270">
        <f>AL1+1</f>
        <v>4</v>
      </c>
      <c r="AW1" s="403"/>
      <c r="AY1" s="1063" t="str">
        <f>AO1</f>
        <v>ENTRADA DEL MES DE OCTUBRE 2022</v>
      </c>
      <c r="AZ1" s="1063"/>
      <c r="BA1" s="1063"/>
      <c r="BB1" s="1063"/>
      <c r="BC1" s="1063"/>
      <c r="BD1" s="1063"/>
      <c r="BE1" s="1063"/>
      <c r="BF1" s="270">
        <f>AV1+1</f>
        <v>5</v>
      </c>
      <c r="BG1" s="419"/>
      <c r="BI1" s="1063" t="str">
        <f>AY1</f>
        <v>ENTRADA DEL MES DE OCTUBRE 2022</v>
      </c>
      <c r="BJ1" s="1063"/>
      <c r="BK1" s="1063"/>
      <c r="BL1" s="1063"/>
      <c r="BM1" s="1063"/>
      <c r="BN1" s="1063"/>
      <c r="BO1" s="1063"/>
      <c r="BP1" s="270">
        <f>BF1+1</f>
        <v>6</v>
      </c>
      <c r="BQ1" s="403"/>
      <c r="BS1" s="1063" t="str">
        <f>BI1</f>
        <v>ENTRADA DEL MES DE OCTUBRE 2022</v>
      </c>
      <c r="BT1" s="1063"/>
      <c r="BU1" s="1063"/>
      <c r="BV1" s="1063"/>
      <c r="BW1" s="1063"/>
      <c r="BX1" s="1063"/>
      <c r="BY1" s="1063"/>
      <c r="BZ1" s="270">
        <f>BP1+1</f>
        <v>7</v>
      </c>
      <c r="CC1" s="1063" t="str">
        <f>BS1</f>
        <v>ENTRADA DEL MES DE OCTUBRE 2022</v>
      </c>
      <c r="CD1" s="1063"/>
      <c r="CE1" s="1063"/>
      <c r="CF1" s="1063"/>
      <c r="CG1" s="1063"/>
      <c r="CH1" s="1063"/>
      <c r="CI1" s="1063"/>
      <c r="CJ1" s="270">
        <f>BZ1+1</f>
        <v>8</v>
      </c>
      <c r="CM1" s="1063" t="str">
        <f>CC1</f>
        <v>ENTRADA DEL MES DE OCTUBRE 2022</v>
      </c>
      <c r="CN1" s="1063"/>
      <c r="CO1" s="1063"/>
      <c r="CP1" s="1063"/>
      <c r="CQ1" s="1063"/>
      <c r="CR1" s="1063"/>
      <c r="CS1" s="1063"/>
      <c r="CT1" s="270">
        <f>CJ1+1</f>
        <v>9</v>
      </c>
      <c r="CU1" s="403"/>
      <c r="CW1" s="1063" t="str">
        <f>CM1</f>
        <v>ENTRADA DEL MES DE OCTUBRE 2022</v>
      </c>
      <c r="CX1" s="1063"/>
      <c r="CY1" s="1063"/>
      <c r="CZ1" s="1063"/>
      <c r="DA1" s="1063"/>
      <c r="DB1" s="1063"/>
      <c r="DC1" s="1063"/>
      <c r="DD1" s="270">
        <f>CT1+1</f>
        <v>10</v>
      </c>
      <c r="DE1" s="403"/>
      <c r="DG1" s="1063" t="str">
        <f>CW1</f>
        <v>ENTRADA DEL MES DE OCTUBRE 2022</v>
      </c>
      <c r="DH1" s="1063"/>
      <c r="DI1" s="1063"/>
      <c r="DJ1" s="1063"/>
      <c r="DK1" s="1063"/>
      <c r="DL1" s="1063"/>
      <c r="DM1" s="1063"/>
      <c r="DN1" s="270">
        <f>DD1+1</f>
        <v>11</v>
      </c>
      <c r="DO1" s="403"/>
      <c r="DQ1" s="1063" t="str">
        <f>DG1</f>
        <v>ENTRADA DEL MES DE OCTUBRE 2022</v>
      </c>
      <c r="DR1" s="1063"/>
      <c r="DS1" s="1063"/>
      <c r="DT1" s="1063"/>
      <c r="DU1" s="1063"/>
      <c r="DV1" s="1063"/>
      <c r="DW1" s="1063"/>
      <c r="DX1" s="270">
        <f>DN1+1</f>
        <v>12</v>
      </c>
      <c r="EA1" s="1063" t="str">
        <f>DQ1</f>
        <v>ENTRADA DEL MES DE OCTUBRE 2022</v>
      </c>
      <c r="EB1" s="1063"/>
      <c r="EC1" s="1063"/>
      <c r="ED1" s="1063"/>
      <c r="EE1" s="1063"/>
      <c r="EF1" s="1063"/>
      <c r="EG1" s="1063"/>
      <c r="EH1" s="270">
        <f>DX1+1</f>
        <v>13</v>
      </c>
      <c r="EI1" s="403"/>
      <c r="EK1" s="1063" t="str">
        <f>EA1</f>
        <v>ENTRADA DEL MES DE OCTUBRE 2022</v>
      </c>
      <c r="EL1" s="1063"/>
      <c r="EM1" s="1063"/>
      <c r="EN1" s="1063"/>
      <c r="EO1" s="1063"/>
      <c r="EP1" s="1063"/>
      <c r="EQ1" s="1063"/>
      <c r="ER1" s="270">
        <f>EH1+1</f>
        <v>14</v>
      </c>
      <c r="ES1" s="403"/>
      <c r="EU1" s="1063" t="str">
        <f>EK1</f>
        <v>ENTRADA DEL MES DE OCTUBRE 2022</v>
      </c>
      <c r="EV1" s="1063"/>
      <c r="EW1" s="1063"/>
      <c r="EX1" s="1063"/>
      <c r="EY1" s="1063"/>
      <c r="EZ1" s="1063"/>
      <c r="FA1" s="1063"/>
      <c r="FB1" s="270">
        <f>ER1+1</f>
        <v>15</v>
      </c>
      <c r="FC1" s="403"/>
      <c r="FE1" s="1063" t="str">
        <f>EU1</f>
        <v>ENTRADA DEL MES DE OCTUBRE 2022</v>
      </c>
      <c r="FF1" s="1063"/>
      <c r="FG1" s="1063"/>
      <c r="FH1" s="1063"/>
      <c r="FI1" s="1063"/>
      <c r="FJ1" s="1063"/>
      <c r="FK1" s="1063"/>
      <c r="FL1" s="270">
        <f>FB1+1</f>
        <v>16</v>
      </c>
      <c r="FM1" s="403"/>
      <c r="FO1" s="1063" t="str">
        <f>FE1</f>
        <v>ENTRADA DEL MES DE OCTUBRE 2022</v>
      </c>
      <c r="FP1" s="1063"/>
      <c r="FQ1" s="1063"/>
      <c r="FR1" s="1063"/>
      <c r="FS1" s="1063"/>
      <c r="FT1" s="1063"/>
      <c r="FU1" s="1063"/>
      <c r="FV1" s="270">
        <f>FL1+1</f>
        <v>17</v>
      </c>
      <c r="FW1" s="403"/>
      <c r="FY1" s="1063" t="str">
        <f>FO1</f>
        <v>ENTRADA DEL MES DE OCTUBRE 2022</v>
      </c>
      <c r="FZ1" s="1063"/>
      <c r="GA1" s="1063"/>
      <c r="GB1" s="1063"/>
      <c r="GC1" s="1063"/>
      <c r="GD1" s="1063"/>
      <c r="GE1" s="1063"/>
      <c r="GF1" s="270">
        <f>FV1+1</f>
        <v>18</v>
      </c>
      <c r="GG1" s="403"/>
      <c r="GH1" s="75" t="s">
        <v>37</v>
      </c>
      <c r="GI1" s="1063" t="str">
        <f>FY1</f>
        <v>ENTRADA DEL MES DE OCTUBRE 2022</v>
      </c>
      <c r="GJ1" s="1063"/>
      <c r="GK1" s="1063"/>
      <c r="GL1" s="1063"/>
      <c r="GM1" s="1063"/>
      <c r="GN1" s="1063"/>
      <c r="GO1" s="1063"/>
      <c r="GP1" s="270">
        <f>GF1+1</f>
        <v>19</v>
      </c>
      <c r="GQ1" s="403"/>
      <c r="GS1" s="1063" t="str">
        <f>GI1</f>
        <v>ENTRADA DEL MES DE OCTUBRE 2022</v>
      </c>
      <c r="GT1" s="1063"/>
      <c r="GU1" s="1063"/>
      <c r="GV1" s="1063"/>
      <c r="GW1" s="1063"/>
      <c r="GX1" s="1063"/>
      <c r="GY1" s="1063"/>
      <c r="GZ1" s="270">
        <f>GP1+1</f>
        <v>20</v>
      </c>
      <c r="HA1" s="403"/>
      <c r="HC1" s="1063" t="str">
        <f>GS1</f>
        <v>ENTRADA DEL MES DE OCTUBRE 2022</v>
      </c>
      <c r="HD1" s="1063"/>
      <c r="HE1" s="1063"/>
      <c r="HF1" s="1063"/>
      <c r="HG1" s="1063"/>
      <c r="HH1" s="1063"/>
      <c r="HI1" s="1063"/>
      <c r="HJ1" s="270">
        <f>GZ1+1</f>
        <v>21</v>
      </c>
      <c r="HK1" s="403"/>
      <c r="HM1" s="1063" t="str">
        <f>HC1</f>
        <v>ENTRADA DEL MES DE OCTUBRE 2022</v>
      </c>
      <c r="HN1" s="1063"/>
      <c r="HO1" s="1063"/>
      <c r="HP1" s="1063"/>
      <c r="HQ1" s="1063"/>
      <c r="HR1" s="1063"/>
      <c r="HS1" s="1063"/>
      <c r="HT1" s="270">
        <f>HJ1+1</f>
        <v>22</v>
      </c>
      <c r="HU1" s="403"/>
      <c r="HW1" s="1063" t="str">
        <f>HM1</f>
        <v>ENTRADA DEL MES DE OCTUBRE 2022</v>
      </c>
      <c r="HX1" s="1063"/>
      <c r="HY1" s="1063"/>
      <c r="HZ1" s="1063"/>
      <c r="IA1" s="1063"/>
      <c r="IB1" s="1063"/>
      <c r="IC1" s="1063"/>
      <c r="ID1" s="270">
        <f>HT1+1</f>
        <v>23</v>
      </c>
      <c r="IE1" s="403"/>
      <c r="IG1" s="1063" t="str">
        <f>HW1</f>
        <v>ENTRADA DEL MES DE OCTUBRE 2022</v>
      </c>
      <c r="IH1" s="1063"/>
      <c r="II1" s="1063"/>
      <c r="IJ1" s="1063"/>
      <c r="IK1" s="1063"/>
      <c r="IL1" s="1063"/>
      <c r="IM1" s="1063"/>
      <c r="IN1" s="270">
        <f>ID1+1</f>
        <v>24</v>
      </c>
      <c r="IO1" s="403"/>
      <c r="IQ1" s="1063" t="str">
        <f>IG1</f>
        <v>ENTRADA DEL MES DE OCTUBRE 2022</v>
      </c>
      <c r="IR1" s="1063"/>
      <c r="IS1" s="1063"/>
      <c r="IT1" s="1063"/>
      <c r="IU1" s="1063"/>
      <c r="IV1" s="1063"/>
      <c r="IW1" s="1063"/>
      <c r="IX1" s="270">
        <f>IN1+1</f>
        <v>25</v>
      </c>
      <c r="IY1" s="403"/>
      <c r="JA1" s="1063" t="str">
        <f>IQ1</f>
        <v>ENTRADA DEL MES DE OCTUBRE 2022</v>
      </c>
      <c r="JB1" s="1063"/>
      <c r="JC1" s="1063"/>
      <c r="JD1" s="1063"/>
      <c r="JE1" s="1063"/>
      <c r="JF1" s="1063"/>
      <c r="JG1" s="1063"/>
      <c r="JH1" s="270">
        <f>IX1+1</f>
        <v>26</v>
      </c>
      <c r="JI1" s="403"/>
      <c r="JK1" s="1064" t="str">
        <f>JA1</f>
        <v>ENTRADA DEL MES DE OCTUBRE 2022</v>
      </c>
      <c r="JL1" s="1064"/>
      <c r="JM1" s="1064"/>
      <c r="JN1" s="1064"/>
      <c r="JO1" s="1064"/>
      <c r="JP1" s="1064"/>
      <c r="JQ1" s="1064"/>
      <c r="JR1" s="270">
        <f>JH1+1</f>
        <v>27</v>
      </c>
      <c r="JS1" s="403"/>
      <c r="JU1" s="1063" t="str">
        <f>JK1</f>
        <v>ENTRADA DEL MES DE OCTUBRE 2022</v>
      </c>
      <c r="JV1" s="1063"/>
      <c r="JW1" s="1063"/>
      <c r="JX1" s="1063"/>
      <c r="JY1" s="1063"/>
      <c r="JZ1" s="1063"/>
      <c r="KA1" s="1063"/>
      <c r="KB1" s="270">
        <f>JR1+1</f>
        <v>28</v>
      </c>
      <c r="KC1" s="403"/>
      <c r="KE1" s="1063" t="str">
        <f>JU1</f>
        <v>ENTRADA DEL MES DE OCTUBRE 2022</v>
      </c>
      <c r="KF1" s="1063"/>
      <c r="KG1" s="1063"/>
      <c r="KH1" s="1063"/>
      <c r="KI1" s="1063"/>
      <c r="KJ1" s="1063"/>
      <c r="KK1" s="1063"/>
      <c r="KL1" s="270">
        <f>KB1+1</f>
        <v>29</v>
      </c>
      <c r="KM1" s="403"/>
      <c r="KO1" s="1063" t="str">
        <f>KE1</f>
        <v>ENTRADA DEL MES DE OCTUBRE 2022</v>
      </c>
      <c r="KP1" s="1063"/>
      <c r="KQ1" s="1063"/>
      <c r="KR1" s="1063"/>
      <c r="KS1" s="1063"/>
      <c r="KT1" s="1063"/>
      <c r="KU1" s="1063"/>
      <c r="KV1" s="270">
        <f>KL1+1</f>
        <v>30</v>
      </c>
      <c r="KW1" s="403"/>
      <c r="KY1" s="1063" t="str">
        <f>KO1</f>
        <v>ENTRADA DEL MES DE OCTUBRE 2022</v>
      </c>
      <c r="KZ1" s="1063"/>
      <c r="LA1" s="1063"/>
      <c r="LB1" s="1063"/>
      <c r="LC1" s="1063"/>
      <c r="LD1" s="1063"/>
      <c r="LE1" s="1063"/>
      <c r="LF1" s="270">
        <f>KV1+1</f>
        <v>31</v>
      </c>
      <c r="LG1" s="403"/>
      <c r="LI1" s="1063" t="str">
        <f>KY1</f>
        <v>ENTRADA DEL MES DE OCTUBRE 2022</v>
      </c>
      <c r="LJ1" s="1063"/>
      <c r="LK1" s="1063"/>
      <c r="LL1" s="1063"/>
      <c r="LM1" s="1063"/>
      <c r="LN1" s="1063"/>
      <c r="LO1" s="1063"/>
      <c r="LP1" s="270">
        <f>LF1+1</f>
        <v>32</v>
      </c>
      <c r="LQ1" s="403"/>
      <c r="LS1" s="1063" t="str">
        <f>LI1</f>
        <v>ENTRADA DEL MES DE OCTUBRE 2022</v>
      </c>
      <c r="LT1" s="1063"/>
      <c r="LU1" s="1063"/>
      <c r="LV1" s="1063"/>
      <c r="LW1" s="1063"/>
      <c r="LX1" s="1063"/>
      <c r="LY1" s="1063"/>
      <c r="LZ1" s="270">
        <f>LP1+1</f>
        <v>33</v>
      </c>
      <c r="MC1" s="1063" t="str">
        <f>LS1</f>
        <v>ENTRADA DEL MES DE OCTUBRE 2022</v>
      </c>
      <c r="MD1" s="1063"/>
      <c r="ME1" s="1063"/>
      <c r="MF1" s="1063"/>
      <c r="MG1" s="1063"/>
      <c r="MH1" s="1063"/>
      <c r="MI1" s="1063"/>
      <c r="MJ1" s="270">
        <f>LZ1+1</f>
        <v>34</v>
      </c>
      <c r="MK1" s="270"/>
      <c r="MM1" s="1063" t="str">
        <f>MC1</f>
        <v>ENTRADA DEL MES DE OCTUBRE 2022</v>
      </c>
      <c r="MN1" s="1063"/>
      <c r="MO1" s="1063"/>
      <c r="MP1" s="1063"/>
      <c r="MQ1" s="1063"/>
      <c r="MR1" s="1063"/>
      <c r="MS1" s="1063"/>
      <c r="MT1" s="270">
        <f>MJ1+1</f>
        <v>35</v>
      </c>
      <c r="MU1" s="270"/>
      <c r="MW1" s="1063" t="str">
        <f>MM1</f>
        <v>ENTRADA DEL MES DE OCTUBRE 2022</v>
      </c>
      <c r="MX1" s="1063"/>
      <c r="MY1" s="1063"/>
      <c r="MZ1" s="1063"/>
      <c r="NA1" s="1063"/>
      <c r="NB1" s="1063"/>
      <c r="NC1" s="1063"/>
      <c r="ND1" s="270">
        <f>MT1+1</f>
        <v>36</v>
      </c>
      <c r="NE1" s="270"/>
      <c r="NG1" s="1063" t="str">
        <f>MW1</f>
        <v>ENTRADA DEL MES DE OCTUBRE 2022</v>
      </c>
      <c r="NH1" s="1063"/>
      <c r="NI1" s="1063"/>
      <c r="NJ1" s="1063"/>
      <c r="NK1" s="1063"/>
      <c r="NL1" s="1063"/>
      <c r="NM1" s="1063"/>
      <c r="NN1" s="270">
        <f>ND1+1</f>
        <v>37</v>
      </c>
      <c r="NO1" s="270"/>
      <c r="NQ1" s="1063" t="str">
        <f>NG1</f>
        <v>ENTRADA DEL MES DE OCTUBRE 2022</v>
      </c>
      <c r="NR1" s="1063"/>
      <c r="NS1" s="1063"/>
      <c r="NT1" s="1063"/>
      <c r="NU1" s="1063"/>
      <c r="NV1" s="1063"/>
      <c r="NW1" s="1063"/>
      <c r="NX1" s="270">
        <f>NN1+1</f>
        <v>38</v>
      </c>
      <c r="NY1" s="270"/>
      <c r="OA1" s="1063" t="str">
        <f>NQ1</f>
        <v>ENTRADA DEL MES DE OCTUBRE 2022</v>
      </c>
      <c r="OB1" s="1063"/>
      <c r="OC1" s="1063"/>
      <c r="OD1" s="1063"/>
      <c r="OE1" s="1063"/>
      <c r="OF1" s="1063"/>
      <c r="OG1" s="1063"/>
      <c r="OH1" s="270">
        <f>NX1+1</f>
        <v>39</v>
      </c>
      <c r="OI1" s="270"/>
      <c r="OK1" s="1063" t="str">
        <f>OA1</f>
        <v>ENTRADA DEL MES DE OCTUBRE 2022</v>
      </c>
      <c r="OL1" s="1063"/>
      <c r="OM1" s="1063"/>
      <c r="ON1" s="1063"/>
      <c r="OO1" s="1063"/>
      <c r="OP1" s="1063"/>
      <c r="OQ1" s="1063"/>
      <c r="OR1" s="270">
        <f>OH1+1</f>
        <v>40</v>
      </c>
      <c r="OS1" s="270"/>
      <c r="OU1" s="1063" t="str">
        <f>OK1</f>
        <v>ENTRADA DEL MES DE OCTUBRE 2022</v>
      </c>
      <c r="OV1" s="1063"/>
      <c r="OW1" s="1063"/>
      <c r="OX1" s="1063"/>
      <c r="OY1" s="1063"/>
      <c r="OZ1" s="1063"/>
      <c r="PA1" s="1063"/>
      <c r="PB1" s="270">
        <f>OR1+1</f>
        <v>41</v>
      </c>
      <c r="PC1" s="270"/>
      <c r="PE1" s="1063" t="str">
        <f>OU1</f>
        <v>ENTRADA DEL MES DE OCTUBRE 2022</v>
      </c>
      <c r="PF1" s="1063"/>
      <c r="PG1" s="1063"/>
      <c r="PH1" s="1063"/>
      <c r="PI1" s="1063"/>
      <c r="PJ1" s="1063"/>
      <c r="PK1" s="1063"/>
      <c r="PL1" s="270">
        <f>PB1+1</f>
        <v>42</v>
      </c>
      <c r="PM1" s="270"/>
      <c r="PO1" s="1063" t="str">
        <f>PE1</f>
        <v>ENTRADA DEL MES DE OCTUBRE 2022</v>
      </c>
      <c r="PP1" s="1063"/>
      <c r="PQ1" s="1063"/>
      <c r="PR1" s="1063"/>
      <c r="PS1" s="1063"/>
      <c r="PT1" s="1063"/>
      <c r="PU1" s="1063"/>
      <c r="PV1" s="270">
        <f>PL1+1</f>
        <v>43</v>
      </c>
      <c r="PX1" s="1063" t="str">
        <f>PO1</f>
        <v>ENTRADA DEL MES DE OCTUBRE 2022</v>
      </c>
      <c r="PY1" s="1063"/>
      <c r="PZ1" s="1063"/>
      <c r="QA1" s="1063"/>
      <c r="QB1" s="1063"/>
      <c r="QC1" s="1063"/>
      <c r="QD1" s="1063"/>
      <c r="QE1" s="270">
        <f>PV1+1</f>
        <v>44</v>
      </c>
      <c r="QG1" s="1063" t="str">
        <f>PX1</f>
        <v>ENTRADA DEL MES DE OCTUBRE 2022</v>
      </c>
      <c r="QH1" s="1063"/>
      <c r="QI1" s="1063"/>
      <c r="QJ1" s="1063"/>
      <c r="QK1" s="1063"/>
      <c r="QL1" s="1063"/>
      <c r="QM1" s="1063"/>
      <c r="QN1" s="270">
        <f>QE1+1</f>
        <v>45</v>
      </c>
      <c r="QP1" s="1063" t="str">
        <f>QG1</f>
        <v>ENTRADA DEL MES DE OCTUBRE 2022</v>
      </c>
      <c r="QQ1" s="1063"/>
      <c r="QR1" s="1063"/>
      <c r="QS1" s="1063"/>
      <c r="QT1" s="1063"/>
      <c r="QU1" s="1063"/>
      <c r="QV1" s="1063"/>
      <c r="QW1" s="270">
        <f>QN1+1</f>
        <v>46</v>
      </c>
      <c r="QY1" s="1063" t="str">
        <f>QP1</f>
        <v>ENTRADA DEL MES DE OCTUBRE 2022</v>
      </c>
      <c r="QZ1" s="1063"/>
      <c r="RA1" s="1063"/>
      <c r="RB1" s="1063"/>
      <c r="RC1" s="1063"/>
      <c r="RD1" s="1063"/>
      <c r="RE1" s="1063"/>
      <c r="RF1" s="270">
        <f>QW1+1</f>
        <v>47</v>
      </c>
      <c r="RH1" s="1063" t="str">
        <f>QY1</f>
        <v>ENTRADA DEL MES DE OCTUBRE 2022</v>
      </c>
      <c r="RI1" s="1063"/>
      <c r="RJ1" s="1063"/>
      <c r="RK1" s="1063"/>
      <c r="RL1" s="1063"/>
      <c r="RM1" s="1063"/>
      <c r="RN1" s="1063"/>
      <c r="RO1" s="270">
        <f>RF1+1</f>
        <v>48</v>
      </c>
      <c r="RQ1" s="1063" t="str">
        <f>RH1</f>
        <v>ENTRADA DEL MES DE OCTUBRE 2022</v>
      </c>
      <c r="RR1" s="1063"/>
      <c r="RS1" s="1063"/>
      <c r="RT1" s="1063"/>
      <c r="RU1" s="1063"/>
      <c r="RV1" s="1063"/>
      <c r="RW1" s="1063"/>
      <c r="RX1" s="270">
        <f>RO1+1</f>
        <v>49</v>
      </c>
      <c r="RZ1" s="1063" t="str">
        <f>RQ1</f>
        <v>ENTRADA DEL MES DE OCTUBRE 2022</v>
      </c>
      <c r="SA1" s="1063"/>
      <c r="SB1" s="1063"/>
      <c r="SC1" s="1063"/>
      <c r="SD1" s="1063"/>
      <c r="SE1" s="1063"/>
      <c r="SF1" s="1063"/>
      <c r="SG1" s="270">
        <f>RX1+1</f>
        <v>50</v>
      </c>
      <c r="SI1" s="1063" t="str">
        <f>RZ1</f>
        <v>ENTRADA DEL MES DE OCTUBRE 2022</v>
      </c>
      <c r="SJ1" s="1063"/>
      <c r="SK1" s="1063"/>
      <c r="SL1" s="1063"/>
      <c r="SM1" s="1063"/>
      <c r="SN1" s="1063"/>
      <c r="SO1" s="1063"/>
      <c r="SP1" s="270">
        <f>SG1+1</f>
        <v>51</v>
      </c>
      <c r="SR1" s="1063" t="str">
        <f>SI1</f>
        <v>ENTRADA DEL MES DE OCTUBRE 2022</v>
      </c>
      <c r="SS1" s="1063"/>
      <c r="ST1" s="1063"/>
      <c r="SU1" s="1063"/>
      <c r="SV1" s="1063"/>
      <c r="SW1" s="1063"/>
      <c r="SX1" s="1063"/>
      <c r="SY1" s="270">
        <f>SP1+1</f>
        <v>52</v>
      </c>
      <c r="TA1" s="1063" t="str">
        <f>SR1</f>
        <v>ENTRADA DEL MES DE OCTUBRE 2022</v>
      </c>
      <c r="TB1" s="1063"/>
      <c r="TC1" s="1063"/>
      <c r="TD1" s="1063"/>
      <c r="TE1" s="1063"/>
      <c r="TF1" s="1063"/>
      <c r="TG1" s="1063"/>
      <c r="TH1" s="270">
        <f>SY1+1</f>
        <v>53</v>
      </c>
      <c r="TJ1" s="1063" t="str">
        <f>TA1</f>
        <v>ENTRADA DEL MES DE OCTUBRE 2022</v>
      </c>
      <c r="TK1" s="1063"/>
      <c r="TL1" s="1063"/>
      <c r="TM1" s="1063"/>
      <c r="TN1" s="1063"/>
      <c r="TO1" s="1063"/>
      <c r="TP1" s="1063"/>
      <c r="TQ1" s="270">
        <f>TH1+1</f>
        <v>54</v>
      </c>
      <c r="TS1" s="1063" t="str">
        <f>TJ1</f>
        <v>ENTRADA DEL MES DE OCTUBRE 2022</v>
      </c>
      <c r="TT1" s="1063"/>
      <c r="TU1" s="1063"/>
      <c r="TV1" s="1063"/>
      <c r="TW1" s="1063"/>
      <c r="TX1" s="1063"/>
      <c r="TY1" s="1063"/>
      <c r="TZ1" s="270">
        <f>TQ1+1</f>
        <v>55</v>
      </c>
      <c r="UB1" s="1063" t="str">
        <f>TS1</f>
        <v>ENTRADA DEL MES DE OCTUBRE 2022</v>
      </c>
      <c r="UC1" s="1063"/>
      <c r="UD1" s="1063"/>
      <c r="UE1" s="1063"/>
      <c r="UF1" s="1063"/>
      <c r="UG1" s="1063"/>
      <c r="UH1" s="1063"/>
      <c r="UI1" s="270">
        <f>TZ1+1</f>
        <v>56</v>
      </c>
      <c r="UK1" s="1063" t="str">
        <f>UB1</f>
        <v>ENTRADA DEL MES DE OCTUBRE 2022</v>
      </c>
      <c r="UL1" s="1063"/>
      <c r="UM1" s="1063"/>
      <c r="UN1" s="1063"/>
      <c r="UO1" s="1063"/>
      <c r="UP1" s="1063"/>
      <c r="UQ1" s="1063"/>
      <c r="UR1" s="270">
        <f>UI1+1</f>
        <v>57</v>
      </c>
      <c r="UT1" s="1063" t="str">
        <f>UK1</f>
        <v>ENTRADA DEL MES DE OCTUBRE 2022</v>
      </c>
      <c r="UU1" s="1063"/>
      <c r="UV1" s="1063"/>
      <c r="UW1" s="1063"/>
      <c r="UX1" s="1063"/>
      <c r="UY1" s="1063"/>
      <c r="UZ1" s="1063"/>
      <c r="VA1" s="270">
        <f>UR1+1</f>
        <v>58</v>
      </c>
      <c r="VC1" s="1063" t="str">
        <f>UT1</f>
        <v>ENTRADA DEL MES DE OCTUBRE 2022</v>
      </c>
      <c r="VD1" s="1063"/>
      <c r="VE1" s="1063"/>
      <c r="VF1" s="1063"/>
      <c r="VG1" s="1063"/>
      <c r="VH1" s="1063"/>
      <c r="VI1" s="1063"/>
      <c r="VJ1" s="270">
        <f>VA1+1</f>
        <v>59</v>
      </c>
      <c r="VL1" s="1063" t="str">
        <f>VC1</f>
        <v>ENTRADA DEL MES DE OCTUBRE 2022</v>
      </c>
      <c r="VM1" s="1063"/>
      <c r="VN1" s="1063"/>
      <c r="VO1" s="1063"/>
      <c r="VP1" s="1063"/>
      <c r="VQ1" s="1063"/>
      <c r="VR1" s="1063"/>
      <c r="VS1" s="270">
        <f>VJ1+1</f>
        <v>60</v>
      </c>
      <c r="VU1" s="1063" t="str">
        <f>VL1</f>
        <v>ENTRADA DEL MES DE OCTUBRE 2022</v>
      </c>
      <c r="VV1" s="1063"/>
      <c r="VW1" s="1063"/>
      <c r="VX1" s="1063"/>
      <c r="VY1" s="1063"/>
      <c r="VZ1" s="1063"/>
      <c r="WA1" s="1063"/>
      <c r="WB1" s="270">
        <f>VS1+1</f>
        <v>61</v>
      </c>
      <c r="WD1" s="1063" t="str">
        <f>VU1</f>
        <v>ENTRADA DEL MES DE OCTUBRE 2022</v>
      </c>
      <c r="WE1" s="1063"/>
      <c r="WF1" s="1063"/>
      <c r="WG1" s="1063"/>
      <c r="WH1" s="1063"/>
      <c r="WI1" s="1063"/>
      <c r="WJ1" s="1063"/>
      <c r="WK1" s="270">
        <f>WB1+1</f>
        <v>62</v>
      </c>
      <c r="WM1" s="1063" t="str">
        <f>WD1</f>
        <v>ENTRADA DEL MES DE OCTUBRE 2022</v>
      </c>
      <c r="WN1" s="1063"/>
      <c r="WO1" s="1063"/>
      <c r="WP1" s="1063"/>
      <c r="WQ1" s="1063"/>
      <c r="WR1" s="1063"/>
      <c r="WS1" s="1063"/>
      <c r="WT1" s="270">
        <f>WK1+1</f>
        <v>63</v>
      </c>
      <c r="WV1" s="1063" t="str">
        <f>WM1</f>
        <v>ENTRADA DEL MES DE OCTUBRE 2022</v>
      </c>
      <c r="WW1" s="1063"/>
      <c r="WX1" s="1063"/>
      <c r="WY1" s="1063"/>
      <c r="WZ1" s="1063"/>
      <c r="XA1" s="1063"/>
      <c r="XB1" s="1063"/>
      <c r="XC1" s="270">
        <f>WT1+1</f>
        <v>64</v>
      </c>
      <c r="XE1" s="1063" t="str">
        <f>WV1</f>
        <v>ENTRADA DEL MES DE OCTUBRE 2022</v>
      </c>
      <c r="XF1" s="1063"/>
      <c r="XG1" s="1063"/>
      <c r="XH1" s="1063"/>
      <c r="XI1" s="1063"/>
      <c r="XJ1" s="1063"/>
      <c r="XK1" s="1063"/>
      <c r="XL1" s="270">
        <f>XC1+1</f>
        <v>65</v>
      </c>
      <c r="XN1" s="1063" t="str">
        <f>XE1</f>
        <v>ENTRADA DEL MES DE OCTUBRE 2022</v>
      </c>
      <c r="XO1" s="1063"/>
      <c r="XP1" s="1063"/>
      <c r="XQ1" s="1063"/>
      <c r="XR1" s="1063"/>
      <c r="XS1" s="1063"/>
      <c r="XT1" s="1063"/>
      <c r="XU1" s="270">
        <f>XL1+1</f>
        <v>66</v>
      </c>
      <c r="XW1" s="1063" t="str">
        <f>XN1</f>
        <v>ENTRADA DEL MES DE OCTUBRE 2022</v>
      </c>
      <c r="XX1" s="1063"/>
      <c r="XY1" s="1063"/>
      <c r="XZ1" s="1063"/>
      <c r="YA1" s="1063"/>
      <c r="YB1" s="1063"/>
      <c r="YC1" s="1063"/>
      <c r="YD1" s="270">
        <f>XU1+1</f>
        <v>67</v>
      </c>
      <c r="YF1" s="1063" t="str">
        <f>XW1</f>
        <v>ENTRADA DEL MES DE OCTUBRE 2022</v>
      </c>
      <c r="YG1" s="1063"/>
      <c r="YH1" s="1063"/>
      <c r="YI1" s="1063"/>
      <c r="YJ1" s="1063"/>
      <c r="YK1" s="1063"/>
      <c r="YL1" s="1063"/>
      <c r="YM1" s="270">
        <f>YD1+1</f>
        <v>68</v>
      </c>
      <c r="YO1" s="1063" t="str">
        <f>YF1</f>
        <v>ENTRADA DEL MES DE OCTUBRE 2022</v>
      </c>
      <c r="YP1" s="1063"/>
      <c r="YQ1" s="1063"/>
      <c r="YR1" s="1063"/>
      <c r="YS1" s="1063"/>
      <c r="YT1" s="1063"/>
      <c r="YU1" s="1063"/>
      <c r="YV1" s="270">
        <f>YM1+1</f>
        <v>69</v>
      </c>
      <c r="YX1" s="1063" t="str">
        <f>YO1</f>
        <v>ENTRADA DEL MES DE OCTUBRE 2022</v>
      </c>
      <c r="YY1" s="1063"/>
      <c r="YZ1" s="1063"/>
      <c r="ZA1" s="1063"/>
      <c r="ZB1" s="1063"/>
      <c r="ZC1" s="1063"/>
      <c r="ZD1" s="1063"/>
      <c r="ZE1" s="270">
        <f>YV1+1</f>
        <v>70</v>
      </c>
      <c r="ZG1" s="1063" t="str">
        <f>YX1</f>
        <v>ENTRADA DEL MES DE OCTUBRE 2022</v>
      </c>
      <c r="ZH1" s="1063"/>
      <c r="ZI1" s="1063"/>
      <c r="ZJ1" s="1063"/>
      <c r="ZK1" s="1063"/>
      <c r="ZL1" s="1063"/>
      <c r="ZM1" s="1063"/>
      <c r="ZN1" s="270">
        <f>ZE1+1</f>
        <v>71</v>
      </c>
      <c r="ZP1" s="1063" t="str">
        <f>ZG1</f>
        <v>ENTRADA DEL MES DE OCTUBRE 2022</v>
      </c>
      <c r="ZQ1" s="1063"/>
      <c r="ZR1" s="1063"/>
      <c r="ZS1" s="1063"/>
      <c r="ZT1" s="1063"/>
      <c r="ZU1" s="1063"/>
      <c r="ZV1" s="1063"/>
      <c r="ZW1" s="270">
        <f>ZN1+1</f>
        <v>72</v>
      </c>
      <c r="ZY1" s="1063" t="str">
        <f>ZP1</f>
        <v>ENTRADA DEL MES DE OCTUBRE 2022</v>
      </c>
      <c r="ZZ1" s="1063"/>
      <c r="AAA1" s="1063"/>
      <c r="AAB1" s="1063"/>
      <c r="AAC1" s="1063"/>
      <c r="AAD1" s="1063"/>
      <c r="AAE1" s="1063"/>
      <c r="AAF1" s="270">
        <f>ZW1+1</f>
        <v>73</v>
      </c>
      <c r="AAH1" s="1063" t="str">
        <f>ZY1</f>
        <v>ENTRADA DEL MES DE OCTUBRE 2022</v>
      </c>
      <c r="AAI1" s="1063"/>
      <c r="AAJ1" s="1063"/>
      <c r="AAK1" s="1063"/>
      <c r="AAL1" s="1063"/>
      <c r="AAM1" s="1063"/>
      <c r="AAN1" s="1063"/>
      <c r="AAO1" s="270">
        <f>AAF1+1</f>
        <v>74</v>
      </c>
      <c r="AAQ1" s="1063" t="str">
        <f>AAH1</f>
        <v>ENTRADA DEL MES DE OCTUBRE 2022</v>
      </c>
      <c r="AAR1" s="1063"/>
      <c r="AAS1" s="1063"/>
      <c r="AAT1" s="1063"/>
      <c r="AAU1" s="1063"/>
      <c r="AAV1" s="1063"/>
      <c r="AAW1" s="1063"/>
      <c r="AAX1" s="270">
        <f>AAO1+1</f>
        <v>75</v>
      </c>
      <c r="AAZ1" s="1063" t="str">
        <f>AAQ1</f>
        <v>ENTRADA DEL MES DE OCTUBRE 2022</v>
      </c>
      <c r="ABA1" s="1063"/>
      <c r="ABB1" s="1063"/>
      <c r="ABC1" s="1063"/>
      <c r="ABD1" s="1063"/>
      <c r="ABE1" s="1063"/>
      <c r="ABF1" s="1063"/>
      <c r="ABG1" s="270">
        <f>AAX1+1</f>
        <v>76</v>
      </c>
      <c r="ABI1" s="1063" t="str">
        <f>AAZ1</f>
        <v>ENTRADA DEL MES DE OCTUBRE 2022</v>
      </c>
      <c r="ABJ1" s="1063"/>
      <c r="ABK1" s="1063"/>
      <c r="ABL1" s="1063"/>
      <c r="ABM1" s="1063"/>
      <c r="ABN1" s="1063"/>
      <c r="ABO1" s="1063"/>
      <c r="ABP1" s="270">
        <f>ABG1+1</f>
        <v>77</v>
      </c>
      <c r="ABR1" s="1063" t="str">
        <f>ABI1</f>
        <v>ENTRADA DEL MES DE OCTUBRE 2022</v>
      </c>
      <c r="ABS1" s="1063"/>
      <c r="ABT1" s="1063"/>
      <c r="ABU1" s="1063"/>
      <c r="ABV1" s="1063"/>
      <c r="ABW1" s="1063"/>
      <c r="ABX1" s="1063"/>
      <c r="ABY1" s="270">
        <f>ABP1+1</f>
        <v>78</v>
      </c>
      <c r="ACA1" s="1063" t="str">
        <f>ABR1</f>
        <v>ENTRADA DEL MES DE OCTUBRE 2022</v>
      </c>
      <c r="ACB1" s="1063"/>
      <c r="ACC1" s="1063"/>
      <c r="ACD1" s="1063"/>
      <c r="ACE1" s="1063"/>
      <c r="ACF1" s="1063"/>
      <c r="ACG1" s="1063"/>
      <c r="ACH1" s="270">
        <f>ABY1+1</f>
        <v>79</v>
      </c>
      <c r="ACJ1" s="1063" t="str">
        <f>ACA1</f>
        <v>ENTRADA DEL MES DE OCTUBRE 2022</v>
      </c>
      <c r="ACK1" s="1063"/>
      <c r="ACL1" s="1063"/>
      <c r="ACM1" s="1063"/>
      <c r="ACN1" s="1063"/>
      <c r="ACO1" s="1063"/>
      <c r="ACP1" s="1063"/>
      <c r="ACQ1" s="270">
        <f>ACH1+1</f>
        <v>80</v>
      </c>
      <c r="ACS1" s="1063" t="str">
        <f>ACJ1</f>
        <v>ENTRADA DEL MES DE OCTUBRE 2022</v>
      </c>
      <c r="ACT1" s="1063"/>
      <c r="ACU1" s="1063"/>
      <c r="ACV1" s="1063"/>
      <c r="ACW1" s="1063"/>
      <c r="ACX1" s="1063"/>
      <c r="ACY1" s="1063"/>
      <c r="ACZ1" s="270">
        <f>ACQ1+1</f>
        <v>81</v>
      </c>
      <c r="ADB1" s="1063" t="str">
        <f>ACS1</f>
        <v>ENTRADA DEL MES DE OCTUBRE 2022</v>
      </c>
      <c r="ADC1" s="1063"/>
      <c r="ADD1" s="1063"/>
      <c r="ADE1" s="1063"/>
      <c r="ADF1" s="1063"/>
      <c r="ADG1" s="1063"/>
      <c r="ADH1" s="1063"/>
      <c r="ADI1" s="270">
        <f>ACZ1+1</f>
        <v>82</v>
      </c>
      <c r="ADK1" s="1063" t="str">
        <f>ADB1</f>
        <v>ENTRADA DEL MES DE OCTUBRE 2022</v>
      </c>
      <c r="ADL1" s="1063"/>
      <c r="ADM1" s="1063"/>
      <c r="ADN1" s="1063"/>
      <c r="ADO1" s="1063"/>
      <c r="ADP1" s="1063"/>
      <c r="ADQ1" s="1063"/>
      <c r="ADR1" s="270">
        <f>ADI1+1</f>
        <v>83</v>
      </c>
      <c r="ADT1" s="1063" t="str">
        <f>ADK1</f>
        <v>ENTRADA DEL MES DE OCTUBRE 2022</v>
      </c>
      <c r="ADU1" s="1063"/>
      <c r="ADV1" s="1063"/>
      <c r="ADW1" s="1063"/>
      <c r="ADX1" s="1063"/>
      <c r="ADY1" s="1063"/>
      <c r="ADZ1" s="1063"/>
      <c r="AEA1" s="270">
        <f>ADR1+1</f>
        <v>84</v>
      </c>
      <c r="AEC1" s="1063" t="str">
        <f>ADT1</f>
        <v>ENTRADA DEL MES DE OCTUBRE 2022</v>
      </c>
      <c r="AED1" s="1063"/>
      <c r="AEE1" s="1063"/>
      <c r="AEF1" s="1063"/>
      <c r="AEG1" s="1063"/>
      <c r="AEH1" s="1063"/>
      <c r="AEI1" s="1063"/>
      <c r="AEJ1" s="270">
        <f>AEA1+1</f>
        <v>85</v>
      </c>
      <c r="AEL1" s="1063" t="str">
        <f>AEC1</f>
        <v>ENTRADA DEL MES DE OCTUBRE 2022</v>
      </c>
      <c r="AEM1" s="1063"/>
      <c r="AEN1" s="1063"/>
      <c r="AEO1" s="1063"/>
      <c r="AEP1" s="1063"/>
      <c r="AEQ1" s="1063"/>
      <c r="AER1" s="1063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276</v>
      </c>
      <c r="L5" s="895" t="s">
        <v>277</v>
      </c>
      <c r="M5" s="785" t="s">
        <v>278</v>
      </c>
      <c r="N5" s="786">
        <v>44838</v>
      </c>
      <c r="O5" s="787">
        <v>18696.48</v>
      </c>
      <c r="P5" s="784">
        <v>20</v>
      </c>
      <c r="Q5" s="553">
        <v>18730.080000000002</v>
      </c>
      <c r="R5" s="138">
        <f>O5-Q5</f>
        <v>-33.600000000002183</v>
      </c>
      <c r="S5" s="405"/>
      <c r="U5" s="783" t="s">
        <v>279</v>
      </c>
      <c r="V5" s="896" t="s">
        <v>280</v>
      </c>
      <c r="W5" s="785" t="s">
        <v>281</v>
      </c>
      <c r="X5" s="786">
        <v>44838</v>
      </c>
      <c r="Y5" s="787">
        <v>18828.52</v>
      </c>
      <c r="Z5" s="784">
        <v>21</v>
      </c>
      <c r="AA5" s="553">
        <v>18882</v>
      </c>
      <c r="AB5" s="138">
        <f>Y5-AA5</f>
        <v>-53.479999999999563</v>
      </c>
      <c r="AC5" s="405"/>
      <c r="AE5" s="783" t="s">
        <v>279</v>
      </c>
      <c r="AF5" s="896" t="s">
        <v>280</v>
      </c>
      <c r="AG5" s="785" t="s">
        <v>282</v>
      </c>
      <c r="AH5" s="789">
        <v>44838</v>
      </c>
      <c r="AI5" s="787">
        <v>18725.03</v>
      </c>
      <c r="AJ5" s="784">
        <v>21</v>
      </c>
      <c r="AK5" s="553">
        <v>18710.599999999999</v>
      </c>
      <c r="AL5" s="138">
        <f>AI5-AK5</f>
        <v>14.430000000000291</v>
      </c>
      <c r="AM5" s="405"/>
      <c r="AN5" s="75" t="s">
        <v>41</v>
      </c>
      <c r="AO5" s="790" t="s">
        <v>276</v>
      </c>
      <c r="AP5" s="895" t="s">
        <v>277</v>
      </c>
      <c r="AQ5" s="791" t="s">
        <v>283</v>
      </c>
      <c r="AR5" s="786">
        <v>44839</v>
      </c>
      <c r="AS5" s="787">
        <v>18386.240000000002</v>
      </c>
      <c r="AT5" s="784">
        <v>20</v>
      </c>
      <c r="AU5" s="553">
        <v>18457.490000000002</v>
      </c>
      <c r="AV5" s="138">
        <f>AS5-AU5</f>
        <v>-71.25</v>
      </c>
      <c r="AW5" s="405"/>
      <c r="AY5" s="790" t="s">
        <v>279</v>
      </c>
      <c r="AZ5" s="896" t="s">
        <v>284</v>
      </c>
      <c r="BA5" s="791" t="s">
        <v>285</v>
      </c>
      <c r="BB5" s="786">
        <v>44840</v>
      </c>
      <c r="BC5" s="787">
        <v>18990.62</v>
      </c>
      <c r="BD5" s="784">
        <v>21</v>
      </c>
      <c r="BE5" s="553">
        <v>19065.3</v>
      </c>
      <c r="BF5" s="138">
        <f>BC5-BE5</f>
        <v>-74.680000000000291</v>
      </c>
      <c r="BG5" s="405"/>
      <c r="BI5" s="1066" t="s">
        <v>279</v>
      </c>
      <c r="BJ5" s="897" t="s">
        <v>280</v>
      </c>
      <c r="BK5" s="791" t="s">
        <v>288</v>
      </c>
      <c r="BL5" s="789">
        <v>44841</v>
      </c>
      <c r="BM5" s="787">
        <v>18628.8</v>
      </c>
      <c r="BN5" s="784">
        <v>21</v>
      </c>
      <c r="BO5" s="553">
        <v>18643.5</v>
      </c>
      <c r="BP5" s="138">
        <f>BM5-BO5</f>
        <v>-14.700000000000728</v>
      </c>
      <c r="BQ5" s="405"/>
      <c r="BS5" s="1065" t="s">
        <v>276</v>
      </c>
      <c r="BT5" s="928" t="s">
        <v>277</v>
      </c>
      <c r="BU5" s="791" t="s">
        <v>320</v>
      </c>
      <c r="BV5" s="786">
        <v>44845</v>
      </c>
      <c r="BW5" s="787">
        <v>18440.98</v>
      </c>
      <c r="BX5" s="784">
        <v>20</v>
      </c>
      <c r="BY5" s="553">
        <v>18514.62</v>
      </c>
      <c r="BZ5" s="138">
        <f>BW5-BY5</f>
        <v>-73.639999999999418</v>
      </c>
      <c r="CA5" s="245"/>
      <c r="CB5" s="245"/>
      <c r="CC5" s="783" t="s">
        <v>279</v>
      </c>
      <c r="CD5" s="927" t="s">
        <v>280</v>
      </c>
      <c r="CE5" s="791" t="s">
        <v>321</v>
      </c>
      <c r="CF5" s="786">
        <v>44846</v>
      </c>
      <c r="CG5" s="787">
        <v>19100.54</v>
      </c>
      <c r="CH5" s="784">
        <v>21</v>
      </c>
      <c r="CI5" s="553">
        <v>19233.900000000001</v>
      </c>
      <c r="CJ5" s="138">
        <f>CG5-CI5</f>
        <v>-133.36000000000058</v>
      </c>
      <c r="CK5" s="245"/>
      <c r="CL5" s="245"/>
      <c r="CM5" s="1066" t="s">
        <v>279</v>
      </c>
      <c r="CN5" s="929" t="s">
        <v>280</v>
      </c>
      <c r="CO5" s="785" t="s">
        <v>322</v>
      </c>
      <c r="CP5" s="786">
        <v>44846</v>
      </c>
      <c r="CQ5" s="787">
        <v>18667.43</v>
      </c>
      <c r="CR5" s="784">
        <v>21</v>
      </c>
      <c r="CS5" s="553">
        <v>18738.099999999999</v>
      </c>
      <c r="CT5" s="138">
        <f>CQ5-CS5</f>
        <v>-70.669999999998254</v>
      </c>
      <c r="CU5" s="405"/>
      <c r="CW5" s="783" t="s">
        <v>279</v>
      </c>
      <c r="CX5" s="896" t="s">
        <v>280</v>
      </c>
      <c r="CY5" s="785" t="s">
        <v>323</v>
      </c>
      <c r="CZ5" s="786">
        <v>44847</v>
      </c>
      <c r="DA5" s="787">
        <v>18939.02</v>
      </c>
      <c r="DB5" s="784">
        <v>21</v>
      </c>
      <c r="DC5" s="788">
        <v>18979.2</v>
      </c>
      <c r="DD5" s="138">
        <f>DA5-DC5</f>
        <v>-40.180000000000291</v>
      </c>
      <c r="DE5" s="405"/>
      <c r="DG5" s="75" t="s">
        <v>279</v>
      </c>
      <c r="DH5" s="927" t="s">
        <v>280</v>
      </c>
      <c r="DI5" s="791" t="s">
        <v>324</v>
      </c>
      <c r="DJ5" s="786">
        <v>44847</v>
      </c>
      <c r="DK5" s="787">
        <v>18969.060000000001</v>
      </c>
      <c r="DL5" s="784">
        <v>21</v>
      </c>
      <c r="DM5" s="553">
        <v>19045.099999999999</v>
      </c>
      <c r="DN5" s="138">
        <f>DK5-DM5</f>
        <v>-76.039999999997235</v>
      </c>
      <c r="DO5" s="405"/>
      <c r="DQ5" s="1068" t="s">
        <v>279</v>
      </c>
      <c r="DR5" s="927" t="s">
        <v>280</v>
      </c>
      <c r="DS5" s="791" t="s">
        <v>325</v>
      </c>
      <c r="DT5" s="786">
        <v>44848</v>
      </c>
      <c r="DU5" s="787">
        <v>18949.18</v>
      </c>
      <c r="DV5" s="784">
        <v>21</v>
      </c>
      <c r="DW5" s="553">
        <v>19005.400000000001</v>
      </c>
      <c r="DX5" s="138">
        <f>DU5-DW5</f>
        <v>-56.220000000001164</v>
      </c>
      <c r="DY5" s="245"/>
      <c r="EA5" s="790" t="s">
        <v>326</v>
      </c>
      <c r="EB5" s="895" t="s">
        <v>327</v>
      </c>
      <c r="EC5" s="791" t="s">
        <v>328</v>
      </c>
      <c r="ED5" s="786">
        <v>44848</v>
      </c>
      <c r="EE5" s="787">
        <v>19065.310000000001</v>
      </c>
      <c r="EF5" s="784">
        <v>20</v>
      </c>
      <c r="EG5" s="553">
        <v>19123.7</v>
      </c>
      <c r="EH5" s="138">
        <f>EE5-EG5</f>
        <v>-58.389999999999418</v>
      </c>
      <c r="EI5" s="405"/>
      <c r="EJ5" s="75" t="s">
        <v>49</v>
      </c>
      <c r="EK5" s="790" t="s">
        <v>279</v>
      </c>
      <c r="EL5" s="896" t="s">
        <v>280</v>
      </c>
      <c r="EM5" s="791" t="s">
        <v>353</v>
      </c>
      <c r="EN5" s="786">
        <v>44852</v>
      </c>
      <c r="EO5" s="787">
        <v>18989.669999999998</v>
      </c>
      <c r="EP5" s="784">
        <v>21</v>
      </c>
      <c r="EQ5" s="553">
        <v>18968.7</v>
      </c>
      <c r="ER5" s="138">
        <f>EO5-EQ5</f>
        <v>20.969999999997526</v>
      </c>
      <c r="ES5" s="405"/>
      <c r="ET5" s="75" t="s">
        <v>49</v>
      </c>
      <c r="EU5" s="783" t="s">
        <v>326</v>
      </c>
      <c r="EV5" s="895" t="s">
        <v>277</v>
      </c>
      <c r="EW5" s="785" t="s">
        <v>354</v>
      </c>
      <c r="EX5" s="786">
        <v>44852</v>
      </c>
      <c r="EY5" s="787">
        <v>18705.12</v>
      </c>
      <c r="EZ5" s="784">
        <v>20</v>
      </c>
      <c r="FA5" s="968">
        <v>18721.02</v>
      </c>
      <c r="FB5" s="138">
        <f>EY5-FA5</f>
        <v>-15.900000000001455</v>
      </c>
      <c r="FC5" s="405"/>
      <c r="FE5" s="790" t="s">
        <v>355</v>
      </c>
      <c r="FF5" s="895" t="s">
        <v>277</v>
      </c>
      <c r="FG5" s="791" t="s">
        <v>356</v>
      </c>
      <c r="FH5" s="786">
        <v>44853</v>
      </c>
      <c r="FI5" s="787">
        <v>18392.509999999998</v>
      </c>
      <c r="FJ5" s="784">
        <v>20</v>
      </c>
      <c r="FK5" s="968">
        <v>18468.36</v>
      </c>
      <c r="FL5" s="138">
        <f>FI5-FK5</f>
        <v>-75.850000000002183</v>
      </c>
      <c r="FM5" s="405"/>
      <c r="FO5" s="799" t="s">
        <v>279</v>
      </c>
      <c r="FP5" s="896" t="s">
        <v>280</v>
      </c>
      <c r="FQ5" s="791" t="s">
        <v>357</v>
      </c>
      <c r="FR5" s="786">
        <v>44854</v>
      </c>
      <c r="FS5" s="787">
        <v>19018.57</v>
      </c>
      <c r="FT5" s="784">
        <v>21</v>
      </c>
      <c r="FU5" s="553">
        <v>18971.8</v>
      </c>
      <c r="FV5" s="138">
        <f>FS5-FU5</f>
        <v>46.770000000000437</v>
      </c>
      <c r="FW5" s="405"/>
      <c r="FY5" s="783" t="s">
        <v>279</v>
      </c>
      <c r="FZ5" s="896" t="s">
        <v>280</v>
      </c>
      <c r="GA5" s="785" t="s">
        <v>358</v>
      </c>
      <c r="GB5" s="786">
        <v>44854</v>
      </c>
      <c r="GC5" s="787">
        <v>18726.77</v>
      </c>
      <c r="GD5" s="784">
        <v>21</v>
      </c>
      <c r="GE5" s="553">
        <v>18714.2</v>
      </c>
      <c r="GF5" s="138">
        <f>GC5-GE5</f>
        <v>12.569999999999709</v>
      </c>
      <c r="GG5" s="405"/>
      <c r="GI5" s="939" t="s">
        <v>279</v>
      </c>
      <c r="GJ5" s="896" t="s">
        <v>280</v>
      </c>
      <c r="GK5" s="791" t="s">
        <v>359</v>
      </c>
      <c r="GL5" s="789">
        <v>44855</v>
      </c>
      <c r="GM5" s="787">
        <v>19138.55</v>
      </c>
      <c r="GN5" s="784">
        <v>21</v>
      </c>
      <c r="GO5" s="553">
        <v>19147.7</v>
      </c>
      <c r="GP5" s="138">
        <f>GM5-GO5</f>
        <v>-9.1500000000014552</v>
      </c>
      <c r="GQ5" s="405"/>
      <c r="GS5" s="1066" t="s">
        <v>279</v>
      </c>
      <c r="GT5" s="896" t="s">
        <v>280</v>
      </c>
      <c r="GU5" s="784" t="s">
        <v>360</v>
      </c>
      <c r="GV5" s="789">
        <v>44856</v>
      </c>
      <c r="GW5" s="787">
        <v>18739.82</v>
      </c>
      <c r="GX5" s="784">
        <v>21</v>
      </c>
      <c r="GY5" s="553">
        <v>18825.7</v>
      </c>
      <c r="GZ5" s="138">
        <f>GW5-GY5</f>
        <v>-85.880000000001019</v>
      </c>
      <c r="HA5" s="405"/>
      <c r="HC5" s="1065" t="s">
        <v>326</v>
      </c>
      <c r="HD5" s="895" t="s">
        <v>277</v>
      </c>
      <c r="HE5" s="791" t="s">
        <v>377</v>
      </c>
      <c r="HF5" s="789">
        <v>44859</v>
      </c>
      <c r="HG5" s="787">
        <v>18420.43</v>
      </c>
      <c r="HH5" s="784">
        <v>20</v>
      </c>
      <c r="HI5" s="553">
        <v>18465.62</v>
      </c>
      <c r="HJ5" s="138">
        <f>HG5-HI5</f>
        <v>-45.18999999999869</v>
      </c>
      <c r="HK5" s="405"/>
      <c r="HM5" s="790" t="s">
        <v>279</v>
      </c>
      <c r="HN5" s="896" t="s">
        <v>280</v>
      </c>
      <c r="HO5" s="791" t="s">
        <v>378</v>
      </c>
      <c r="HP5" s="786">
        <v>44859</v>
      </c>
      <c r="HQ5" s="787">
        <v>19176.580000000002</v>
      </c>
      <c r="HR5" s="784">
        <v>21</v>
      </c>
      <c r="HS5" s="968">
        <v>19165.599999999999</v>
      </c>
      <c r="HT5" s="138">
        <f>HQ5-HS5</f>
        <v>10.980000000003201</v>
      </c>
      <c r="HU5" s="405"/>
      <c r="HW5" s="1066" t="s">
        <v>326</v>
      </c>
      <c r="HX5" s="895" t="s">
        <v>277</v>
      </c>
      <c r="HY5" s="791" t="s">
        <v>379</v>
      </c>
      <c r="HZ5" s="786">
        <v>44860</v>
      </c>
      <c r="IA5" s="787">
        <v>18182.7</v>
      </c>
      <c r="IB5" s="784">
        <v>20</v>
      </c>
      <c r="IC5" s="553">
        <v>18197.580000000002</v>
      </c>
      <c r="ID5" s="138">
        <f>IA5-IC5</f>
        <v>-14.880000000001019</v>
      </c>
      <c r="IE5" s="405"/>
      <c r="IG5" s="1066" t="s">
        <v>279</v>
      </c>
      <c r="IH5" s="896" t="s">
        <v>280</v>
      </c>
      <c r="II5" s="791" t="s">
        <v>380</v>
      </c>
      <c r="IJ5" s="786">
        <v>44861</v>
      </c>
      <c r="IK5" s="787">
        <v>18661.2</v>
      </c>
      <c r="IL5" s="784">
        <v>21</v>
      </c>
      <c r="IM5" s="553">
        <v>18715</v>
      </c>
      <c r="IN5" s="138">
        <f>IK5-IM5</f>
        <v>-53.799999999999272</v>
      </c>
      <c r="IO5" s="405"/>
      <c r="IQ5" s="1066" t="s">
        <v>279</v>
      </c>
      <c r="IR5" s="949" t="s">
        <v>280</v>
      </c>
      <c r="IS5" s="785" t="s">
        <v>381</v>
      </c>
      <c r="IT5" s="789">
        <v>44861</v>
      </c>
      <c r="IU5" s="787">
        <v>18919.16</v>
      </c>
      <c r="IV5" s="784">
        <v>21</v>
      </c>
      <c r="IW5" s="553">
        <v>19140.8</v>
      </c>
      <c r="IX5" s="138">
        <f>IU5-IW5</f>
        <v>-221.63999999999942</v>
      </c>
      <c r="IY5" s="405"/>
      <c r="JA5" s="790" t="s">
        <v>279</v>
      </c>
      <c r="JB5" s="896" t="s">
        <v>280</v>
      </c>
      <c r="JC5" s="785" t="s">
        <v>382</v>
      </c>
      <c r="JD5" s="786">
        <v>44863</v>
      </c>
      <c r="JE5" s="787">
        <v>18698.47</v>
      </c>
      <c r="JF5" s="784">
        <v>21</v>
      </c>
      <c r="JG5" s="553">
        <v>18840.7</v>
      </c>
      <c r="JH5" s="138">
        <f>JE5-JG5</f>
        <v>-142.22999999999956</v>
      </c>
      <c r="JI5" s="405"/>
      <c r="JK5" s="1068"/>
      <c r="JL5" s="801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1067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1066"/>
      <c r="BJ6" s="793"/>
      <c r="BK6" s="790"/>
      <c r="BL6" s="790"/>
      <c r="BM6" s="790"/>
      <c r="BN6" s="790"/>
      <c r="BO6" s="784"/>
      <c r="BQ6" s="245"/>
      <c r="BS6" s="1065"/>
      <c r="BT6" s="794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1066"/>
      <c r="CN6" s="795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1068"/>
      <c r="DR6" s="794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40"/>
      <c r="GJ6" s="941"/>
      <c r="GK6" s="790"/>
      <c r="GL6" s="790"/>
      <c r="GM6" s="790"/>
      <c r="GN6" s="790"/>
      <c r="GO6" s="784"/>
      <c r="GQ6" s="245"/>
      <c r="GS6" s="1066"/>
      <c r="GT6" s="800"/>
      <c r="GU6" s="790"/>
      <c r="GV6" s="790"/>
      <c r="GW6" s="790"/>
      <c r="GX6" s="790"/>
      <c r="GY6" s="784"/>
      <c r="HA6" s="245"/>
      <c r="HC6" s="1065"/>
      <c r="HD6" s="794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1066"/>
      <c r="HX6" s="790"/>
      <c r="HY6" s="790"/>
      <c r="HZ6" s="790"/>
      <c r="IA6" s="790"/>
      <c r="IB6" s="790"/>
      <c r="IC6" s="784"/>
      <c r="IE6" s="245"/>
      <c r="IG6" s="1066"/>
      <c r="IH6" s="790"/>
      <c r="II6" s="790"/>
      <c r="IJ6" s="790"/>
      <c r="IK6" s="790"/>
      <c r="IL6" s="790"/>
      <c r="IM6" s="784"/>
      <c r="IO6" s="245"/>
      <c r="IQ6" s="1066"/>
      <c r="IR6" s="794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1068"/>
      <c r="JL6" s="794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1067"/>
      <c r="KF6" s="794"/>
      <c r="KG6" s="790"/>
      <c r="KH6" s="790"/>
      <c r="KI6" s="790"/>
      <c r="KJ6" s="790"/>
      <c r="KK6" s="784"/>
      <c r="KM6" s="245"/>
      <c r="KO6" s="783"/>
      <c r="KP6" s="794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>
        <v>44840</v>
      </c>
      <c r="P8" s="92">
        <v>948.91</v>
      </c>
      <c r="Q8" s="70" t="s">
        <v>432</v>
      </c>
      <c r="R8" s="71">
        <v>57</v>
      </c>
      <c r="S8" s="402">
        <f>R8*P8</f>
        <v>54087.869999999995</v>
      </c>
      <c r="U8" s="61"/>
      <c r="V8" s="106"/>
      <c r="W8" s="15">
        <v>1</v>
      </c>
      <c r="X8" s="92">
        <v>893.6</v>
      </c>
      <c r="Y8" s="254">
        <v>44838</v>
      </c>
      <c r="Z8" s="92">
        <v>893.6</v>
      </c>
      <c r="AA8" s="70" t="s">
        <v>419</v>
      </c>
      <c r="AB8" s="71">
        <v>57</v>
      </c>
      <c r="AC8" s="402">
        <f>AB8*Z8</f>
        <v>50935.200000000004</v>
      </c>
      <c r="AE8" s="61"/>
      <c r="AF8" s="106"/>
      <c r="AG8" s="15">
        <v>1</v>
      </c>
      <c r="AH8" s="92">
        <v>867.3</v>
      </c>
      <c r="AI8" s="246">
        <v>44838</v>
      </c>
      <c r="AJ8" s="92">
        <v>867.3</v>
      </c>
      <c r="AK8" s="95" t="s">
        <v>416</v>
      </c>
      <c r="AL8" s="71">
        <v>57</v>
      </c>
      <c r="AM8" s="402">
        <f>AL8*AJ8</f>
        <v>49436.1</v>
      </c>
      <c r="AO8" s="61"/>
      <c r="AP8" s="106"/>
      <c r="AQ8" s="15">
        <v>1</v>
      </c>
      <c r="AR8" s="92">
        <v>919.43</v>
      </c>
      <c r="AS8" s="246">
        <v>44839</v>
      </c>
      <c r="AT8" s="92">
        <v>919.43</v>
      </c>
      <c r="AU8" s="95" t="s">
        <v>423</v>
      </c>
      <c r="AV8" s="71">
        <v>57</v>
      </c>
      <c r="AW8" s="402">
        <f>AV8*AT8</f>
        <v>52407.509999999995</v>
      </c>
      <c r="AY8" s="61"/>
      <c r="AZ8" s="106"/>
      <c r="BA8" s="15">
        <v>1</v>
      </c>
      <c r="BB8" s="92">
        <v>925.3</v>
      </c>
      <c r="BC8" s="246">
        <v>44842</v>
      </c>
      <c r="BD8" s="92">
        <v>925.3</v>
      </c>
      <c r="BE8" s="95" t="s">
        <v>449</v>
      </c>
      <c r="BF8" s="71">
        <v>57</v>
      </c>
      <c r="BG8" s="402">
        <f>BF8*BD8</f>
        <v>52742.1</v>
      </c>
      <c r="BI8" s="61"/>
      <c r="BJ8" s="106"/>
      <c r="BK8" s="15">
        <v>1</v>
      </c>
      <c r="BL8" s="92">
        <v>889</v>
      </c>
      <c r="BM8" s="135">
        <v>44842</v>
      </c>
      <c r="BN8" s="92">
        <v>889</v>
      </c>
      <c r="BO8" s="95" t="s">
        <v>458</v>
      </c>
      <c r="BP8" s="290">
        <v>57</v>
      </c>
      <c r="BQ8" s="492">
        <f>BP8*BN8</f>
        <v>50673</v>
      </c>
      <c r="BR8" s="402"/>
      <c r="BS8" s="61"/>
      <c r="BT8" s="106"/>
      <c r="BU8" s="15">
        <v>1</v>
      </c>
      <c r="BV8" s="92">
        <v>928.5</v>
      </c>
      <c r="BW8" s="291">
        <v>44845</v>
      </c>
      <c r="BX8" s="92">
        <v>928.5</v>
      </c>
      <c r="BY8" s="607" t="s">
        <v>468</v>
      </c>
      <c r="BZ8" s="292">
        <v>57</v>
      </c>
      <c r="CA8" s="402">
        <f>BZ8*BX8</f>
        <v>52924.5</v>
      </c>
      <c r="CC8" s="61"/>
      <c r="CD8" s="214"/>
      <c r="CE8" s="15">
        <v>1</v>
      </c>
      <c r="CF8" s="92">
        <v>910.8</v>
      </c>
      <c r="CG8" s="291">
        <v>44846</v>
      </c>
      <c r="CH8" s="92">
        <v>910.8</v>
      </c>
      <c r="CI8" s="293" t="s">
        <v>475</v>
      </c>
      <c r="CJ8" s="292">
        <v>57</v>
      </c>
      <c r="CK8" s="402">
        <f>CJ8*CH8</f>
        <v>51915.6</v>
      </c>
      <c r="CM8" s="61"/>
      <c r="CN8" s="94"/>
      <c r="CO8" s="15">
        <v>1</v>
      </c>
      <c r="CP8" s="92">
        <v>903.1</v>
      </c>
      <c r="CQ8" s="291">
        <v>44847</v>
      </c>
      <c r="CR8" s="92">
        <v>903.1</v>
      </c>
      <c r="CS8" s="293" t="s">
        <v>491</v>
      </c>
      <c r="CT8" s="292">
        <v>58</v>
      </c>
      <c r="CU8" s="407">
        <f>CT8*CR8</f>
        <v>52379.8</v>
      </c>
      <c r="CW8" s="61"/>
      <c r="CX8" s="106"/>
      <c r="CY8" s="15">
        <v>1</v>
      </c>
      <c r="CZ8" s="92">
        <v>907.6</v>
      </c>
      <c r="DA8" s="246">
        <v>44847</v>
      </c>
      <c r="DB8" s="92">
        <v>907.6</v>
      </c>
      <c r="DC8" s="95" t="s">
        <v>488</v>
      </c>
      <c r="DD8" s="71">
        <v>58</v>
      </c>
      <c r="DE8" s="402">
        <f>DD8*DB8</f>
        <v>52640.800000000003</v>
      </c>
      <c r="DG8" s="61"/>
      <c r="DH8" s="106"/>
      <c r="DI8" s="15">
        <v>1</v>
      </c>
      <c r="DJ8" s="768">
        <v>896.3</v>
      </c>
      <c r="DK8" s="796">
        <v>44849</v>
      </c>
      <c r="DL8" s="768">
        <v>896.3</v>
      </c>
      <c r="DM8" s="797" t="s">
        <v>501</v>
      </c>
      <c r="DN8" s="798">
        <v>59</v>
      </c>
      <c r="DO8" s="407">
        <f>DN8*DL8</f>
        <v>52881.7</v>
      </c>
      <c r="DQ8" s="61"/>
      <c r="DR8" s="106"/>
      <c r="DS8" s="15">
        <v>1</v>
      </c>
      <c r="DT8" s="92">
        <v>904.5</v>
      </c>
      <c r="DU8" s="291">
        <v>44849</v>
      </c>
      <c r="DV8" s="92">
        <v>904.5</v>
      </c>
      <c r="DW8" s="293" t="s">
        <v>503</v>
      </c>
      <c r="DX8" s="292">
        <v>59</v>
      </c>
      <c r="DY8" s="402">
        <f>DX8*DV8</f>
        <v>53365.5</v>
      </c>
      <c r="EA8" s="61"/>
      <c r="EB8" s="106"/>
      <c r="EC8" s="15">
        <v>1</v>
      </c>
      <c r="ED8" s="92">
        <v>975.22</v>
      </c>
      <c r="EE8" s="254">
        <v>44848</v>
      </c>
      <c r="EF8" s="92">
        <v>975.22</v>
      </c>
      <c r="EG8" s="70" t="s">
        <v>497</v>
      </c>
      <c r="EH8" s="71">
        <v>59</v>
      </c>
      <c r="EI8" s="402">
        <f>EH8*EF8</f>
        <v>57537.98</v>
      </c>
      <c r="EK8" s="61"/>
      <c r="EL8" s="106"/>
      <c r="EM8" s="15">
        <v>1</v>
      </c>
      <c r="EN8" s="92">
        <v>868.2</v>
      </c>
      <c r="EO8" s="254">
        <v>44853</v>
      </c>
      <c r="EP8" s="92">
        <v>868.2</v>
      </c>
      <c r="EQ8" s="70" t="s">
        <v>518</v>
      </c>
      <c r="ER8" s="71">
        <v>60</v>
      </c>
      <c r="ES8" s="402">
        <f>ER8*EP8</f>
        <v>52092</v>
      </c>
      <c r="EU8" s="61"/>
      <c r="EV8" s="333"/>
      <c r="EW8" s="15">
        <v>1</v>
      </c>
      <c r="EX8" s="92">
        <v>943.92</v>
      </c>
      <c r="EY8" s="246">
        <v>44852</v>
      </c>
      <c r="EZ8" s="92">
        <v>943.92</v>
      </c>
      <c r="FA8" s="70" t="s">
        <v>513</v>
      </c>
      <c r="FB8" s="71">
        <v>60</v>
      </c>
      <c r="FC8" s="402">
        <f>FB8*EZ8</f>
        <v>56635.199999999997</v>
      </c>
      <c r="FE8" s="61"/>
      <c r="FF8" s="333"/>
      <c r="FG8" s="15">
        <v>1</v>
      </c>
      <c r="FH8" s="92">
        <v>913.53</v>
      </c>
      <c r="FI8" s="246">
        <v>44854</v>
      </c>
      <c r="FJ8" s="92">
        <v>913.53</v>
      </c>
      <c r="FK8" s="70" t="s">
        <v>532</v>
      </c>
      <c r="FL8" s="71">
        <v>60</v>
      </c>
      <c r="FM8" s="245">
        <f>FL8*FJ8</f>
        <v>54811.799999999996</v>
      </c>
      <c r="FO8" s="61"/>
      <c r="FP8" s="106"/>
      <c r="FQ8" s="15">
        <v>1</v>
      </c>
      <c r="FR8" s="92">
        <v>902.6</v>
      </c>
      <c r="FS8" s="246">
        <v>44854</v>
      </c>
      <c r="FT8" s="92">
        <v>902.6</v>
      </c>
      <c r="FU8" s="70" t="s">
        <v>521</v>
      </c>
      <c r="FV8" s="71">
        <v>60</v>
      </c>
      <c r="FW8" s="402">
        <f>FV8*FT8</f>
        <v>54156</v>
      </c>
      <c r="FY8" s="61"/>
      <c r="FZ8" s="106"/>
      <c r="GA8" s="15">
        <v>1</v>
      </c>
      <c r="GB8" s="92">
        <v>908.1</v>
      </c>
      <c r="GC8" s="254">
        <v>44854</v>
      </c>
      <c r="GD8" s="92">
        <v>908.1</v>
      </c>
      <c r="GE8" s="70" t="s">
        <v>525</v>
      </c>
      <c r="GF8" s="71">
        <v>60</v>
      </c>
      <c r="GG8" s="245">
        <f>GF8*GD8</f>
        <v>54486</v>
      </c>
      <c r="GI8" s="61"/>
      <c r="GJ8" s="106"/>
      <c r="GK8" s="15">
        <v>1</v>
      </c>
      <c r="GL8" s="358">
        <v>928</v>
      </c>
      <c r="GM8" s="246">
        <v>44855</v>
      </c>
      <c r="GN8" s="358">
        <v>928</v>
      </c>
      <c r="GO8" s="95" t="s">
        <v>538</v>
      </c>
      <c r="GP8" s="71">
        <v>60</v>
      </c>
      <c r="GQ8" s="402">
        <f>GP8*GN8</f>
        <v>55680</v>
      </c>
      <c r="GS8" s="61"/>
      <c r="GT8" s="106"/>
      <c r="GU8" s="15">
        <v>1</v>
      </c>
      <c r="GV8" s="92">
        <v>897.2</v>
      </c>
      <c r="GW8" s="246">
        <v>44858</v>
      </c>
      <c r="GX8" s="92">
        <v>897.2</v>
      </c>
      <c r="GY8" s="95" t="s">
        <v>546</v>
      </c>
      <c r="GZ8" s="71">
        <v>60</v>
      </c>
      <c r="HA8" s="402">
        <f>GZ8*GX8</f>
        <v>53832</v>
      </c>
      <c r="HC8" s="61"/>
      <c r="HD8" s="106"/>
      <c r="HE8" s="15">
        <v>1</v>
      </c>
      <c r="HF8" s="92">
        <v>942.56</v>
      </c>
      <c r="HG8" s="246">
        <v>44859</v>
      </c>
      <c r="HH8" s="92">
        <v>942.56</v>
      </c>
      <c r="HI8" s="95" t="s">
        <v>552</v>
      </c>
      <c r="HJ8" s="71">
        <v>56</v>
      </c>
      <c r="HK8" s="402">
        <f>HJ8*HH8</f>
        <v>52783.360000000001</v>
      </c>
      <c r="HM8" s="61"/>
      <c r="HN8" s="106"/>
      <c r="HO8" s="15">
        <v>1</v>
      </c>
      <c r="HP8" s="92">
        <v>873.6</v>
      </c>
      <c r="HQ8" s="246">
        <v>44859</v>
      </c>
      <c r="HR8" s="92">
        <v>873.6</v>
      </c>
      <c r="HS8" s="294" t="s">
        <v>554</v>
      </c>
      <c r="HT8" s="71">
        <v>56</v>
      </c>
      <c r="HU8" s="402">
        <f>HT8*HR8</f>
        <v>48921.599999999999</v>
      </c>
      <c r="HW8" s="61"/>
      <c r="HX8" s="106"/>
      <c r="HY8" s="15">
        <v>1</v>
      </c>
      <c r="HZ8" s="92">
        <v>922.15</v>
      </c>
      <c r="IA8" s="254">
        <v>44860</v>
      </c>
      <c r="IB8" s="92">
        <v>922.15</v>
      </c>
      <c r="IC8" s="70" t="s">
        <v>565</v>
      </c>
      <c r="ID8" s="71">
        <v>56</v>
      </c>
      <c r="IE8" s="402">
        <f t="shared" ref="IE8:IE28" si="5">ID8*IB8</f>
        <v>51640.4</v>
      </c>
      <c r="IG8" s="61"/>
      <c r="IH8" s="106"/>
      <c r="II8" s="15">
        <v>1</v>
      </c>
      <c r="IJ8" s="92">
        <v>880</v>
      </c>
      <c r="IK8" s="254">
        <v>44862</v>
      </c>
      <c r="IL8" s="92">
        <v>880</v>
      </c>
      <c r="IM8" s="70" t="s">
        <v>577</v>
      </c>
      <c r="IN8" s="71">
        <v>56</v>
      </c>
      <c r="IO8" s="402">
        <f>IN8*IL8</f>
        <v>49280</v>
      </c>
      <c r="IQ8" s="497"/>
      <c r="IR8" s="106"/>
      <c r="IS8" s="15">
        <v>1</v>
      </c>
      <c r="IT8" s="92">
        <v>938</v>
      </c>
      <c r="IU8" s="135">
        <v>44863</v>
      </c>
      <c r="IV8" s="92">
        <v>938</v>
      </c>
      <c r="IW8" s="370" t="s">
        <v>583</v>
      </c>
      <c r="IX8" s="71">
        <v>56</v>
      </c>
      <c r="IY8" s="245">
        <f>IX8*IV8</f>
        <v>52528</v>
      </c>
      <c r="IZ8" s="92"/>
      <c r="JA8" s="61"/>
      <c r="JB8" s="106"/>
      <c r="JC8" s="15">
        <v>1</v>
      </c>
      <c r="JD8" s="92">
        <v>901.7</v>
      </c>
      <c r="JE8" s="254">
        <v>44863</v>
      </c>
      <c r="JF8" s="92">
        <v>901.7</v>
      </c>
      <c r="JG8" s="70" t="s">
        <v>581</v>
      </c>
      <c r="JH8" s="71">
        <v>56</v>
      </c>
      <c r="JI8" s="402">
        <f>JH8*JF8</f>
        <v>50495.200000000004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>
        <v>44840</v>
      </c>
      <c r="P9" s="69">
        <v>928.95</v>
      </c>
      <c r="Q9" s="70" t="s">
        <v>432</v>
      </c>
      <c r="R9" s="71">
        <v>57</v>
      </c>
      <c r="S9" s="402">
        <f t="shared" ref="S9:S28" si="7">R9*P9</f>
        <v>52950.15</v>
      </c>
      <c r="V9" s="106"/>
      <c r="W9" s="15">
        <v>2</v>
      </c>
      <c r="X9" s="69">
        <v>891.8</v>
      </c>
      <c r="Y9" s="254">
        <v>44838</v>
      </c>
      <c r="Z9" s="69">
        <v>891.8</v>
      </c>
      <c r="AA9" s="70" t="s">
        <v>419</v>
      </c>
      <c r="AB9" s="71">
        <v>57</v>
      </c>
      <c r="AC9" s="402">
        <f t="shared" ref="AC9:AC28" si="8">AB9*Z9</f>
        <v>50832.6</v>
      </c>
      <c r="AF9" s="94"/>
      <c r="AG9" s="15">
        <v>2</v>
      </c>
      <c r="AH9" s="92">
        <v>934.4</v>
      </c>
      <c r="AI9" s="246">
        <v>44838</v>
      </c>
      <c r="AJ9" s="92">
        <v>934.4</v>
      </c>
      <c r="AK9" s="95" t="s">
        <v>416</v>
      </c>
      <c r="AL9" s="71">
        <v>57</v>
      </c>
      <c r="AM9" s="402">
        <f t="shared" ref="AM9:AM28" si="9">AL9*AJ9</f>
        <v>53260.799999999996</v>
      </c>
      <c r="AP9" s="94"/>
      <c r="AQ9" s="15">
        <v>2</v>
      </c>
      <c r="AR9" s="92">
        <v>918.52</v>
      </c>
      <c r="AS9" s="246">
        <v>44839</v>
      </c>
      <c r="AT9" s="92">
        <v>918.52</v>
      </c>
      <c r="AU9" s="95" t="s">
        <v>423</v>
      </c>
      <c r="AV9" s="71">
        <v>57</v>
      </c>
      <c r="AW9" s="402">
        <f t="shared" ref="AW9:AW29" si="10">AV9*AT9</f>
        <v>52355.64</v>
      </c>
      <c r="AZ9" s="94"/>
      <c r="BA9" s="15">
        <v>2</v>
      </c>
      <c r="BB9" s="92">
        <v>882.7</v>
      </c>
      <c r="BC9" s="246">
        <v>44842</v>
      </c>
      <c r="BD9" s="92">
        <v>882.7</v>
      </c>
      <c r="BE9" s="95" t="s">
        <v>449</v>
      </c>
      <c r="BF9" s="71">
        <v>57</v>
      </c>
      <c r="BG9" s="402">
        <f t="shared" ref="BG9:BG29" si="11">BF9*BD9</f>
        <v>50313.9</v>
      </c>
      <c r="BJ9" s="106"/>
      <c r="BK9" s="15">
        <v>2</v>
      </c>
      <c r="BL9" s="92">
        <v>862.7</v>
      </c>
      <c r="BM9" s="135">
        <v>44842</v>
      </c>
      <c r="BN9" s="92">
        <v>862.7</v>
      </c>
      <c r="BO9" s="95" t="s">
        <v>458</v>
      </c>
      <c r="BP9" s="290">
        <v>57</v>
      </c>
      <c r="BQ9" s="492">
        <f t="shared" ref="BQ9:BQ29" si="12">BP9*BN9</f>
        <v>49173.9</v>
      </c>
      <c r="BR9" s="402"/>
      <c r="BT9" s="106"/>
      <c r="BU9" s="15">
        <v>2</v>
      </c>
      <c r="BV9" s="92">
        <v>942.56</v>
      </c>
      <c r="BW9" s="291">
        <v>44845</v>
      </c>
      <c r="BX9" s="92">
        <v>942.56</v>
      </c>
      <c r="BY9" s="607" t="s">
        <v>468</v>
      </c>
      <c r="BZ9" s="292">
        <v>57</v>
      </c>
      <c r="CA9" s="402">
        <f t="shared" ref="CA9:CA28" si="13">BZ9*BX9</f>
        <v>53725.919999999998</v>
      </c>
      <c r="CD9" s="214"/>
      <c r="CE9" s="15">
        <v>2</v>
      </c>
      <c r="CF9" s="92">
        <v>897.2</v>
      </c>
      <c r="CG9" s="291">
        <v>44846</v>
      </c>
      <c r="CH9" s="92">
        <v>897.2</v>
      </c>
      <c r="CI9" s="293" t="s">
        <v>475</v>
      </c>
      <c r="CJ9" s="292">
        <v>57</v>
      </c>
      <c r="CK9" s="402">
        <f t="shared" ref="CK9:CK29" si="14">CJ9*CH9</f>
        <v>51140.4</v>
      </c>
      <c r="CN9" s="94"/>
      <c r="CO9" s="15">
        <v>2</v>
      </c>
      <c r="CP9" s="92">
        <v>876.3</v>
      </c>
      <c r="CQ9" s="291">
        <v>44847</v>
      </c>
      <c r="CR9" s="92">
        <v>876.3</v>
      </c>
      <c r="CS9" s="293" t="s">
        <v>491</v>
      </c>
      <c r="CT9" s="292">
        <v>58</v>
      </c>
      <c r="CU9" s="407">
        <f>CT9*CR9</f>
        <v>50825.399999999994</v>
      </c>
      <c r="CX9" s="94"/>
      <c r="CY9" s="15">
        <v>2</v>
      </c>
      <c r="CZ9" s="92">
        <v>896.3</v>
      </c>
      <c r="DA9" s="246">
        <v>44847</v>
      </c>
      <c r="DB9" s="92">
        <v>896.3</v>
      </c>
      <c r="DC9" s="95" t="s">
        <v>488</v>
      </c>
      <c r="DD9" s="71">
        <v>58</v>
      </c>
      <c r="DE9" s="402">
        <f t="shared" ref="DE9:DE29" si="15">DD9*DB9</f>
        <v>51985.399999999994</v>
      </c>
      <c r="DH9" s="94"/>
      <c r="DI9" s="15">
        <v>2</v>
      </c>
      <c r="DJ9" s="768">
        <v>920.8</v>
      </c>
      <c r="DK9" s="796">
        <v>44849</v>
      </c>
      <c r="DL9" s="768">
        <v>920.8</v>
      </c>
      <c r="DM9" s="797" t="s">
        <v>501</v>
      </c>
      <c r="DN9" s="798">
        <v>59</v>
      </c>
      <c r="DO9" s="407">
        <f t="shared" ref="DO9:DO29" si="16">DN9*DL9</f>
        <v>54327.199999999997</v>
      </c>
      <c r="DR9" s="94"/>
      <c r="DS9" s="15">
        <v>2</v>
      </c>
      <c r="DT9" s="92">
        <v>925.3</v>
      </c>
      <c r="DU9" s="291">
        <v>44849</v>
      </c>
      <c r="DV9" s="92">
        <v>925.3</v>
      </c>
      <c r="DW9" s="293" t="s">
        <v>503</v>
      </c>
      <c r="DX9" s="292">
        <v>59</v>
      </c>
      <c r="DY9" s="402">
        <f t="shared" ref="DY9:DY29" si="17">DX9*DV9</f>
        <v>54592.7</v>
      </c>
      <c r="EB9" s="94"/>
      <c r="EC9" s="15">
        <v>2</v>
      </c>
      <c r="ED9" s="69">
        <v>949.36</v>
      </c>
      <c r="EE9" s="254">
        <v>44848</v>
      </c>
      <c r="EF9" s="69">
        <v>949.36</v>
      </c>
      <c r="EG9" s="70" t="s">
        <v>497</v>
      </c>
      <c r="EH9" s="71">
        <v>59</v>
      </c>
      <c r="EI9" s="402">
        <f t="shared" ref="EI9:EI28" si="18">EH9*EF9</f>
        <v>56012.24</v>
      </c>
      <c r="EL9" s="94"/>
      <c r="EM9" s="15">
        <v>2</v>
      </c>
      <c r="EN9" s="69">
        <v>902.6</v>
      </c>
      <c r="EO9" s="254">
        <v>44853</v>
      </c>
      <c r="EP9" s="69">
        <v>902.6</v>
      </c>
      <c r="EQ9" s="70" t="s">
        <v>518</v>
      </c>
      <c r="ER9" s="71">
        <v>60</v>
      </c>
      <c r="ES9" s="402">
        <f t="shared" ref="ES9:ES28" si="19">ER9*EP9</f>
        <v>54156</v>
      </c>
      <c r="EV9" s="333"/>
      <c r="EW9" s="15">
        <v>2</v>
      </c>
      <c r="EX9" s="92">
        <v>928.04</v>
      </c>
      <c r="EY9" s="246">
        <v>44852</v>
      </c>
      <c r="EZ9" s="92">
        <v>928.04</v>
      </c>
      <c r="FA9" s="70" t="s">
        <v>513</v>
      </c>
      <c r="FB9" s="71">
        <v>60</v>
      </c>
      <c r="FC9" s="402">
        <f t="shared" ref="FC9:FC29" si="20">FB9*EZ9</f>
        <v>55682.399999999994</v>
      </c>
      <c r="FF9" s="333"/>
      <c r="FG9" s="15">
        <v>2</v>
      </c>
      <c r="FH9" s="92">
        <v>910.81</v>
      </c>
      <c r="FI9" s="246">
        <v>44854</v>
      </c>
      <c r="FJ9" s="92">
        <v>910.81</v>
      </c>
      <c r="FK9" s="70" t="s">
        <v>532</v>
      </c>
      <c r="FL9" s="71">
        <v>60</v>
      </c>
      <c r="FM9" s="245">
        <f t="shared" ref="FM9:FM29" si="21">FL9*FJ9</f>
        <v>54648.6</v>
      </c>
      <c r="FP9" s="94" t="s">
        <v>41</v>
      </c>
      <c r="FQ9" s="15">
        <v>2</v>
      </c>
      <c r="FR9" s="92">
        <v>936.2</v>
      </c>
      <c r="FS9" s="246">
        <v>44854</v>
      </c>
      <c r="FT9" s="92">
        <v>936.2</v>
      </c>
      <c r="FU9" s="70" t="s">
        <v>521</v>
      </c>
      <c r="FV9" s="71">
        <v>60</v>
      </c>
      <c r="FW9" s="402">
        <f t="shared" ref="FW9:FW29" si="22">FV9*FT9</f>
        <v>56172</v>
      </c>
      <c r="FZ9" s="94"/>
      <c r="GA9" s="15">
        <v>2</v>
      </c>
      <c r="GB9" s="69">
        <v>872.7</v>
      </c>
      <c r="GC9" s="254">
        <v>44854</v>
      </c>
      <c r="GD9" s="69">
        <v>872.7</v>
      </c>
      <c r="GE9" s="70" t="s">
        <v>525</v>
      </c>
      <c r="GF9" s="71">
        <v>60</v>
      </c>
      <c r="GG9" s="245">
        <f t="shared" ref="GG9:GG29" si="23">GF9*GD9</f>
        <v>52362</v>
      </c>
      <c r="GJ9" s="94"/>
      <c r="GK9" s="15">
        <v>2</v>
      </c>
      <c r="GL9" s="359">
        <v>897.2</v>
      </c>
      <c r="GM9" s="246">
        <v>44855</v>
      </c>
      <c r="GN9" s="359">
        <v>897.2</v>
      </c>
      <c r="GO9" s="95" t="s">
        <v>538</v>
      </c>
      <c r="GP9" s="71">
        <v>60</v>
      </c>
      <c r="GQ9" s="402">
        <f t="shared" ref="GQ9:GQ29" si="24">GP9*GN9</f>
        <v>53832</v>
      </c>
      <c r="GT9" s="94"/>
      <c r="GU9" s="15">
        <v>2</v>
      </c>
      <c r="GV9" s="105">
        <v>902.6</v>
      </c>
      <c r="GW9" s="246">
        <v>44858</v>
      </c>
      <c r="GX9" s="105">
        <v>902.6</v>
      </c>
      <c r="GY9" s="95" t="s">
        <v>546</v>
      </c>
      <c r="GZ9" s="71">
        <v>60</v>
      </c>
      <c r="HA9" s="402">
        <f t="shared" ref="HA9:HA28" si="25">GZ9*GX9</f>
        <v>54156</v>
      </c>
      <c r="HD9" s="94"/>
      <c r="HE9" s="15">
        <v>2</v>
      </c>
      <c r="HF9" s="92">
        <v>963.43</v>
      </c>
      <c r="HG9" s="246">
        <v>44859</v>
      </c>
      <c r="HH9" s="92">
        <v>963.43</v>
      </c>
      <c r="HI9" s="95" t="s">
        <v>552</v>
      </c>
      <c r="HJ9" s="71">
        <v>56</v>
      </c>
      <c r="HK9" s="402">
        <f t="shared" ref="HK9:HK28" si="26">HJ9*HH9</f>
        <v>53952.079999999994</v>
      </c>
      <c r="HN9" s="94"/>
      <c r="HO9" s="15">
        <v>2</v>
      </c>
      <c r="HP9" s="92">
        <v>912.6</v>
      </c>
      <c r="HQ9" s="246">
        <v>44859</v>
      </c>
      <c r="HR9" s="92">
        <v>912.6</v>
      </c>
      <c r="HS9" s="294" t="s">
        <v>554</v>
      </c>
      <c r="HT9" s="71">
        <v>56</v>
      </c>
      <c r="HU9" s="402">
        <f t="shared" ref="HU9:HU29" si="27">HT9*HR9</f>
        <v>51105.599999999999</v>
      </c>
      <c r="HX9" s="106"/>
      <c r="HY9" s="15">
        <v>2</v>
      </c>
      <c r="HZ9" s="69">
        <v>917.16</v>
      </c>
      <c r="IA9" s="254">
        <v>44860</v>
      </c>
      <c r="IB9" s="69">
        <v>917.16</v>
      </c>
      <c r="IC9" s="70" t="s">
        <v>565</v>
      </c>
      <c r="ID9" s="71">
        <v>56</v>
      </c>
      <c r="IE9" s="402">
        <f t="shared" si="5"/>
        <v>51360.959999999999</v>
      </c>
      <c r="IH9" s="106"/>
      <c r="II9" s="15">
        <v>2</v>
      </c>
      <c r="IJ9" s="69">
        <v>896.3</v>
      </c>
      <c r="IK9" s="254">
        <v>44862</v>
      </c>
      <c r="IL9" s="69">
        <v>896.3</v>
      </c>
      <c r="IM9" s="70" t="s">
        <v>577</v>
      </c>
      <c r="IN9" s="71">
        <v>56</v>
      </c>
      <c r="IO9" s="402">
        <f t="shared" ref="IO9:IO29" si="28">IN9*IL9</f>
        <v>50192.799999999996</v>
      </c>
      <c r="IQ9" s="498"/>
      <c r="IR9" s="94"/>
      <c r="IS9" s="15">
        <v>2</v>
      </c>
      <c r="IT9" s="92">
        <v>907.2</v>
      </c>
      <c r="IU9" s="135">
        <v>44863</v>
      </c>
      <c r="IV9" s="92">
        <v>907.2</v>
      </c>
      <c r="IW9" s="370" t="s">
        <v>585</v>
      </c>
      <c r="IX9" s="71">
        <v>56</v>
      </c>
      <c r="IY9" s="245">
        <f t="shared" ref="IY9:IY29" si="29">IX9*IV9</f>
        <v>50803.200000000004</v>
      </c>
      <c r="IZ9" s="92"/>
      <c r="JA9" s="92"/>
      <c r="JB9" s="94"/>
      <c r="JC9" s="15">
        <v>2</v>
      </c>
      <c r="JD9" s="92">
        <v>893.6</v>
      </c>
      <c r="JE9" s="254">
        <v>44863</v>
      </c>
      <c r="JF9" s="92">
        <v>893.6</v>
      </c>
      <c r="JG9" s="70" t="s">
        <v>581</v>
      </c>
      <c r="JH9" s="71">
        <v>56</v>
      </c>
      <c r="JI9" s="402">
        <f t="shared" ref="JI9:JI29" si="30">JH9*JF9</f>
        <v>50041.599999999999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>
        <v>44840</v>
      </c>
      <c r="P10" s="69">
        <v>967.05</v>
      </c>
      <c r="Q10" s="70" t="s">
        <v>437</v>
      </c>
      <c r="R10" s="71">
        <v>57</v>
      </c>
      <c r="S10" s="402">
        <f t="shared" si="7"/>
        <v>55121.85</v>
      </c>
      <c r="V10" s="106"/>
      <c r="W10" s="15">
        <v>3</v>
      </c>
      <c r="X10" s="69">
        <v>909.9</v>
      </c>
      <c r="Y10" s="254">
        <v>44838</v>
      </c>
      <c r="Z10" s="69">
        <v>909.9</v>
      </c>
      <c r="AA10" s="70" t="s">
        <v>419</v>
      </c>
      <c r="AB10" s="71">
        <v>57</v>
      </c>
      <c r="AC10" s="402">
        <f t="shared" si="8"/>
        <v>51864.299999999996</v>
      </c>
      <c r="AF10" s="94"/>
      <c r="AG10" s="15">
        <v>3</v>
      </c>
      <c r="AH10" s="92">
        <v>879.1</v>
      </c>
      <c r="AI10" s="246">
        <v>44838</v>
      </c>
      <c r="AJ10" s="92">
        <v>879.1</v>
      </c>
      <c r="AK10" s="95" t="s">
        <v>416</v>
      </c>
      <c r="AL10" s="71">
        <v>57</v>
      </c>
      <c r="AM10" s="402">
        <f t="shared" si="9"/>
        <v>50108.700000000004</v>
      </c>
      <c r="AP10" s="94"/>
      <c r="AQ10" s="15">
        <v>3</v>
      </c>
      <c r="AR10" s="92">
        <v>963.88</v>
      </c>
      <c r="AS10" s="246">
        <v>44839</v>
      </c>
      <c r="AT10" s="92">
        <v>963.88</v>
      </c>
      <c r="AU10" s="95" t="s">
        <v>423</v>
      </c>
      <c r="AV10" s="71">
        <v>57</v>
      </c>
      <c r="AW10" s="402">
        <f t="shared" si="10"/>
        <v>54941.159999999996</v>
      </c>
      <c r="AZ10" s="94"/>
      <c r="BA10" s="15">
        <v>3</v>
      </c>
      <c r="BB10" s="92">
        <v>934.4</v>
      </c>
      <c r="BC10" s="246">
        <v>44842</v>
      </c>
      <c r="BD10" s="92">
        <v>934.4</v>
      </c>
      <c r="BE10" s="95" t="s">
        <v>449</v>
      </c>
      <c r="BF10" s="71">
        <v>57</v>
      </c>
      <c r="BG10" s="402">
        <f t="shared" si="11"/>
        <v>53260.799999999996</v>
      </c>
      <c r="BJ10" s="106"/>
      <c r="BK10" s="15">
        <v>3</v>
      </c>
      <c r="BL10" s="92">
        <v>896.3</v>
      </c>
      <c r="BM10" s="135">
        <v>44844</v>
      </c>
      <c r="BN10" s="92">
        <v>896.3</v>
      </c>
      <c r="BO10" s="95" t="s">
        <v>434</v>
      </c>
      <c r="BP10" s="290">
        <v>57</v>
      </c>
      <c r="BQ10" s="492">
        <f t="shared" si="12"/>
        <v>51089.1</v>
      </c>
      <c r="BR10" s="402"/>
      <c r="BT10" s="106"/>
      <c r="BU10" s="15">
        <v>3</v>
      </c>
      <c r="BV10" s="92">
        <v>953.45</v>
      </c>
      <c r="BW10" s="291">
        <v>44845</v>
      </c>
      <c r="BX10" s="92">
        <v>953.45</v>
      </c>
      <c r="BY10" s="607" t="s">
        <v>468</v>
      </c>
      <c r="BZ10" s="292">
        <v>57</v>
      </c>
      <c r="CA10" s="402">
        <f t="shared" si="13"/>
        <v>54346.65</v>
      </c>
      <c r="CD10" s="214"/>
      <c r="CE10" s="15">
        <v>3</v>
      </c>
      <c r="CF10" s="92">
        <v>905.4</v>
      </c>
      <c r="CG10" s="291">
        <v>44846</v>
      </c>
      <c r="CH10" s="92">
        <v>905.4</v>
      </c>
      <c r="CI10" s="293" t="s">
        <v>475</v>
      </c>
      <c r="CJ10" s="292">
        <v>57</v>
      </c>
      <c r="CK10" s="402">
        <f t="shared" si="14"/>
        <v>51607.799999999996</v>
      </c>
      <c r="CN10" s="94"/>
      <c r="CO10" s="15">
        <v>3</v>
      </c>
      <c r="CP10" s="92">
        <v>911.7</v>
      </c>
      <c r="CQ10" s="291">
        <v>44847</v>
      </c>
      <c r="CR10" s="92">
        <v>911.7</v>
      </c>
      <c r="CS10" s="293" t="s">
        <v>491</v>
      </c>
      <c r="CT10" s="292">
        <v>58</v>
      </c>
      <c r="CU10" s="407">
        <f t="shared" ref="CU10:CU30" si="48">CT10*CR10</f>
        <v>52878.600000000006</v>
      </c>
      <c r="CX10" s="94"/>
      <c r="CY10" s="15">
        <v>3</v>
      </c>
      <c r="CZ10" s="92">
        <v>895.4</v>
      </c>
      <c r="DA10" s="246">
        <v>44847</v>
      </c>
      <c r="DB10" s="92">
        <v>895.4</v>
      </c>
      <c r="DC10" s="95" t="s">
        <v>488</v>
      </c>
      <c r="DD10" s="71">
        <v>58</v>
      </c>
      <c r="DE10" s="402">
        <f t="shared" si="15"/>
        <v>51933.2</v>
      </c>
      <c r="DH10" s="94"/>
      <c r="DI10" s="15">
        <v>3</v>
      </c>
      <c r="DJ10" s="768">
        <v>880.9</v>
      </c>
      <c r="DK10" s="796">
        <v>44849</v>
      </c>
      <c r="DL10" s="768">
        <v>880.9</v>
      </c>
      <c r="DM10" s="797" t="s">
        <v>501</v>
      </c>
      <c r="DN10" s="798">
        <v>59</v>
      </c>
      <c r="DO10" s="407">
        <f t="shared" si="16"/>
        <v>51973.1</v>
      </c>
      <c r="DR10" s="94"/>
      <c r="DS10" s="15">
        <v>3</v>
      </c>
      <c r="DT10" s="92">
        <v>874.5</v>
      </c>
      <c r="DU10" s="291">
        <v>44849</v>
      </c>
      <c r="DV10" s="92">
        <v>874.5</v>
      </c>
      <c r="DW10" s="293" t="s">
        <v>503</v>
      </c>
      <c r="DX10" s="292">
        <v>59</v>
      </c>
      <c r="DY10" s="402">
        <f t="shared" si="17"/>
        <v>51595.5</v>
      </c>
      <c r="EB10" s="94"/>
      <c r="EC10" s="15">
        <v>3</v>
      </c>
      <c r="ED10" s="69">
        <v>954.81</v>
      </c>
      <c r="EE10" s="254">
        <v>44848</v>
      </c>
      <c r="EF10" s="69">
        <v>954.81</v>
      </c>
      <c r="EG10" s="70" t="s">
        <v>497</v>
      </c>
      <c r="EH10" s="71">
        <v>59</v>
      </c>
      <c r="EI10" s="402">
        <f t="shared" si="18"/>
        <v>56333.789999999994</v>
      </c>
      <c r="EL10" s="94"/>
      <c r="EM10" s="15">
        <v>3</v>
      </c>
      <c r="EN10" s="69">
        <v>893.6</v>
      </c>
      <c r="EO10" s="254">
        <v>44853</v>
      </c>
      <c r="EP10" s="69">
        <v>893.6</v>
      </c>
      <c r="EQ10" s="70" t="s">
        <v>518</v>
      </c>
      <c r="ER10" s="71">
        <v>60</v>
      </c>
      <c r="ES10" s="402">
        <f t="shared" si="19"/>
        <v>53616</v>
      </c>
      <c r="EV10" s="333"/>
      <c r="EW10" s="15">
        <v>3</v>
      </c>
      <c r="EX10" s="92">
        <v>950.72</v>
      </c>
      <c r="EY10" s="246">
        <v>44852</v>
      </c>
      <c r="EZ10" s="92">
        <v>950.72</v>
      </c>
      <c r="FA10" s="70" t="s">
        <v>513</v>
      </c>
      <c r="FB10" s="71">
        <v>60</v>
      </c>
      <c r="FC10" s="402">
        <f t="shared" si="20"/>
        <v>57043.200000000004</v>
      </c>
      <c r="FF10" s="333"/>
      <c r="FG10" s="15">
        <v>3</v>
      </c>
      <c r="FH10" s="92">
        <v>925.78</v>
      </c>
      <c r="FI10" s="246">
        <v>44854</v>
      </c>
      <c r="FJ10" s="92">
        <v>925.78</v>
      </c>
      <c r="FK10" s="70" t="s">
        <v>532</v>
      </c>
      <c r="FL10" s="71">
        <v>60</v>
      </c>
      <c r="FM10" s="245">
        <f t="shared" si="21"/>
        <v>55546.799999999996</v>
      </c>
      <c r="FP10" s="94"/>
      <c r="FQ10" s="15">
        <v>3</v>
      </c>
      <c r="FR10" s="92">
        <v>915.3</v>
      </c>
      <c r="FS10" s="246">
        <v>44854</v>
      </c>
      <c r="FT10" s="92">
        <v>915.3</v>
      </c>
      <c r="FU10" s="70" t="s">
        <v>521</v>
      </c>
      <c r="FV10" s="71">
        <v>60</v>
      </c>
      <c r="FW10" s="402">
        <f t="shared" si="22"/>
        <v>54918</v>
      </c>
      <c r="FZ10" s="94"/>
      <c r="GA10" s="15">
        <v>3</v>
      </c>
      <c r="GB10" s="69">
        <v>909.9</v>
      </c>
      <c r="GC10" s="254">
        <v>44854</v>
      </c>
      <c r="GD10" s="69">
        <v>909.9</v>
      </c>
      <c r="GE10" s="70" t="s">
        <v>525</v>
      </c>
      <c r="GF10" s="71">
        <v>60</v>
      </c>
      <c r="GG10" s="245">
        <f t="shared" si="23"/>
        <v>54594</v>
      </c>
      <c r="GJ10" s="94"/>
      <c r="GK10" s="15">
        <v>3</v>
      </c>
      <c r="GL10" s="359">
        <v>924.4</v>
      </c>
      <c r="GM10" s="246">
        <v>44855</v>
      </c>
      <c r="GN10" s="359">
        <v>924.4</v>
      </c>
      <c r="GO10" s="95" t="s">
        <v>538</v>
      </c>
      <c r="GP10" s="71">
        <v>60</v>
      </c>
      <c r="GQ10" s="402">
        <f t="shared" si="24"/>
        <v>55464</v>
      </c>
      <c r="GT10" s="94"/>
      <c r="GU10" s="15">
        <v>3</v>
      </c>
      <c r="GV10" s="92">
        <v>892.2</v>
      </c>
      <c r="GW10" s="246">
        <v>44858</v>
      </c>
      <c r="GX10" s="105">
        <v>892.2</v>
      </c>
      <c r="GY10" s="95" t="s">
        <v>546</v>
      </c>
      <c r="GZ10" s="71">
        <v>60</v>
      </c>
      <c r="HA10" s="402">
        <f t="shared" si="25"/>
        <v>53532</v>
      </c>
      <c r="HD10" s="94"/>
      <c r="HE10" s="15">
        <v>3</v>
      </c>
      <c r="HF10" s="92">
        <v>934.85</v>
      </c>
      <c r="HG10" s="246">
        <v>44859</v>
      </c>
      <c r="HH10" s="92">
        <v>934.85</v>
      </c>
      <c r="HI10" s="95" t="s">
        <v>552</v>
      </c>
      <c r="HJ10" s="71">
        <v>56</v>
      </c>
      <c r="HK10" s="402">
        <f t="shared" si="26"/>
        <v>52351.6</v>
      </c>
      <c r="HN10" s="94"/>
      <c r="HO10" s="15">
        <v>3</v>
      </c>
      <c r="HP10" s="92">
        <v>880</v>
      </c>
      <c r="HQ10" s="246">
        <v>44859</v>
      </c>
      <c r="HR10" s="92">
        <v>880</v>
      </c>
      <c r="HS10" s="294" t="s">
        <v>554</v>
      </c>
      <c r="HT10" s="71">
        <v>56</v>
      </c>
      <c r="HU10" s="402">
        <f t="shared" si="27"/>
        <v>49280</v>
      </c>
      <c r="HX10" s="106"/>
      <c r="HY10" s="15">
        <v>3</v>
      </c>
      <c r="HZ10" s="69">
        <v>894.93</v>
      </c>
      <c r="IA10" s="254">
        <v>44860</v>
      </c>
      <c r="IB10" s="69">
        <v>894.93</v>
      </c>
      <c r="IC10" s="70" t="s">
        <v>565</v>
      </c>
      <c r="ID10" s="71">
        <v>56</v>
      </c>
      <c r="IE10" s="402">
        <f t="shared" si="5"/>
        <v>50116.079999999994</v>
      </c>
      <c r="IH10" s="106"/>
      <c r="II10" s="15">
        <v>3</v>
      </c>
      <c r="IJ10" s="69">
        <v>861.8</v>
      </c>
      <c r="IK10" s="254">
        <v>44862</v>
      </c>
      <c r="IL10" s="69">
        <v>861.8</v>
      </c>
      <c r="IM10" s="70" t="s">
        <v>577</v>
      </c>
      <c r="IN10" s="71">
        <v>56</v>
      </c>
      <c r="IO10" s="402">
        <f t="shared" si="28"/>
        <v>48260.799999999996</v>
      </c>
      <c r="IQ10" s="499"/>
      <c r="IR10" s="94"/>
      <c r="IS10" s="15">
        <v>3</v>
      </c>
      <c r="IT10" s="92">
        <v>921.7</v>
      </c>
      <c r="IU10" s="135">
        <v>44863</v>
      </c>
      <c r="IV10" s="92">
        <v>921.7</v>
      </c>
      <c r="IW10" s="370" t="s">
        <v>585</v>
      </c>
      <c r="IX10" s="71">
        <v>56</v>
      </c>
      <c r="IY10" s="245">
        <f t="shared" si="29"/>
        <v>51615.200000000004</v>
      </c>
      <c r="IZ10" s="92"/>
      <c r="JA10" s="69"/>
      <c r="JB10" s="94"/>
      <c r="JC10" s="15">
        <v>3</v>
      </c>
      <c r="JD10" s="92">
        <v>870</v>
      </c>
      <c r="JE10" s="254">
        <v>44863</v>
      </c>
      <c r="JF10" s="92">
        <v>870</v>
      </c>
      <c r="JG10" s="70" t="s">
        <v>581</v>
      </c>
      <c r="JH10" s="71">
        <v>56</v>
      </c>
      <c r="JI10" s="402">
        <f t="shared" si="30"/>
        <v>48720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>
        <v>44840</v>
      </c>
      <c r="P11" s="69">
        <v>916.25</v>
      </c>
      <c r="Q11" s="70" t="s">
        <v>432</v>
      </c>
      <c r="R11" s="71">
        <v>57</v>
      </c>
      <c r="S11" s="402">
        <f t="shared" si="7"/>
        <v>52226.25</v>
      </c>
      <c r="U11" s="61"/>
      <c r="V11" s="106"/>
      <c r="W11" s="15">
        <v>4</v>
      </c>
      <c r="X11" s="69">
        <v>867.3</v>
      </c>
      <c r="Y11" s="254">
        <v>44838</v>
      </c>
      <c r="Z11" s="69">
        <v>867.3</v>
      </c>
      <c r="AA11" s="70" t="s">
        <v>419</v>
      </c>
      <c r="AB11" s="71">
        <v>57</v>
      </c>
      <c r="AC11" s="402">
        <f t="shared" si="8"/>
        <v>49436.1</v>
      </c>
      <c r="AE11" s="61"/>
      <c r="AF11" s="106"/>
      <c r="AG11" s="15">
        <v>4</v>
      </c>
      <c r="AH11" s="92">
        <v>861.8</v>
      </c>
      <c r="AI11" s="246">
        <v>44838</v>
      </c>
      <c r="AJ11" s="92">
        <v>861.8</v>
      </c>
      <c r="AK11" s="95" t="s">
        <v>416</v>
      </c>
      <c r="AL11" s="71">
        <v>57</v>
      </c>
      <c r="AM11" s="402">
        <f t="shared" si="9"/>
        <v>49122.6</v>
      </c>
      <c r="AO11" s="61"/>
      <c r="AP11" s="106"/>
      <c r="AQ11" s="15">
        <v>4</v>
      </c>
      <c r="AR11" s="92">
        <v>910.35</v>
      </c>
      <c r="AS11" s="246">
        <v>44839</v>
      </c>
      <c r="AT11" s="92">
        <v>910.35</v>
      </c>
      <c r="AU11" s="95" t="s">
        <v>423</v>
      </c>
      <c r="AV11" s="71">
        <v>57</v>
      </c>
      <c r="AW11" s="402">
        <f t="shared" si="10"/>
        <v>51889.950000000004</v>
      </c>
      <c r="AY11" s="61"/>
      <c r="AZ11" s="106"/>
      <c r="BA11" s="15">
        <v>4</v>
      </c>
      <c r="BB11" s="92">
        <v>913.5</v>
      </c>
      <c r="BC11" s="246">
        <v>44842</v>
      </c>
      <c r="BD11" s="92">
        <v>913.5</v>
      </c>
      <c r="BE11" s="95" t="s">
        <v>449</v>
      </c>
      <c r="BF11" s="71">
        <v>57</v>
      </c>
      <c r="BG11" s="402">
        <f t="shared" si="11"/>
        <v>52069.5</v>
      </c>
      <c r="BI11" s="61"/>
      <c r="BJ11" s="106"/>
      <c r="BK11" s="15">
        <v>4</v>
      </c>
      <c r="BL11" s="92">
        <v>875.4</v>
      </c>
      <c r="BM11" s="135">
        <v>44844</v>
      </c>
      <c r="BN11" s="92">
        <v>875.4</v>
      </c>
      <c r="BO11" s="95" t="s">
        <v>434</v>
      </c>
      <c r="BP11" s="290">
        <v>57</v>
      </c>
      <c r="BQ11" s="492">
        <f t="shared" si="12"/>
        <v>49897.799999999996</v>
      </c>
      <c r="BR11" s="402"/>
      <c r="BS11" s="61"/>
      <c r="BT11" s="106"/>
      <c r="BU11" s="15">
        <v>4</v>
      </c>
      <c r="BV11" s="92">
        <v>909.9</v>
      </c>
      <c r="BW11" s="291">
        <v>44845</v>
      </c>
      <c r="BX11" s="92">
        <v>909.9</v>
      </c>
      <c r="BY11" s="607" t="s">
        <v>468</v>
      </c>
      <c r="BZ11" s="292">
        <v>57</v>
      </c>
      <c r="CA11" s="402">
        <f t="shared" si="13"/>
        <v>51864.299999999996</v>
      </c>
      <c r="CC11" s="61"/>
      <c r="CD11" s="214"/>
      <c r="CE11" s="15">
        <v>4</v>
      </c>
      <c r="CF11" s="92">
        <v>912.6</v>
      </c>
      <c r="CG11" s="291">
        <v>44846</v>
      </c>
      <c r="CH11" s="92">
        <v>912.6</v>
      </c>
      <c r="CI11" s="293" t="s">
        <v>475</v>
      </c>
      <c r="CJ11" s="292">
        <v>57</v>
      </c>
      <c r="CK11" s="402">
        <f t="shared" si="14"/>
        <v>52018.200000000004</v>
      </c>
      <c r="CM11" s="61"/>
      <c r="CN11" s="94"/>
      <c r="CO11" s="15">
        <v>4</v>
      </c>
      <c r="CP11" s="92">
        <v>876.3</v>
      </c>
      <c r="CQ11" s="291">
        <v>44847</v>
      </c>
      <c r="CR11" s="92">
        <v>876.3</v>
      </c>
      <c r="CS11" s="293" t="s">
        <v>491</v>
      </c>
      <c r="CT11" s="292">
        <v>58</v>
      </c>
      <c r="CU11" s="407">
        <f t="shared" si="48"/>
        <v>50825.399999999994</v>
      </c>
      <c r="CW11" s="61"/>
      <c r="CX11" s="106"/>
      <c r="CY11" s="15">
        <v>4</v>
      </c>
      <c r="CZ11" s="92">
        <v>884.5</v>
      </c>
      <c r="DA11" s="246">
        <v>44847</v>
      </c>
      <c r="DB11" s="92">
        <v>884.5</v>
      </c>
      <c r="DC11" s="95" t="s">
        <v>488</v>
      </c>
      <c r="DD11" s="71">
        <v>58</v>
      </c>
      <c r="DE11" s="402">
        <f t="shared" si="15"/>
        <v>51301</v>
      </c>
      <c r="DG11" s="61"/>
      <c r="DH11" s="106"/>
      <c r="DI11" s="15">
        <v>4</v>
      </c>
      <c r="DJ11" s="768">
        <v>865.9</v>
      </c>
      <c r="DK11" s="796">
        <v>44849</v>
      </c>
      <c r="DL11" s="768">
        <v>865.9</v>
      </c>
      <c r="DM11" s="797" t="s">
        <v>503</v>
      </c>
      <c r="DN11" s="798">
        <v>59</v>
      </c>
      <c r="DO11" s="407">
        <f t="shared" si="16"/>
        <v>51088.1</v>
      </c>
      <c r="DQ11" s="61"/>
      <c r="DR11" s="106"/>
      <c r="DS11" s="15">
        <v>4</v>
      </c>
      <c r="DT11" s="92">
        <v>893.6</v>
      </c>
      <c r="DU11" s="291">
        <v>44849</v>
      </c>
      <c r="DV11" s="92">
        <v>893.6</v>
      </c>
      <c r="DW11" s="293" t="s">
        <v>503</v>
      </c>
      <c r="DX11" s="292">
        <v>59</v>
      </c>
      <c r="DY11" s="402">
        <f t="shared" si="17"/>
        <v>52722.400000000001</v>
      </c>
      <c r="EA11" s="61"/>
      <c r="EB11" s="106"/>
      <c r="EC11" s="15">
        <v>4</v>
      </c>
      <c r="ED11" s="69">
        <v>970.68</v>
      </c>
      <c r="EE11" s="254">
        <v>44848</v>
      </c>
      <c r="EF11" s="69">
        <v>970.68</v>
      </c>
      <c r="EG11" s="70" t="s">
        <v>497</v>
      </c>
      <c r="EH11" s="71">
        <v>59</v>
      </c>
      <c r="EI11" s="402">
        <f t="shared" si="18"/>
        <v>57270.119999999995</v>
      </c>
      <c r="EK11" s="61"/>
      <c r="EL11" s="106"/>
      <c r="EM11" s="15">
        <v>4</v>
      </c>
      <c r="EN11" s="69">
        <v>871.8</v>
      </c>
      <c r="EO11" s="254">
        <v>44853</v>
      </c>
      <c r="EP11" s="69">
        <v>871.8</v>
      </c>
      <c r="EQ11" s="70" t="s">
        <v>518</v>
      </c>
      <c r="ER11" s="71">
        <v>60</v>
      </c>
      <c r="ES11" s="402">
        <f t="shared" si="19"/>
        <v>52308</v>
      </c>
      <c r="EU11" s="514"/>
      <c r="EV11" s="333"/>
      <c r="EW11" s="15">
        <v>4</v>
      </c>
      <c r="EX11" s="92">
        <v>919.88</v>
      </c>
      <c r="EY11" s="246">
        <v>44852</v>
      </c>
      <c r="EZ11" s="92">
        <v>919.88</v>
      </c>
      <c r="FA11" s="70" t="s">
        <v>513</v>
      </c>
      <c r="FB11" s="71">
        <v>60</v>
      </c>
      <c r="FC11" s="402">
        <f t="shared" si="20"/>
        <v>55192.800000000003</v>
      </c>
      <c r="FE11" s="61"/>
      <c r="FF11" s="333"/>
      <c r="FG11" s="15">
        <v>4</v>
      </c>
      <c r="FH11" s="92">
        <v>922.6</v>
      </c>
      <c r="FI11" s="246">
        <v>44854</v>
      </c>
      <c r="FJ11" s="92">
        <v>922.6</v>
      </c>
      <c r="FK11" s="70" t="s">
        <v>532</v>
      </c>
      <c r="FL11" s="71">
        <v>60</v>
      </c>
      <c r="FM11" s="245">
        <f t="shared" si="21"/>
        <v>55356</v>
      </c>
      <c r="FO11" s="61"/>
      <c r="FP11" s="106"/>
      <c r="FQ11" s="15">
        <v>4</v>
      </c>
      <c r="FR11" s="92">
        <v>916.3</v>
      </c>
      <c r="FS11" s="246">
        <v>44854</v>
      </c>
      <c r="FT11" s="92">
        <v>916.3</v>
      </c>
      <c r="FU11" s="70" t="s">
        <v>521</v>
      </c>
      <c r="FV11" s="71">
        <v>60</v>
      </c>
      <c r="FW11" s="402">
        <f t="shared" si="22"/>
        <v>54978</v>
      </c>
      <c r="FY11" s="61"/>
      <c r="FZ11" s="106"/>
      <c r="GA11" s="15">
        <v>4</v>
      </c>
      <c r="GB11" s="69">
        <v>885.4</v>
      </c>
      <c r="GC11" s="254">
        <v>44854</v>
      </c>
      <c r="GD11" s="69">
        <v>885.4</v>
      </c>
      <c r="GE11" s="70" t="s">
        <v>525</v>
      </c>
      <c r="GF11" s="71">
        <v>60</v>
      </c>
      <c r="GG11" s="245">
        <f t="shared" si="23"/>
        <v>53124</v>
      </c>
      <c r="GI11" s="61"/>
      <c r="GJ11" s="106"/>
      <c r="GK11" s="15">
        <v>4</v>
      </c>
      <c r="GL11" s="359">
        <v>929</v>
      </c>
      <c r="GM11" s="246">
        <v>44855</v>
      </c>
      <c r="GN11" s="359">
        <v>929</v>
      </c>
      <c r="GO11" s="95" t="s">
        <v>538</v>
      </c>
      <c r="GP11" s="71">
        <v>60</v>
      </c>
      <c r="GQ11" s="402">
        <f t="shared" si="24"/>
        <v>55740</v>
      </c>
      <c r="GS11" s="61"/>
      <c r="GT11" s="106"/>
      <c r="GU11" s="15">
        <v>4</v>
      </c>
      <c r="GV11" s="92">
        <v>919.4</v>
      </c>
      <c r="GW11" s="246">
        <v>44858</v>
      </c>
      <c r="GX11" s="105">
        <v>919.4</v>
      </c>
      <c r="GY11" s="95" t="s">
        <v>548</v>
      </c>
      <c r="GZ11" s="71">
        <v>60</v>
      </c>
      <c r="HA11" s="402">
        <f t="shared" si="25"/>
        <v>55164</v>
      </c>
      <c r="HC11" s="61"/>
      <c r="HD11" s="106"/>
      <c r="HE11" s="15">
        <v>4</v>
      </c>
      <c r="HF11" s="92">
        <v>914.44</v>
      </c>
      <c r="HG11" s="246">
        <v>44859</v>
      </c>
      <c r="HH11" s="92">
        <v>914.44</v>
      </c>
      <c r="HI11" s="95" t="s">
        <v>552</v>
      </c>
      <c r="HJ11" s="71">
        <v>56</v>
      </c>
      <c r="HK11" s="402">
        <f t="shared" si="26"/>
        <v>51208.639999999999</v>
      </c>
      <c r="HM11" s="61"/>
      <c r="HN11" s="106"/>
      <c r="HO11" s="15">
        <v>4</v>
      </c>
      <c r="HP11" s="92">
        <v>908.1</v>
      </c>
      <c r="HQ11" s="246">
        <v>44859</v>
      </c>
      <c r="HR11" s="92">
        <v>908.1</v>
      </c>
      <c r="HS11" s="294" t="s">
        <v>554</v>
      </c>
      <c r="HT11" s="71">
        <v>56</v>
      </c>
      <c r="HU11" s="402">
        <f t="shared" si="27"/>
        <v>50853.599999999999</v>
      </c>
      <c r="HW11" s="61"/>
      <c r="HX11" s="106"/>
      <c r="HY11" s="15">
        <v>4</v>
      </c>
      <c r="HZ11" s="69">
        <v>943.01</v>
      </c>
      <c r="IA11" s="254">
        <v>44860</v>
      </c>
      <c r="IB11" s="69">
        <v>943.01</v>
      </c>
      <c r="IC11" s="70" t="s">
        <v>565</v>
      </c>
      <c r="ID11" s="71">
        <v>56</v>
      </c>
      <c r="IE11" s="402">
        <f t="shared" si="5"/>
        <v>52808.56</v>
      </c>
      <c r="IG11" s="61"/>
      <c r="IH11" s="106"/>
      <c r="II11" s="15">
        <v>4</v>
      </c>
      <c r="IJ11" s="69">
        <v>875.4</v>
      </c>
      <c r="IK11" s="254">
        <v>44862</v>
      </c>
      <c r="IL11" s="69">
        <v>875.4</v>
      </c>
      <c r="IM11" s="70" t="s">
        <v>577</v>
      </c>
      <c r="IN11" s="71">
        <v>56</v>
      </c>
      <c r="IO11" s="402">
        <f t="shared" si="28"/>
        <v>49022.400000000001</v>
      </c>
      <c r="IQ11" s="176"/>
      <c r="IR11" s="106"/>
      <c r="IS11" s="15">
        <v>4</v>
      </c>
      <c r="IT11" s="92">
        <v>873.6</v>
      </c>
      <c r="IU11" s="135">
        <v>44863</v>
      </c>
      <c r="IV11" s="92">
        <v>873.6</v>
      </c>
      <c r="IW11" s="370" t="s">
        <v>583</v>
      </c>
      <c r="IX11" s="71">
        <v>56</v>
      </c>
      <c r="IY11" s="245">
        <f t="shared" si="29"/>
        <v>48921.599999999999</v>
      </c>
      <c r="IZ11" s="92"/>
      <c r="JA11" s="69"/>
      <c r="JB11" s="106"/>
      <c r="JC11" s="15">
        <v>4</v>
      </c>
      <c r="JD11" s="92">
        <v>929.9</v>
      </c>
      <c r="JE11" s="254">
        <v>44863</v>
      </c>
      <c r="JF11" s="92">
        <v>929.9</v>
      </c>
      <c r="JG11" s="70" t="s">
        <v>581</v>
      </c>
      <c r="JH11" s="71">
        <v>56</v>
      </c>
      <c r="JI11" s="402">
        <f t="shared" si="30"/>
        <v>52074.400000000001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>
        <v>44840</v>
      </c>
      <c r="P12" s="69">
        <v>915.34</v>
      </c>
      <c r="Q12" s="70" t="s">
        <v>437</v>
      </c>
      <c r="R12" s="71">
        <v>57</v>
      </c>
      <c r="S12" s="402">
        <f t="shared" si="7"/>
        <v>52174.380000000005</v>
      </c>
      <c r="V12" s="106"/>
      <c r="W12" s="15">
        <v>5</v>
      </c>
      <c r="X12" s="69">
        <v>925.3</v>
      </c>
      <c r="Y12" s="254">
        <v>44838</v>
      </c>
      <c r="Z12" s="69">
        <v>925.3</v>
      </c>
      <c r="AA12" s="70" t="s">
        <v>419</v>
      </c>
      <c r="AB12" s="71">
        <v>57</v>
      </c>
      <c r="AC12" s="402">
        <f t="shared" si="8"/>
        <v>52742.1</v>
      </c>
      <c r="AF12" s="106"/>
      <c r="AG12" s="15">
        <v>5</v>
      </c>
      <c r="AH12" s="92">
        <v>908.1</v>
      </c>
      <c r="AI12" s="246">
        <v>44838</v>
      </c>
      <c r="AJ12" s="92">
        <v>908.1</v>
      </c>
      <c r="AK12" s="95" t="s">
        <v>416</v>
      </c>
      <c r="AL12" s="71">
        <v>57</v>
      </c>
      <c r="AM12" s="402">
        <f t="shared" si="9"/>
        <v>51761.700000000004</v>
      </c>
      <c r="AP12" s="106"/>
      <c r="AQ12" s="15">
        <v>5</v>
      </c>
      <c r="AR12" s="92">
        <v>947.1</v>
      </c>
      <c r="AS12" s="246">
        <v>44839</v>
      </c>
      <c r="AT12" s="92">
        <v>947.1</v>
      </c>
      <c r="AU12" s="95" t="s">
        <v>423</v>
      </c>
      <c r="AV12" s="71">
        <v>57</v>
      </c>
      <c r="AW12" s="402">
        <f t="shared" si="10"/>
        <v>53984.700000000004</v>
      </c>
      <c r="AZ12" s="106"/>
      <c r="BA12" s="15">
        <v>5</v>
      </c>
      <c r="BB12" s="92">
        <v>875.4</v>
      </c>
      <c r="BC12" s="246">
        <v>44842</v>
      </c>
      <c r="BD12" s="92">
        <v>875.4</v>
      </c>
      <c r="BE12" s="95" t="s">
        <v>455</v>
      </c>
      <c r="BF12" s="71">
        <v>57</v>
      </c>
      <c r="BG12" s="402">
        <f t="shared" si="11"/>
        <v>49897.799999999996</v>
      </c>
      <c r="BJ12" s="106"/>
      <c r="BK12" s="15">
        <v>5</v>
      </c>
      <c r="BL12" s="92">
        <v>884.5</v>
      </c>
      <c r="BM12" s="135">
        <v>44842</v>
      </c>
      <c r="BN12" s="92">
        <v>884.5</v>
      </c>
      <c r="BO12" s="95" t="s">
        <v>458</v>
      </c>
      <c r="BP12" s="290">
        <v>57</v>
      </c>
      <c r="BQ12" s="492">
        <f t="shared" si="12"/>
        <v>50416.5</v>
      </c>
      <c r="BR12" s="402"/>
      <c r="BT12" s="106"/>
      <c r="BU12" s="15">
        <v>5</v>
      </c>
      <c r="BV12" s="92">
        <v>962.52</v>
      </c>
      <c r="BW12" s="291">
        <v>44845</v>
      </c>
      <c r="BX12" s="92">
        <v>962.52</v>
      </c>
      <c r="BY12" s="607" t="s">
        <v>468</v>
      </c>
      <c r="BZ12" s="292">
        <v>57</v>
      </c>
      <c r="CA12" s="402">
        <f t="shared" si="13"/>
        <v>54863.64</v>
      </c>
      <c r="CD12" s="214"/>
      <c r="CE12" s="15">
        <v>5</v>
      </c>
      <c r="CF12" s="92">
        <v>937.1</v>
      </c>
      <c r="CG12" s="291">
        <v>44846</v>
      </c>
      <c r="CH12" s="92">
        <v>937.1</v>
      </c>
      <c r="CI12" s="293" t="s">
        <v>475</v>
      </c>
      <c r="CJ12" s="292">
        <v>57</v>
      </c>
      <c r="CK12" s="402">
        <f t="shared" si="14"/>
        <v>53414.700000000004</v>
      </c>
      <c r="CN12" s="94"/>
      <c r="CO12" s="15">
        <v>5</v>
      </c>
      <c r="CP12" s="92">
        <v>871.8</v>
      </c>
      <c r="CQ12" s="291">
        <v>44847</v>
      </c>
      <c r="CR12" s="92">
        <v>871.8</v>
      </c>
      <c r="CS12" s="293" t="s">
        <v>478</v>
      </c>
      <c r="CT12" s="292">
        <v>56</v>
      </c>
      <c r="CU12" s="407">
        <f t="shared" si="48"/>
        <v>48820.799999999996</v>
      </c>
      <c r="CX12" s="106"/>
      <c r="CY12" s="15">
        <v>5</v>
      </c>
      <c r="CZ12" s="92">
        <v>914</v>
      </c>
      <c r="DA12" s="246">
        <v>44847</v>
      </c>
      <c r="DB12" s="92">
        <v>914</v>
      </c>
      <c r="DC12" s="95" t="s">
        <v>488</v>
      </c>
      <c r="DD12" s="71">
        <v>58</v>
      </c>
      <c r="DE12" s="402">
        <f t="shared" si="15"/>
        <v>53012</v>
      </c>
      <c r="DH12" s="106"/>
      <c r="DI12" s="15">
        <v>5</v>
      </c>
      <c r="DJ12" s="768">
        <v>940.7</v>
      </c>
      <c r="DK12" s="796">
        <v>44849</v>
      </c>
      <c r="DL12" s="768">
        <v>940.7</v>
      </c>
      <c r="DM12" s="797" t="s">
        <v>501</v>
      </c>
      <c r="DN12" s="798">
        <v>59</v>
      </c>
      <c r="DO12" s="407">
        <f t="shared" si="16"/>
        <v>55501.3</v>
      </c>
      <c r="DR12" s="106"/>
      <c r="DS12" s="15">
        <v>5</v>
      </c>
      <c r="DT12" s="92">
        <v>903.6</v>
      </c>
      <c r="DU12" s="291">
        <v>44849</v>
      </c>
      <c r="DV12" s="92">
        <v>903.6</v>
      </c>
      <c r="DW12" s="293" t="s">
        <v>504</v>
      </c>
      <c r="DX12" s="292">
        <v>59</v>
      </c>
      <c r="DY12" s="402">
        <f t="shared" si="17"/>
        <v>53312.4</v>
      </c>
      <c r="EB12" s="106"/>
      <c r="EC12" s="15">
        <v>5</v>
      </c>
      <c r="ED12" s="69">
        <v>956.62</v>
      </c>
      <c r="EE12" s="254">
        <v>44848</v>
      </c>
      <c r="EF12" s="69">
        <v>956.62</v>
      </c>
      <c r="EG12" s="70" t="s">
        <v>497</v>
      </c>
      <c r="EH12" s="71">
        <v>59</v>
      </c>
      <c r="EI12" s="402">
        <f t="shared" si="18"/>
        <v>56440.58</v>
      </c>
      <c r="EL12" s="106"/>
      <c r="EM12" s="15">
        <v>5</v>
      </c>
      <c r="EN12" s="69">
        <v>915.8</v>
      </c>
      <c r="EO12" s="254">
        <v>44853</v>
      </c>
      <c r="EP12" s="69">
        <v>915.8</v>
      </c>
      <c r="EQ12" s="70" t="s">
        <v>518</v>
      </c>
      <c r="ER12" s="71">
        <v>60</v>
      </c>
      <c r="ES12" s="402">
        <f t="shared" si="19"/>
        <v>54948</v>
      </c>
      <c r="EV12" s="333"/>
      <c r="EW12" s="15">
        <v>5</v>
      </c>
      <c r="EX12" s="92">
        <v>892.66</v>
      </c>
      <c r="EY12" s="246">
        <v>44852</v>
      </c>
      <c r="EZ12" s="92">
        <v>892.66</v>
      </c>
      <c r="FA12" s="70" t="s">
        <v>513</v>
      </c>
      <c r="FB12" s="71">
        <v>60</v>
      </c>
      <c r="FC12" s="402">
        <f t="shared" si="20"/>
        <v>53559.6</v>
      </c>
      <c r="FF12" s="333"/>
      <c r="FG12" s="15">
        <v>5</v>
      </c>
      <c r="FH12" s="92">
        <v>933.94</v>
      </c>
      <c r="FI12" s="246">
        <v>44854</v>
      </c>
      <c r="FJ12" s="92">
        <v>933.94</v>
      </c>
      <c r="FK12" s="70" t="s">
        <v>532</v>
      </c>
      <c r="FL12" s="71">
        <v>60</v>
      </c>
      <c r="FM12" s="245">
        <f t="shared" si="21"/>
        <v>56036.4</v>
      </c>
      <c r="FN12" s="75" t="s">
        <v>41</v>
      </c>
      <c r="FP12" s="106"/>
      <c r="FQ12" s="15">
        <v>5</v>
      </c>
      <c r="FR12" s="92">
        <v>914.4</v>
      </c>
      <c r="FS12" s="246">
        <v>44854</v>
      </c>
      <c r="FT12" s="92">
        <v>914.4</v>
      </c>
      <c r="FU12" s="70" t="s">
        <v>521</v>
      </c>
      <c r="FV12" s="71">
        <v>60</v>
      </c>
      <c r="FW12" s="402">
        <f t="shared" si="22"/>
        <v>54864</v>
      </c>
      <c r="FZ12" s="106"/>
      <c r="GA12" s="15">
        <v>5</v>
      </c>
      <c r="GB12" s="69">
        <v>881.8</v>
      </c>
      <c r="GC12" s="254">
        <v>44854</v>
      </c>
      <c r="GD12" s="69">
        <v>881.8</v>
      </c>
      <c r="GE12" s="70" t="s">
        <v>525</v>
      </c>
      <c r="GF12" s="71">
        <v>60</v>
      </c>
      <c r="GG12" s="245">
        <f t="shared" si="23"/>
        <v>52908</v>
      </c>
      <c r="GJ12" s="106"/>
      <c r="GK12" s="15">
        <v>5</v>
      </c>
      <c r="GL12" s="359">
        <v>919</v>
      </c>
      <c r="GM12" s="246">
        <v>44855</v>
      </c>
      <c r="GN12" s="359">
        <v>919</v>
      </c>
      <c r="GO12" s="95" t="s">
        <v>538</v>
      </c>
      <c r="GP12" s="71">
        <v>60</v>
      </c>
      <c r="GQ12" s="402">
        <f t="shared" si="24"/>
        <v>55140</v>
      </c>
      <c r="GT12" s="106"/>
      <c r="GU12" s="15">
        <v>5</v>
      </c>
      <c r="GV12" s="92">
        <v>916.7</v>
      </c>
      <c r="GW12" s="246">
        <v>44858</v>
      </c>
      <c r="GX12" s="105">
        <v>916.7</v>
      </c>
      <c r="GY12" s="95" t="s">
        <v>546</v>
      </c>
      <c r="GZ12" s="71">
        <v>60</v>
      </c>
      <c r="HA12" s="402">
        <f t="shared" si="25"/>
        <v>55002</v>
      </c>
      <c r="HD12" s="106"/>
      <c r="HE12" s="15">
        <v>5</v>
      </c>
      <c r="HF12" s="92">
        <v>923.51</v>
      </c>
      <c r="HG12" s="246">
        <v>44859</v>
      </c>
      <c r="HH12" s="92">
        <v>923.51</v>
      </c>
      <c r="HI12" s="95" t="s">
        <v>552</v>
      </c>
      <c r="HJ12" s="71">
        <v>56</v>
      </c>
      <c r="HK12" s="402">
        <f t="shared" si="26"/>
        <v>51716.56</v>
      </c>
      <c r="HN12" s="106"/>
      <c r="HO12" s="15">
        <v>5</v>
      </c>
      <c r="HP12" s="92">
        <v>907.2</v>
      </c>
      <c r="HQ12" s="246">
        <v>44859</v>
      </c>
      <c r="HR12" s="92">
        <v>907.2</v>
      </c>
      <c r="HS12" s="294" t="s">
        <v>554</v>
      </c>
      <c r="HT12" s="71">
        <v>56</v>
      </c>
      <c r="HU12" s="402">
        <f t="shared" si="27"/>
        <v>50803.200000000004</v>
      </c>
      <c r="HX12" s="106"/>
      <c r="HY12" s="15">
        <v>5</v>
      </c>
      <c r="HZ12" s="69">
        <v>929.86</v>
      </c>
      <c r="IA12" s="254">
        <v>44860</v>
      </c>
      <c r="IB12" s="69">
        <v>929.86</v>
      </c>
      <c r="IC12" s="70" t="s">
        <v>565</v>
      </c>
      <c r="ID12" s="71">
        <v>56</v>
      </c>
      <c r="IE12" s="402">
        <f t="shared" si="5"/>
        <v>52072.160000000003</v>
      </c>
      <c r="IH12" s="106"/>
      <c r="II12" s="15">
        <v>5</v>
      </c>
      <c r="IJ12" s="69">
        <v>875.4</v>
      </c>
      <c r="IK12" s="254">
        <v>44862</v>
      </c>
      <c r="IL12" s="69">
        <v>875.4</v>
      </c>
      <c r="IM12" s="70" t="s">
        <v>577</v>
      </c>
      <c r="IN12" s="71">
        <v>56</v>
      </c>
      <c r="IO12" s="402">
        <f t="shared" si="28"/>
        <v>49022.400000000001</v>
      </c>
      <c r="IQ12" s="499"/>
      <c r="IR12" s="106"/>
      <c r="IS12" s="15">
        <v>5</v>
      </c>
      <c r="IT12" s="92">
        <v>901.7</v>
      </c>
      <c r="IU12" s="135">
        <v>44863</v>
      </c>
      <c r="IV12" s="92">
        <v>901.7</v>
      </c>
      <c r="IW12" s="370" t="s">
        <v>585</v>
      </c>
      <c r="IX12" s="71">
        <v>56</v>
      </c>
      <c r="IY12" s="245">
        <f t="shared" si="29"/>
        <v>50495.200000000004</v>
      </c>
      <c r="IZ12" s="92"/>
      <c r="JA12" s="69"/>
      <c r="JB12" s="106"/>
      <c r="JC12" s="15">
        <v>5</v>
      </c>
      <c r="JD12" s="92">
        <v>884.5</v>
      </c>
      <c r="JE12" s="254">
        <v>44863</v>
      </c>
      <c r="JF12" s="92">
        <v>884.5</v>
      </c>
      <c r="JG12" s="70" t="s">
        <v>581</v>
      </c>
      <c r="JH12" s="71">
        <v>56</v>
      </c>
      <c r="JI12" s="402">
        <f t="shared" si="30"/>
        <v>49532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>
        <v>44840</v>
      </c>
      <c r="P13" s="69">
        <v>918.97</v>
      </c>
      <c r="Q13" s="70" t="s">
        <v>432</v>
      </c>
      <c r="R13" s="71">
        <v>57</v>
      </c>
      <c r="S13" s="402">
        <f t="shared" si="7"/>
        <v>52381.29</v>
      </c>
      <c r="V13" s="106"/>
      <c r="W13" s="15">
        <v>6</v>
      </c>
      <c r="X13" s="69">
        <v>870</v>
      </c>
      <c r="Y13" s="254">
        <v>44838</v>
      </c>
      <c r="Z13" s="69">
        <v>870</v>
      </c>
      <c r="AA13" s="70" t="s">
        <v>419</v>
      </c>
      <c r="AB13" s="71">
        <v>57</v>
      </c>
      <c r="AC13" s="402">
        <f t="shared" si="8"/>
        <v>49590</v>
      </c>
      <c r="AF13" s="106"/>
      <c r="AG13" s="15">
        <v>6</v>
      </c>
      <c r="AH13" s="92">
        <v>889</v>
      </c>
      <c r="AI13" s="246">
        <v>44838</v>
      </c>
      <c r="AJ13" s="92">
        <v>889</v>
      </c>
      <c r="AK13" s="95" t="s">
        <v>416</v>
      </c>
      <c r="AL13" s="71">
        <v>57</v>
      </c>
      <c r="AM13" s="402">
        <f t="shared" si="9"/>
        <v>50673</v>
      </c>
      <c r="AP13" s="106"/>
      <c r="AQ13" s="15">
        <v>6</v>
      </c>
      <c r="AR13" s="92">
        <v>923.96</v>
      </c>
      <c r="AS13" s="246">
        <v>44839</v>
      </c>
      <c r="AT13" s="92">
        <v>923.96</v>
      </c>
      <c r="AU13" s="95" t="s">
        <v>423</v>
      </c>
      <c r="AV13" s="71">
        <v>57</v>
      </c>
      <c r="AW13" s="402">
        <f t="shared" si="10"/>
        <v>52665.72</v>
      </c>
      <c r="AZ13" s="106"/>
      <c r="BA13" s="15">
        <v>6</v>
      </c>
      <c r="BB13" s="92">
        <v>877.2</v>
      </c>
      <c r="BC13" s="246">
        <v>44842</v>
      </c>
      <c r="BD13" s="92">
        <v>877.2</v>
      </c>
      <c r="BE13" s="95" t="s">
        <v>456</v>
      </c>
      <c r="BF13" s="71">
        <v>57</v>
      </c>
      <c r="BG13" s="402">
        <f t="shared" si="11"/>
        <v>50000.4</v>
      </c>
      <c r="BJ13" s="106"/>
      <c r="BK13" s="15">
        <v>6</v>
      </c>
      <c r="BL13" s="92">
        <v>896.3</v>
      </c>
      <c r="BM13" s="135">
        <v>44844</v>
      </c>
      <c r="BN13" s="92">
        <v>896.3</v>
      </c>
      <c r="BO13" s="95" t="s">
        <v>434</v>
      </c>
      <c r="BP13" s="290">
        <v>57</v>
      </c>
      <c r="BQ13" s="492">
        <f t="shared" si="12"/>
        <v>51089.1</v>
      </c>
      <c r="BR13" s="402"/>
      <c r="BT13" s="106"/>
      <c r="BU13" s="15">
        <v>6</v>
      </c>
      <c r="BV13" s="92">
        <v>925.78</v>
      </c>
      <c r="BW13" s="291">
        <v>44845</v>
      </c>
      <c r="BX13" s="92">
        <v>925.78</v>
      </c>
      <c r="BY13" s="607" t="s">
        <v>468</v>
      </c>
      <c r="BZ13" s="292">
        <v>57</v>
      </c>
      <c r="CA13" s="402">
        <f t="shared" si="13"/>
        <v>52769.46</v>
      </c>
      <c r="CD13" s="214"/>
      <c r="CE13" s="15">
        <v>6</v>
      </c>
      <c r="CF13" s="92">
        <v>915.3</v>
      </c>
      <c r="CG13" s="291">
        <v>44846</v>
      </c>
      <c r="CH13" s="92">
        <v>915.3</v>
      </c>
      <c r="CI13" s="293" t="s">
        <v>475</v>
      </c>
      <c r="CJ13" s="292">
        <v>57</v>
      </c>
      <c r="CK13" s="402">
        <f t="shared" si="14"/>
        <v>52172.1</v>
      </c>
      <c r="CN13" s="94"/>
      <c r="CO13" s="15">
        <v>6</v>
      </c>
      <c r="CP13" s="92">
        <v>913.5</v>
      </c>
      <c r="CQ13" s="291">
        <v>44847</v>
      </c>
      <c r="CR13" s="92">
        <v>913.5</v>
      </c>
      <c r="CS13" s="293" t="s">
        <v>491</v>
      </c>
      <c r="CT13" s="292">
        <v>58</v>
      </c>
      <c r="CU13" s="407">
        <f t="shared" si="48"/>
        <v>52983</v>
      </c>
      <c r="CX13" s="106"/>
      <c r="CY13" s="15">
        <v>6</v>
      </c>
      <c r="CZ13" s="92">
        <v>897.7</v>
      </c>
      <c r="DA13" s="246">
        <v>44847</v>
      </c>
      <c r="DB13" s="92">
        <v>897.7</v>
      </c>
      <c r="DC13" s="95" t="s">
        <v>488</v>
      </c>
      <c r="DD13" s="71">
        <v>58</v>
      </c>
      <c r="DE13" s="402">
        <f t="shared" si="15"/>
        <v>52066.600000000006</v>
      </c>
      <c r="DH13" s="106"/>
      <c r="DI13" s="15">
        <v>6</v>
      </c>
      <c r="DJ13" s="768">
        <v>911.7</v>
      </c>
      <c r="DK13" s="796">
        <v>44848</v>
      </c>
      <c r="DL13" s="768">
        <v>911.7</v>
      </c>
      <c r="DM13" s="797" t="s">
        <v>497</v>
      </c>
      <c r="DN13" s="798">
        <v>59</v>
      </c>
      <c r="DO13" s="407">
        <f t="shared" si="16"/>
        <v>53790.3</v>
      </c>
      <c r="DR13" s="106"/>
      <c r="DS13" s="15">
        <v>6</v>
      </c>
      <c r="DT13" s="92">
        <v>925.3</v>
      </c>
      <c r="DU13" s="291">
        <v>44849</v>
      </c>
      <c r="DV13" s="92">
        <v>925.3</v>
      </c>
      <c r="DW13" s="293" t="s">
        <v>503</v>
      </c>
      <c r="DX13" s="292">
        <v>59</v>
      </c>
      <c r="DY13" s="402">
        <f t="shared" si="17"/>
        <v>54592.7</v>
      </c>
      <c r="EB13" s="106"/>
      <c r="EC13" s="15">
        <v>6</v>
      </c>
      <c r="ED13" s="69">
        <v>964.33</v>
      </c>
      <c r="EE13" s="254">
        <v>44848</v>
      </c>
      <c r="EF13" s="69">
        <v>964.33</v>
      </c>
      <c r="EG13" s="70" t="s">
        <v>497</v>
      </c>
      <c r="EH13" s="71">
        <v>59</v>
      </c>
      <c r="EI13" s="402">
        <f t="shared" si="18"/>
        <v>56895.47</v>
      </c>
      <c r="EL13" s="106"/>
      <c r="EM13" s="15">
        <v>6</v>
      </c>
      <c r="EN13" s="69">
        <v>894.9</v>
      </c>
      <c r="EO13" s="254">
        <v>44853</v>
      </c>
      <c r="EP13" s="69">
        <v>894.9</v>
      </c>
      <c r="EQ13" s="70" t="s">
        <v>518</v>
      </c>
      <c r="ER13" s="71">
        <v>60</v>
      </c>
      <c r="ES13" s="402">
        <f t="shared" si="19"/>
        <v>53694</v>
      </c>
      <c r="EV13" s="333"/>
      <c r="EW13" s="15">
        <v>6</v>
      </c>
      <c r="EX13" s="92">
        <v>913.08</v>
      </c>
      <c r="EY13" s="246">
        <v>44852</v>
      </c>
      <c r="EZ13" s="92">
        <v>913.08</v>
      </c>
      <c r="FA13" s="70" t="s">
        <v>513</v>
      </c>
      <c r="FB13" s="71">
        <v>60</v>
      </c>
      <c r="FC13" s="402">
        <f t="shared" si="20"/>
        <v>54784.800000000003</v>
      </c>
      <c r="FF13" s="333"/>
      <c r="FG13" s="15">
        <v>6</v>
      </c>
      <c r="FH13" s="92">
        <v>898.11</v>
      </c>
      <c r="FI13" s="246">
        <v>44854</v>
      </c>
      <c r="FJ13" s="92">
        <v>898.11</v>
      </c>
      <c r="FK13" s="70" t="s">
        <v>532</v>
      </c>
      <c r="FL13" s="71">
        <v>60</v>
      </c>
      <c r="FM13" s="245">
        <f t="shared" si="21"/>
        <v>53886.6</v>
      </c>
      <c r="FP13" s="106"/>
      <c r="FQ13" s="15">
        <v>6</v>
      </c>
      <c r="FR13" s="92">
        <v>884.5</v>
      </c>
      <c r="FS13" s="246">
        <v>44854</v>
      </c>
      <c r="FT13" s="92">
        <v>884.5</v>
      </c>
      <c r="FU13" s="70" t="s">
        <v>521</v>
      </c>
      <c r="FV13" s="71">
        <v>60</v>
      </c>
      <c r="FW13" s="402">
        <f t="shared" si="22"/>
        <v>53070</v>
      </c>
      <c r="FZ13" s="106"/>
      <c r="GA13" s="15">
        <v>6</v>
      </c>
      <c r="GB13" s="69">
        <v>892.7</v>
      </c>
      <c r="GC13" s="254">
        <v>44854</v>
      </c>
      <c r="GD13" s="69">
        <v>892.7</v>
      </c>
      <c r="GE13" s="70" t="s">
        <v>525</v>
      </c>
      <c r="GF13" s="71">
        <v>60</v>
      </c>
      <c r="GG13" s="245">
        <f t="shared" si="23"/>
        <v>53562</v>
      </c>
      <c r="GJ13" s="106"/>
      <c r="GK13" s="15">
        <v>6</v>
      </c>
      <c r="GL13" s="359">
        <v>906.3</v>
      </c>
      <c r="GM13" s="246">
        <v>44855</v>
      </c>
      <c r="GN13" s="359">
        <v>906.3</v>
      </c>
      <c r="GO13" s="95" t="s">
        <v>538</v>
      </c>
      <c r="GP13" s="71">
        <v>60</v>
      </c>
      <c r="GQ13" s="402">
        <f t="shared" si="24"/>
        <v>54378</v>
      </c>
      <c r="GT13" s="106"/>
      <c r="GU13" s="15">
        <v>6</v>
      </c>
      <c r="GV13" s="92">
        <v>902.6</v>
      </c>
      <c r="GW13" s="246">
        <v>44858</v>
      </c>
      <c r="GX13" s="92">
        <v>902.6</v>
      </c>
      <c r="GY13" s="95" t="s">
        <v>546</v>
      </c>
      <c r="GZ13" s="71">
        <v>60</v>
      </c>
      <c r="HA13" s="402">
        <f t="shared" si="25"/>
        <v>54156</v>
      </c>
      <c r="HD13" s="106"/>
      <c r="HE13" s="15">
        <v>6</v>
      </c>
      <c r="HF13" s="92">
        <v>895.84</v>
      </c>
      <c r="HG13" s="246">
        <v>44859</v>
      </c>
      <c r="HH13" s="92">
        <v>895.84</v>
      </c>
      <c r="HI13" s="95" t="s">
        <v>552</v>
      </c>
      <c r="HJ13" s="71">
        <v>56</v>
      </c>
      <c r="HK13" s="402">
        <f t="shared" si="26"/>
        <v>50167.040000000001</v>
      </c>
      <c r="HN13" s="106"/>
      <c r="HO13" s="15">
        <v>6</v>
      </c>
      <c r="HP13" s="92">
        <v>934.4</v>
      </c>
      <c r="HQ13" s="246">
        <v>44859</v>
      </c>
      <c r="HR13" s="92">
        <v>934.4</v>
      </c>
      <c r="HS13" s="294" t="s">
        <v>554</v>
      </c>
      <c r="HT13" s="71">
        <v>56</v>
      </c>
      <c r="HU13" s="402">
        <f t="shared" si="27"/>
        <v>52326.400000000001</v>
      </c>
      <c r="HX13" s="106"/>
      <c r="HY13" s="15">
        <v>6</v>
      </c>
      <c r="HZ13" s="69">
        <v>894.48</v>
      </c>
      <c r="IA13" s="254">
        <v>44860</v>
      </c>
      <c r="IB13" s="69">
        <v>894.48</v>
      </c>
      <c r="IC13" s="70" t="s">
        <v>565</v>
      </c>
      <c r="ID13" s="71">
        <v>56</v>
      </c>
      <c r="IE13" s="402">
        <f t="shared" si="5"/>
        <v>50090.880000000005</v>
      </c>
      <c r="IH13" s="106"/>
      <c r="II13" s="15">
        <v>6</v>
      </c>
      <c r="IJ13" s="69">
        <v>933.5</v>
      </c>
      <c r="IK13" s="254">
        <v>44862</v>
      </c>
      <c r="IL13" s="69">
        <v>933.5</v>
      </c>
      <c r="IM13" s="70" t="s">
        <v>577</v>
      </c>
      <c r="IN13" s="71">
        <v>56</v>
      </c>
      <c r="IO13" s="402">
        <f t="shared" si="28"/>
        <v>52276</v>
      </c>
      <c r="IQ13" s="499"/>
      <c r="IR13" s="106"/>
      <c r="IS13" s="15">
        <v>6</v>
      </c>
      <c r="IT13" s="92">
        <v>892.7</v>
      </c>
      <c r="IU13" s="135">
        <v>44863</v>
      </c>
      <c r="IV13" s="92">
        <v>892.7</v>
      </c>
      <c r="IW13" s="370" t="s">
        <v>585</v>
      </c>
      <c r="IX13" s="71">
        <v>56</v>
      </c>
      <c r="IY13" s="245">
        <f t="shared" si="29"/>
        <v>49991.200000000004</v>
      </c>
      <c r="IZ13" s="92"/>
      <c r="JA13" s="69"/>
      <c r="JB13" s="106"/>
      <c r="JC13" s="15">
        <v>6</v>
      </c>
      <c r="JD13" s="92">
        <v>941.2</v>
      </c>
      <c r="JE13" s="254">
        <v>44863</v>
      </c>
      <c r="JF13" s="92">
        <v>941.2</v>
      </c>
      <c r="JG13" s="70" t="s">
        <v>581</v>
      </c>
      <c r="JH13" s="71">
        <v>56</v>
      </c>
      <c r="JI13" s="402">
        <f t="shared" si="30"/>
        <v>52707.200000000004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>
        <v>44840</v>
      </c>
      <c r="P14" s="69">
        <v>934.4</v>
      </c>
      <c r="Q14" s="70" t="s">
        <v>432</v>
      </c>
      <c r="R14" s="71">
        <v>57</v>
      </c>
      <c r="S14" s="402">
        <f t="shared" si="7"/>
        <v>53260.799999999996</v>
      </c>
      <c r="V14" s="106"/>
      <c r="W14" s="15">
        <v>7</v>
      </c>
      <c r="X14" s="69">
        <v>875.4</v>
      </c>
      <c r="Y14" s="254">
        <v>44838</v>
      </c>
      <c r="Z14" s="69">
        <v>875.4</v>
      </c>
      <c r="AA14" s="70" t="s">
        <v>419</v>
      </c>
      <c r="AB14" s="71">
        <v>57</v>
      </c>
      <c r="AC14" s="402">
        <f t="shared" si="8"/>
        <v>49897.799999999996</v>
      </c>
      <c r="AF14" s="106"/>
      <c r="AG14" s="15">
        <v>7</v>
      </c>
      <c r="AH14" s="92">
        <v>880.9</v>
      </c>
      <c r="AI14" s="246">
        <v>44838</v>
      </c>
      <c r="AJ14" s="92">
        <v>880.9</v>
      </c>
      <c r="AK14" s="95" t="s">
        <v>416</v>
      </c>
      <c r="AL14" s="71">
        <v>57</v>
      </c>
      <c r="AM14" s="402">
        <f t="shared" si="9"/>
        <v>50211.299999999996</v>
      </c>
      <c r="AP14" s="106"/>
      <c r="AQ14" s="15">
        <v>7</v>
      </c>
      <c r="AR14" s="92">
        <v>905.37</v>
      </c>
      <c r="AS14" s="246">
        <v>44839</v>
      </c>
      <c r="AT14" s="92">
        <v>905.37</v>
      </c>
      <c r="AU14" s="95" t="s">
        <v>423</v>
      </c>
      <c r="AV14" s="71">
        <v>57</v>
      </c>
      <c r="AW14" s="402">
        <f t="shared" si="10"/>
        <v>51606.090000000004</v>
      </c>
      <c r="AZ14" s="106"/>
      <c r="BA14" s="15">
        <v>7</v>
      </c>
      <c r="BB14" s="92">
        <v>919</v>
      </c>
      <c r="BC14" s="246">
        <v>44842</v>
      </c>
      <c r="BD14" s="92">
        <v>919</v>
      </c>
      <c r="BE14" s="95" t="s">
        <v>456</v>
      </c>
      <c r="BF14" s="71">
        <v>57</v>
      </c>
      <c r="BG14" s="402">
        <f t="shared" si="11"/>
        <v>52383</v>
      </c>
      <c r="BJ14" s="712"/>
      <c r="BK14" s="15">
        <v>7</v>
      </c>
      <c r="BL14" s="92">
        <v>879.1</v>
      </c>
      <c r="BM14" s="135">
        <v>44842</v>
      </c>
      <c r="BN14" s="92">
        <v>879.1</v>
      </c>
      <c r="BO14" s="95" t="s">
        <v>458</v>
      </c>
      <c r="BP14" s="290">
        <v>57</v>
      </c>
      <c r="BQ14" s="492">
        <f t="shared" si="12"/>
        <v>50108.700000000004</v>
      </c>
      <c r="BR14" s="402"/>
      <c r="BT14" s="106"/>
      <c r="BU14" s="15">
        <v>7</v>
      </c>
      <c r="BV14" s="92">
        <v>929.41</v>
      </c>
      <c r="BW14" s="291">
        <v>44845</v>
      </c>
      <c r="BX14" s="92">
        <v>929.41</v>
      </c>
      <c r="BY14" s="607" t="s">
        <v>468</v>
      </c>
      <c r="BZ14" s="292">
        <v>57</v>
      </c>
      <c r="CA14" s="402">
        <f t="shared" si="13"/>
        <v>52976.369999999995</v>
      </c>
      <c r="CD14" s="214"/>
      <c r="CE14" s="15">
        <v>7</v>
      </c>
      <c r="CF14" s="92">
        <v>908.5</v>
      </c>
      <c r="CG14" s="291">
        <v>44846</v>
      </c>
      <c r="CH14" s="92">
        <v>908.5</v>
      </c>
      <c r="CI14" s="293" t="s">
        <v>475</v>
      </c>
      <c r="CJ14" s="292">
        <v>57</v>
      </c>
      <c r="CK14" s="402">
        <f t="shared" si="14"/>
        <v>51784.5</v>
      </c>
      <c r="CN14" s="94"/>
      <c r="CO14" s="15">
        <v>7</v>
      </c>
      <c r="CP14" s="92">
        <v>898.1</v>
      </c>
      <c r="CQ14" s="291">
        <v>44847</v>
      </c>
      <c r="CR14" s="92">
        <v>898.1</v>
      </c>
      <c r="CS14" s="293" t="s">
        <v>491</v>
      </c>
      <c r="CT14" s="292">
        <v>58</v>
      </c>
      <c r="CU14" s="407">
        <f t="shared" si="48"/>
        <v>52089.8</v>
      </c>
      <c r="CX14" s="106"/>
      <c r="CY14" s="15">
        <v>7</v>
      </c>
      <c r="CZ14" s="92">
        <v>902.6</v>
      </c>
      <c r="DA14" s="246">
        <v>44847</v>
      </c>
      <c r="DB14" s="92">
        <v>902.6</v>
      </c>
      <c r="DC14" s="95" t="s">
        <v>488</v>
      </c>
      <c r="DD14" s="71">
        <v>58</v>
      </c>
      <c r="DE14" s="402">
        <f t="shared" si="15"/>
        <v>52350.8</v>
      </c>
      <c r="DH14" s="106"/>
      <c r="DI14" s="15">
        <v>7</v>
      </c>
      <c r="DJ14" s="768">
        <v>866.4</v>
      </c>
      <c r="DK14" s="796">
        <v>44848</v>
      </c>
      <c r="DL14" s="768">
        <v>866.4</v>
      </c>
      <c r="DM14" s="797" t="s">
        <v>497</v>
      </c>
      <c r="DN14" s="798">
        <v>59</v>
      </c>
      <c r="DO14" s="407">
        <f t="shared" si="16"/>
        <v>51117.599999999999</v>
      </c>
      <c r="DR14" s="106"/>
      <c r="DS14" s="15">
        <v>7</v>
      </c>
      <c r="DT14" s="92">
        <v>888.2</v>
      </c>
      <c r="DU14" s="291">
        <v>44849</v>
      </c>
      <c r="DV14" s="92">
        <v>888.1</v>
      </c>
      <c r="DW14" s="293" t="s">
        <v>503</v>
      </c>
      <c r="DX14" s="292">
        <v>59</v>
      </c>
      <c r="DY14" s="402">
        <f t="shared" si="17"/>
        <v>52397.9</v>
      </c>
      <c r="EB14" s="106"/>
      <c r="EC14" s="15">
        <v>7</v>
      </c>
      <c r="ED14" s="69">
        <v>961.61</v>
      </c>
      <c r="EE14" s="254">
        <v>44848</v>
      </c>
      <c r="EF14" s="69">
        <v>961.61</v>
      </c>
      <c r="EG14" s="70" t="s">
        <v>497</v>
      </c>
      <c r="EH14" s="71">
        <v>59</v>
      </c>
      <c r="EI14" s="402">
        <f t="shared" si="18"/>
        <v>56734.99</v>
      </c>
      <c r="EL14" s="106"/>
      <c r="EM14" s="15">
        <v>7</v>
      </c>
      <c r="EN14" s="69">
        <v>940.7</v>
      </c>
      <c r="EO14" s="254">
        <v>44853</v>
      </c>
      <c r="EP14" s="69">
        <v>940.7</v>
      </c>
      <c r="EQ14" s="70" t="s">
        <v>518</v>
      </c>
      <c r="ER14" s="71">
        <v>60</v>
      </c>
      <c r="ES14" s="402">
        <f t="shared" si="19"/>
        <v>56442</v>
      </c>
      <c r="EV14" s="333"/>
      <c r="EW14" s="15">
        <v>7</v>
      </c>
      <c r="EX14" s="92">
        <v>951.18</v>
      </c>
      <c r="EY14" s="246">
        <v>44852</v>
      </c>
      <c r="EZ14" s="92">
        <v>951.18</v>
      </c>
      <c r="FA14" s="70" t="s">
        <v>513</v>
      </c>
      <c r="FB14" s="71">
        <v>60</v>
      </c>
      <c r="FC14" s="402">
        <f t="shared" si="20"/>
        <v>57070.799999999996</v>
      </c>
      <c r="FF14" s="333"/>
      <c r="FG14" s="15">
        <v>7</v>
      </c>
      <c r="FH14" s="92">
        <v>886.31</v>
      </c>
      <c r="FI14" s="246">
        <v>44854</v>
      </c>
      <c r="FJ14" s="92">
        <v>886.31</v>
      </c>
      <c r="FK14" s="70" t="s">
        <v>523</v>
      </c>
      <c r="FL14" s="71">
        <v>60</v>
      </c>
      <c r="FM14" s="245">
        <f t="shared" si="21"/>
        <v>53178.6</v>
      </c>
      <c r="FP14" s="106"/>
      <c r="FQ14" s="15">
        <v>7</v>
      </c>
      <c r="FR14" s="92">
        <v>889.9</v>
      </c>
      <c r="FS14" s="246">
        <v>44854</v>
      </c>
      <c r="FT14" s="92">
        <v>889.9</v>
      </c>
      <c r="FU14" s="70" t="s">
        <v>521</v>
      </c>
      <c r="FV14" s="71">
        <v>60</v>
      </c>
      <c r="FW14" s="402">
        <f t="shared" si="22"/>
        <v>53394</v>
      </c>
      <c r="FZ14" s="106"/>
      <c r="GA14" s="15">
        <v>7</v>
      </c>
      <c r="GB14" s="69">
        <v>861.8</v>
      </c>
      <c r="GC14" s="254">
        <v>44854</v>
      </c>
      <c r="GD14" s="69">
        <v>861.8</v>
      </c>
      <c r="GE14" s="70" t="s">
        <v>525</v>
      </c>
      <c r="GF14" s="71">
        <v>60</v>
      </c>
      <c r="GG14" s="245">
        <f t="shared" si="23"/>
        <v>51708</v>
      </c>
      <c r="GJ14" s="106"/>
      <c r="GK14" s="15">
        <v>7</v>
      </c>
      <c r="GL14" s="359">
        <v>918.1</v>
      </c>
      <c r="GM14" s="246">
        <v>44855</v>
      </c>
      <c r="GN14" s="359">
        <v>918.1</v>
      </c>
      <c r="GO14" s="95" t="s">
        <v>538</v>
      </c>
      <c r="GP14" s="71">
        <v>60</v>
      </c>
      <c r="GQ14" s="402">
        <f t="shared" si="24"/>
        <v>55086</v>
      </c>
      <c r="GT14" s="106"/>
      <c r="GU14" s="15">
        <v>7</v>
      </c>
      <c r="GV14" s="92">
        <v>904</v>
      </c>
      <c r="GW14" s="246">
        <v>44858</v>
      </c>
      <c r="GX14" s="105">
        <v>904</v>
      </c>
      <c r="GY14" s="95" t="s">
        <v>546</v>
      </c>
      <c r="GZ14" s="71">
        <v>60</v>
      </c>
      <c r="HA14" s="402">
        <f t="shared" si="25"/>
        <v>54240</v>
      </c>
      <c r="HD14" s="106"/>
      <c r="HE14" s="15">
        <v>7</v>
      </c>
      <c r="HF14" s="92">
        <v>928.95</v>
      </c>
      <c r="HG14" s="246">
        <v>44859</v>
      </c>
      <c r="HH14" s="92">
        <v>928.95</v>
      </c>
      <c r="HI14" s="95" t="s">
        <v>552</v>
      </c>
      <c r="HJ14" s="71">
        <v>56</v>
      </c>
      <c r="HK14" s="402">
        <f t="shared" si="26"/>
        <v>52021.200000000004</v>
      </c>
      <c r="HN14" s="106"/>
      <c r="HO14" s="15">
        <v>7</v>
      </c>
      <c r="HP14" s="92">
        <v>907.2</v>
      </c>
      <c r="HQ14" s="246">
        <v>44859</v>
      </c>
      <c r="HR14" s="92">
        <v>907.2</v>
      </c>
      <c r="HS14" s="294" t="s">
        <v>554</v>
      </c>
      <c r="HT14" s="71">
        <v>56</v>
      </c>
      <c r="HU14" s="402">
        <f t="shared" si="27"/>
        <v>50803.200000000004</v>
      </c>
      <c r="HX14" s="106"/>
      <c r="HY14" s="15">
        <v>7</v>
      </c>
      <c r="HZ14" s="69">
        <v>913.98</v>
      </c>
      <c r="IA14" s="254">
        <v>44860</v>
      </c>
      <c r="IB14" s="69">
        <v>913.98</v>
      </c>
      <c r="IC14" s="70" t="s">
        <v>565</v>
      </c>
      <c r="ID14" s="71">
        <v>56</v>
      </c>
      <c r="IE14" s="402">
        <f t="shared" si="5"/>
        <v>51182.880000000005</v>
      </c>
      <c r="IH14" s="106"/>
      <c r="II14" s="15">
        <v>7</v>
      </c>
      <c r="IJ14" s="69">
        <v>895.4</v>
      </c>
      <c r="IK14" s="254">
        <v>44862</v>
      </c>
      <c r="IL14" s="69">
        <v>895.4</v>
      </c>
      <c r="IM14" s="70" t="s">
        <v>577</v>
      </c>
      <c r="IN14" s="71">
        <v>56</v>
      </c>
      <c r="IO14" s="402">
        <f t="shared" si="28"/>
        <v>50142.400000000001</v>
      </c>
      <c r="IQ14" s="496"/>
      <c r="IR14" s="106"/>
      <c r="IS14" s="15">
        <v>7</v>
      </c>
      <c r="IT14" s="92">
        <v>929</v>
      </c>
      <c r="IU14" s="135">
        <v>44862</v>
      </c>
      <c r="IV14" s="92">
        <v>929</v>
      </c>
      <c r="IW14" s="370" t="s">
        <v>576</v>
      </c>
      <c r="IX14" s="71">
        <v>56</v>
      </c>
      <c r="IY14" s="245">
        <f t="shared" si="29"/>
        <v>52024</v>
      </c>
      <c r="IZ14" s="92"/>
      <c r="JA14" s="69"/>
      <c r="JB14" s="106"/>
      <c r="JC14" s="15">
        <v>7</v>
      </c>
      <c r="JD14" s="92">
        <v>898.1</v>
      </c>
      <c r="JE14" s="254">
        <v>44863</v>
      </c>
      <c r="JF14" s="92">
        <v>898.1</v>
      </c>
      <c r="JG14" s="70" t="s">
        <v>581</v>
      </c>
      <c r="JH14" s="71">
        <v>56</v>
      </c>
      <c r="JI14" s="402">
        <f t="shared" si="30"/>
        <v>50293.599999999999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>
        <v>44840</v>
      </c>
      <c r="P15" s="69">
        <v>972.04</v>
      </c>
      <c r="Q15" s="70" t="s">
        <v>437</v>
      </c>
      <c r="R15" s="71">
        <v>57</v>
      </c>
      <c r="S15" s="402">
        <f t="shared" si="7"/>
        <v>55406.28</v>
      </c>
      <c r="V15" s="106"/>
      <c r="W15" s="15">
        <v>8</v>
      </c>
      <c r="X15" s="69">
        <v>880</v>
      </c>
      <c r="Y15" s="254">
        <v>44838</v>
      </c>
      <c r="Z15" s="69">
        <v>880</v>
      </c>
      <c r="AA15" s="70" t="s">
        <v>419</v>
      </c>
      <c r="AB15" s="71">
        <v>57</v>
      </c>
      <c r="AC15" s="402">
        <f t="shared" si="8"/>
        <v>50160</v>
      </c>
      <c r="AF15" s="106"/>
      <c r="AG15" s="15">
        <v>8</v>
      </c>
      <c r="AH15" s="92">
        <v>864.5</v>
      </c>
      <c r="AI15" s="246">
        <v>44838</v>
      </c>
      <c r="AJ15" s="92">
        <v>864.5</v>
      </c>
      <c r="AK15" s="95" t="s">
        <v>416</v>
      </c>
      <c r="AL15" s="71">
        <v>57</v>
      </c>
      <c r="AM15" s="402">
        <f t="shared" si="9"/>
        <v>49276.5</v>
      </c>
      <c r="AP15" s="106"/>
      <c r="AQ15" s="15">
        <v>8</v>
      </c>
      <c r="AR15" s="92">
        <v>938.93</v>
      </c>
      <c r="AS15" s="246">
        <v>44839</v>
      </c>
      <c r="AT15" s="92">
        <v>938.93</v>
      </c>
      <c r="AU15" s="95" t="s">
        <v>423</v>
      </c>
      <c r="AV15" s="71">
        <v>57</v>
      </c>
      <c r="AW15" s="402">
        <f t="shared" si="10"/>
        <v>53519.009999999995</v>
      </c>
      <c r="AZ15" s="106"/>
      <c r="BA15" s="15">
        <v>8</v>
      </c>
      <c r="BB15" s="92">
        <v>911.7</v>
      </c>
      <c r="BC15" s="246">
        <v>44842</v>
      </c>
      <c r="BD15" s="92">
        <v>911.7</v>
      </c>
      <c r="BE15" s="95" t="s">
        <v>449</v>
      </c>
      <c r="BF15" s="71">
        <v>57</v>
      </c>
      <c r="BG15" s="402">
        <f t="shared" si="11"/>
        <v>51966.9</v>
      </c>
      <c r="BJ15" s="712"/>
      <c r="BK15" s="15">
        <v>8</v>
      </c>
      <c r="BL15" s="92">
        <v>881.8</v>
      </c>
      <c r="BM15" s="135">
        <v>44842</v>
      </c>
      <c r="BN15" s="92">
        <v>881.8</v>
      </c>
      <c r="BO15" s="95" t="s">
        <v>458</v>
      </c>
      <c r="BP15" s="290">
        <v>57</v>
      </c>
      <c r="BQ15" s="492">
        <f t="shared" si="12"/>
        <v>50262.6</v>
      </c>
      <c r="BR15" s="402"/>
      <c r="BT15" s="106"/>
      <c r="BU15" s="15">
        <v>8</v>
      </c>
      <c r="BV15" s="92">
        <v>922.6</v>
      </c>
      <c r="BW15" s="291">
        <v>44845</v>
      </c>
      <c r="BX15" s="92">
        <v>922.6</v>
      </c>
      <c r="BY15" s="607" t="s">
        <v>468</v>
      </c>
      <c r="BZ15" s="292">
        <v>57</v>
      </c>
      <c r="CA15" s="402">
        <f t="shared" si="13"/>
        <v>52588.200000000004</v>
      </c>
      <c r="CD15" s="214"/>
      <c r="CE15" s="15">
        <v>8</v>
      </c>
      <c r="CF15" s="92">
        <v>882.2</v>
      </c>
      <c r="CG15" s="291">
        <v>44846</v>
      </c>
      <c r="CH15" s="92">
        <v>882.2</v>
      </c>
      <c r="CI15" s="293" t="s">
        <v>475</v>
      </c>
      <c r="CJ15" s="292">
        <v>57</v>
      </c>
      <c r="CK15" s="402">
        <f t="shared" si="14"/>
        <v>50285.4</v>
      </c>
      <c r="CN15" s="94"/>
      <c r="CO15" s="15">
        <v>8</v>
      </c>
      <c r="CP15" s="92">
        <v>889.9</v>
      </c>
      <c r="CQ15" s="291">
        <v>44847</v>
      </c>
      <c r="CR15" s="92">
        <v>889.9</v>
      </c>
      <c r="CS15" s="293" t="s">
        <v>491</v>
      </c>
      <c r="CT15" s="292">
        <v>58</v>
      </c>
      <c r="CU15" s="407">
        <f t="shared" si="48"/>
        <v>51614.2</v>
      </c>
      <c r="CX15" s="106"/>
      <c r="CY15" s="15">
        <v>8</v>
      </c>
      <c r="CZ15" s="92">
        <v>874.5</v>
      </c>
      <c r="DA15" s="246">
        <v>44847</v>
      </c>
      <c r="DB15" s="92">
        <v>874.5</v>
      </c>
      <c r="DC15" s="95" t="s">
        <v>488</v>
      </c>
      <c r="DD15" s="71">
        <v>58</v>
      </c>
      <c r="DE15" s="402">
        <f t="shared" si="15"/>
        <v>50721</v>
      </c>
      <c r="DH15" s="106"/>
      <c r="DI15" s="15">
        <v>8</v>
      </c>
      <c r="DJ15" s="768">
        <v>908.1</v>
      </c>
      <c r="DK15" s="796">
        <v>44849</v>
      </c>
      <c r="DL15" s="768">
        <v>908.1</v>
      </c>
      <c r="DM15" s="797" t="s">
        <v>501</v>
      </c>
      <c r="DN15" s="798">
        <v>59</v>
      </c>
      <c r="DO15" s="407">
        <f t="shared" si="16"/>
        <v>53577.9</v>
      </c>
      <c r="DR15" s="106"/>
      <c r="DS15" s="15">
        <v>8</v>
      </c>
      <c r="DT15" s="92">
        <v>893.6</v>
      </c>
      <c r="DU15" s="291">
        <v>44849</v>
      </c>
      <c r="DV15" s="92">
        <v>893.6</v>
      </c>
      <c r="DW15" s="293" t="s">
        <v>504</v>
      </c>
      <c r="DX15" s="292">
        <v>59</v>
      </c>
      <c r="DY15" s="402">
        <f t="shared" si="17"/>
        <v>52722.400000000001</v>
      </c>
      <c r="EB15" s="106"/>
      <c r="EC15" s="15">
        <v>8</v>
      </c>
      <c r="ED15" s="69">
        <v>960.25</v>
      </c>
      <c r="EE15" s="254">
        <v>44848</v>
      </c>
      <c r="EF15" s="69">
        <v>960.25</v>
      </c>
      <c r="EG15" s="70" t="s">
        <v>436</v>
      </c>
      <c r="EH15" s="71">
        <v>59</v>
      </c>
      <c r="EI15" s="402">
        <f t="shared" si="18"/>
        <v>56654.75</v>
      </c>
      <c r="EL15" s="106"/>
      <c r="EM15" s="15">
        <v>8</v>
      </c>
      <c r="EN15" s="69">
        <v>915.8</v>
      </c>
      <c r="EO15" s="254">
        <v>44853</v>
      </c>
      <c r="EP15" s="69">
        <v>915.8</v>
      </c>
      <c r="EQ15" s="70" t="s">
        <v>518</v>
      </c>
      <c r="ER15" s="71">
        <v>60</v>
      </c>
      <c r="ES15" s="402">
        <f t="shared" si="19"/>
        <v>54948</v>
      </c>
      <c r="EV15" s="333"/>
      <c r="EW15" s="15">
        <v>8</v>
      </c>
      <c r="EX15" s="92">
        <v>940.75</v>
      </c>
      <c r="EY15" s="246">
        <v>44852</v>
      </c>
      <c r="EZ15" s="92">
        <v>940.75</v>
      </c>
      <c r="FA15" s="70" t="s">
        <v>513</v>
      </c>
      <c r="FB15" s="71">
        <v>60</v>
      </c>
      <c r="FC15" s="402">
        <f t="shared" si="20"/>
        <v>56445</v>
      </c>
      <c r="FF15" s="333"/>
      <c r="FG15" s="15">
        <v>8</v>
      </c>
      <c r="FH15" s="92">
        <v>902.64</v>
      </c>
      <c r="FI15" s="246">
        <v>44854</v>
      </c>
      <c r="FJ15" s="92">
        <v>902.64</v>
      </c>
      <c r="FK15" s="70" t="s">
        <v>531</v>
      </c>
      <c r="FL15" s="71">
        <v>60</v>
      </c>
      <c r="FM15" s="245">
        <f t="shared" si="21"/>
        <v>54158.400000000001</v>
      </c>
      <c r="FP15" s="106"/>
      <c r="FQ15" s="15">
        <v>8</v>
      </c>
      <c r="FR15" s="92">
        <v>915.3</v>
      </c>
      <c r="FS15" s="246">
        <v>44854</v>
      </c>
      <c r="FT15" s="92">
        <v>915.3</v>
      </c>
      <c r="FU15" s="70" t="s">
        <v>521</v>
      </c>
      <c r="FV15" s="71">
        <v>60</v>
      </c>
      <c r="FW15" s="402">
        <f t="shared" si="22"/>
        <v>54918</v>
      </c>
      <c r="FZ15" s="106"/>
      <c r="GA15" s="15">
        <v>8</v>
      </c>
      <c r="GB15" s="69">
        <v>863.6</v>
      </c>
      <c r="GC15" s="254">
        <v>44854</v>
      </c>
      <c r="GD15" s="69">
        <v>863.6</v>
      </c>
      <c r="GE15" s="70" t="s">
        <v>525</v>
      </c>
      <c r="GF15" s="71">
        <v>60</v>
      </c>
      <c r="GG15" s="245">
        <f t="shared" si="23"/>
        <v>51816</v>
      </c>
      <c r="GJ15" s="106"/>
      <c r="GK15" s="15">
        <v>8</v>
      </c>
      <c r="GL15" s="359">
        <v>927.1</v>
      </c>
      <c r="GM15" s="246">
        <v>44855</v>
      </c>
      <c r="GN15" s="359">
        <v>927.1</v>
      </c>
      <c r="GO15" s="95" t="s">
        <v>538</v>
      </c>
      <c r="GP15" s="71">
        <v>60</v>
      </c>
      <c r="GQ15" s="402">
        <f t="shared" si="24"/>
        <v>55626</v>
      </c>
      <c r="GT15" s="106"/>
      <c r="GU15" s="15">
        <v>8</v>
      </c>
      <c r="GV15" s="92">
        <v>889</v>
      </c>
      <c r="GW15" s="246">
        <v>44858</v>
      </c>
      <c r="GX15" s="92">
        <v>889</v>
      </c>
      <c r="GY15" s="95" t="s">
        <v>543</v>
      </c>
      <c r="GZ15" s="71">
        <v>60</v>
      </c>
      <c r="HA15" s="402">
        <f t="shared" si="25"/>
        <v>53340</v>
      </c>
      <c r="HD15" s="106"/>
      <c r="HE15" s="15">
        <v>8</v>
      </c>
      <c r="HF15" s="92">
        <v>920.33</v>
      </c>
      <c r="HG15" s="246">
        <v>44859</v>
      </c>
      <c r="HH15" s="92">
        <v>920.33</v>
      </c>
      <c r="HI15" s="95" t="s">
        <v>552</v>
      </c>
      <c r="HJ15" s="71">
        <v>56</v>
      </c>
      <c r="HK15" s="402">
        <f t="shared" si="26"/>
        <v>51538.48</v>
      </c>
      <c r="HN15" s="106"/>
      <c r="HO15" s="15">
        <v>8</v>
      </c>
      <c r="HP15" s="92">
        <v>895.4</v>
      </c>
      <c r="HQ15" s="246">
        <v>44859</v>
      </c>
      <c r="HR15" s="92">
        <v>895.4</v>
      </c>
      <c r="HS15" s="294" t="s">
        <v>554</v>
      </c>
      <c r="HT15" s="71">
        <v>56</v>
      </c>
      <c r="HU15" s="402">
        <f t="shared" si="27"/>
        <v>50142.400000000001</v>
      </c>
      <c r="HX15" s="94"/>
      <c r="HY15" s="15">
        <v>8</v>
      </c>
      <c r="HZ15" s="69">
        <v>917.16</v>
      </c>
      <c r="IA15" s="254">
        <v>44860</v>
      </c>
      <c r="IB15" s="69">
        <v>917.16</v>
      </c>
      <c r="IC15" s="70" t="s">
        <v>565</v>
      </c>
      <c r="ID15" s="71">
        <v>56</v>
      </c>
      <c r="IE15" s="402">
        <f t="shared" si="5"/>
        <v>51360.959999999999</v>
      </c>
      <c r="IH15" s="94"/>
      <c r="II15" s="15">
        <v>8</v>
      </c>
      <c r="IJ15" s="69">
        <v>893.6</v>
      </c>
      <c r="IK15" s="254">
        <v>44862</v>
      </c>
      <c r="IL15" s="69">
        <v>893.6</v>
      </c>
      <c r="IM15" s="70" t="s">
        <v>577</v>
      </c>
      <c r="IN15" s="71">
        <v>56</v>
      </c>
      <c r="IO15" s="402">
        <f t="shared" si="28"/>
        <v>50041.599999999999</v>
      </c>
      <c r="IR15" s="106"/>
      <c r="IS15" s="15">
        <v>8</v>
      </c>
      <c r="IT15" s="92">
        <v>939.8</v>
      </c>
      <c r="IU15" s="135">
        <v>44863</v>
      </c>
      <c r="IV15" s="92">
        <v>939.8</v>
      </c>
      <c r="IW15" s="370" t="s">
        <v>585</v>
      </c>
      <c r="IX15" s="71">
        <v>56</v>
      </c>
      <c r="IY15" s="245">
        <f t="shared" si="29"/>
        <v>52628.799999999996</v>
      </c>
      <c r="IZ15" s="92"/>
      <c r="JA15" s="69"/>
      <c r="JB15" s="106"/>
      <c r="JC15" s="15">
        <v>8</v>
      </c>
      <c r="JD15" s="92">
        <v>895.4</v>
      </c>
      <c r="JE15" s="254">
        <v>44863</v>
      </c>
      <c r="JF15" s="92">
        <v>895.4</v>
      </c>
      <c r="JG15" s="70" t="s">
        <v>581</v>
      </c>
      <c r="JH15" s="71">
        <v>56</v>
      </c>
      <c r="JI15" s="402">
        <f t="shared" si="30"/>
        <v>50142.400000000001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>
        <v>44840</v>
      </c>
      <c r="P16" s="69">
        <v>931.67</v>
      </c>
      <c r="Q16" s="70" t="s">
        <v>437</v>
      </c>
      <c r="R16" s="71">
        <v>57</v>
      </c>
      <c r="S16" s="402">
        <f t="shared" si="7"/>
        <v>53105.189999999995</v>
      </c>
      <c r="V16" s="106"/>
      <c r="W16" s="15">
        <v>9</v>
      </c>
      <c r="X16" s="69">
        <v>889</v>
      </c>
      <c r="Y16" s="254">
        <v>44838</v>
      </c>
      <c r="Z16" s="69">
        <v>889</v>
      </c>
      <c r="AA16" s="70" t="s">
        <v>419</v>
      </c>
      <c r="AB16" s="71">
        <v>57</v>
      </c>
      <c r="AC16" s="402">
        <f t="shared" si="8"/>
        <v>50673</v>
      </c>
      <c r="AF16" s="106"/>
      <c r="AG16" s="15">
        <v>9</v>
      </c>
      <c r="AH16" s="92">
        <v>877.2</v>
      </c>
      <c r="AI16" s="246">
        <v>44838</v>
      </c>
      <c r="AJ16" s="92">
        <v>877.2</v>
      </c>
      <c r="AK16" s="95" t="s">
        <v>416</v>
      </c>
      <c r="AL16" s="71">
        <v>57</v>
      </c>
      <c r="AM16" s="402">
        <f t="shared" si="9"/>
        <v>50000.4</v>
      </c>
      <c r="AP16" s="106"/>
      <c r="AQ16" s="15">
        <v>9</v>
      </c>
      <c r="AR16" s="92">
        <v>894.48</v>
      </c>
      <c r="AS16" s="246">
        <v>44839</v>
      </c>
      <c r="AT16" s="92">
        <v>894.48</v>
      </c>
      <c r="AU16" s="95" t="s">
        <v>423</v>
      </c>
      <c r="AV16" s="71">
        <v>57</v>
      </c>
      <c r="AW16" s="402">
        <f t="shared" si="10"/>
        <v>50985.36</v>
      </c>
      <c r="AZ16" s="106"/>
      <c r="BA16" s="15">
        <v>9</v>
      </c>
      <c r="BB16" s="92">
        <v>916.3</v>
      </c>
      <c r="BC16" s="246">
        <v>44842</v>
      </c>
      <c r="BD16" s="92">
        <v>916.3</v>
      </c>
      <c r="BE16" s="95" t="s">
        <v>449</v>
      </c>
      <c r="BF16" s="71">
        <v>57</v>
      </c>
      <c r="BG16" s="402">
        <f t="shared" si="11"/>
        <v>52229.1</v>
      </c>
      <c r="BJ16" s="712"/>
      <c r="BK16" s="15">
        <v>9</v>
      </c>
      <c r="BL16" s="92">
        <v>884.5</v>
      </c>
      <c r="BM16" s="135">
        <v>44842</v>
      </c>
      <c r="BN16" s="92">
        <v>884.5</v>
      </c>
      <c r="BO16" s="95" t="s">
        <v>458</v>
      </c>
      <c r="BP16" s="290">
        <v>57</v>
      </c>
      <c r="BQ16" s="492">
        <f t="shared" si="12"/>
        <v>50416.5</v>
      </c>
      <c r="BR16" s="402"/>
      <c r="BT16" s="106"/>
      <c r="BU16" s="15">
        <v>9</v>
      </c>
      <c r="BV16" s="92">
        <v>915.34</v>
      </c>
      <c r="BW16" s="291">
        <v>44845</v>
      </c>
      <c r="BX16" s="92">
        <v>915.34</v>
      </c>
      <c r="BY16" s="607" t="s">
        <v>468</v>
      </c>
      <c r="BZ16" s="292">
        <v>57</v>
      </c>
      <c r="CA16" s="402">
        <f t="shared" si="13"/>
        <v>52174.380000000005</v>
      </c>
      <c r="CD16" s="214"/>
      <c r="CE16" s="15">
        <v>9</v>
      </c>
      <c r="CF16" s="92">
        <v>908.1</v>
      </c>
      <c r="CG16" s="291">
        <v>44846</v>
      </c>
      <c r="CH16" s="92">
        <v>908.1</v>
      </c>
      <c r="CI16" s="293" t="s">
        <v>475</v>
      </c>
      <c r="CJ16" s="292">
        <v>57</v>
      </c>
      <c r="CK16" s="402">
        <f t="shared" si="14"/>
        <v>51761.700000000004</v>
      </c>
      <c r="CN16" s="94"/>
      <c r="CO16" s="15">
        <v>9</v>
      </c>
      <c r="CP16" s="92">
        <v>862.7</v>
      </c>
      <c r="CQ16" s="291">
        <v>44847</v>
      </c>
      <c r="CR16" s="92">
        <v>862.7</v>
      </c>
      <c r="CS16" s="293" t="s">
        <v>491</v>
      </c>
      <c r="CT16" s="292">
        <v>58</v>
      </c>
      <c r="CU16" s="407">
        <f t="shared" si="48"/>
        <v>50036.600000000006</v>
      </c>
      <c r="CX16" s="106"/>
      <c r="CY16" s="15">
        <v>9</v>
      </c>
      <c r="CZ16" s="92">
        <v>902.2</v>
      </c>
      <c r="DA16" s="246">
        <v>44847</v>
      </c>
      <c r="DB16" s="92">
        <v>902.2</v>
      </c>
      <c r="DC16" s="95" t="s">
        <v>488</v>
      </c>
      <c r="DD16" s="71">
        <v>58</v>
      </c>
      <c r="DE16" s="402">
        <f t="shared" si="15"/>
        <v>52327.600000000006</v>
      </c>
      <c r="DH16" s="106"/>
      <c r="DI16" s="15">
        <v>9</v>
      </c>
      <c r="DJ16" s="768">
        <v>932.6</v>
      </c>
      <c r="DK16" s="796">
        <v>44849</v>
      </c>
      <c r="DL16" s="768">
        <v>932.6</v>
      </c>
      <c r="DM16" s="797" t="s">
        <v>501</v>
      </c>
      <c r="DN16" s="798">
        <v>59</v>
      </c>
      <c r="DO16" s="407">
        <f t="shared" si="16"/>
        <v>55023.4</v>
      </c>
      <c r="DR16" s="106"/>
      <c r="DS16" s="15">
        <v>9</v>
      </c>
      <c r="DT16" s="92">
        <v>938.9</v>
      </c>
      <c r="DU16" s="291">
        <v>44849</v>
      </c>
      <c r="DV16" s="92">
        <v>938.9</v>
      </c>
      <c r="DW16" s="293" t="s">
        <v>503</v>
      </c>
      <c r="DX16" s="292">
        <v>59</v>
      </c>
      <c r="DY16" s="402">
        <f t="shared" si="17"/>
        <v>55395.1</v>
      </c>
      <c r="EB16" s="106"/>
      <c r="EC16" s="15">
        <v>9</v>
      </c>
      <c r="ED16" s="69">
        <v>950.27</v>
      </c>
      <c r="EE16" s="254">
        <v>44848</v>
      </c>
      <c r="EF16" s="69">
        <v>950.27</v>
      </c>
      <c r="EG16" s="70" t="s">
        <v>436</v>
      </c>
      <c r="EH16" s="71">
        <v>59</v>
      </c>
      <c r="EI16" s="402">
        <f t="shared" si="18"/>
        <v>56065.93</v>
      </c>
      <c r="EL16" s="106"/>
      <c r="EM16" s="15">
        <v>9</v>
      </c>
      <c r="EN16" s="69">
        <v>880</v>
      </c>
      <c r="EO16" s="254">
        <v>44853</v>
      </c>
      <c r="EP16" s="69">
        <v>880</v>
      </c>
      <c r="EQ16" s="70" t="s">
        <v>518</v>
      </c>
      <c r="ER16" s="71">
        <v>60</v>
      </c>
      <c r="ES16" s="402">
        <f t="shared" si="19"/>
        <v>52800</v>
      </c>
      <c r="EV16" s="333"/>
      <c r="EW16" s="15">
        <v>9</v>
      </c>
      <c r="EX16" s="92">
        <v>974.32</v>
      </c>
      <c r="EY16" s="246">
        <v>44852</v>
      </c>
      <c r="EZ16" s="92">
        <v>974.32</v>
      </c>
      <c r="FA16" s="70" t="s">
        <v>513</v>
      </c>
      <c r="FB16" s="71">
        <v>60</v>
      </c>
      <c r="FC16" s="402">
        <f t="shared" si="20"/>
        <v>58459.200000000004</v>
      </c>
      <c r="FF16" s="333"/>
      <c r="FG16" s="15">
        <v>9</v>
      </c>
      <c r="FH16" s="92">
        <v>927.14</v>
      </c>
      <c r="FI16" s="246">
        <v>44854</v>
      </c>
      <c r="FJ16" s="92">
        <v>927.14</v>
      </c>
      <c r="FK16" s="70" t="s">
        <v>532</v>
      </c>
      <c r="FL16" s="71">
        <v>60</v>
      </c>
      <c r="FM16" s="245">
        <f t="shared" si="21"/>
        <v>55628.4</v>
      </c>
      <c r="FP16" s="106"/>
      <c r="FQ16" s="15">
        <v>9</v>
      </c>
      <c r="FR16" s="92">
        <v>880</v>
      </c>
      <c r="FS16" s="246">
        <v>44854</v>
      </c>
      <c r="FT16" s="92">
        <v>880</v>
      </c>
      <c r="FU16" s="70" t="s">
        <v>521</v>
      </c>
      <c r="FV16" s="71">
        <v>60</v>
      </c>
      <c r="FW16" s="402">
        <f t="shared" si="22"/>
        <v>52800</v>
      </c>
      <c r="FZ16" s="106"/>
      <c r="GA16" s="15">
        <v>9</v>
      </c>
      <c r="GB16" s="69">
        <v>864.5</v>
      </c>
      <c r="GC16" s="254">
        <v>44854</v>
      </c>
      <c r="GD16" s="69">
        <v>864.5</v>
      </c>
      <c r="GE16" s="70" t="s">
        <v>525</v>
      </c>
      <c r="GF16" s="71">
        <v>60</v>
      </c>
      <c r="GG16" s="245">
        <f t="shared" si="23"/>
        <v>51870</v>
      </c>
      <c r="GJ16" s="106"/>
      <c r="GK16" s="15">
        <v>9</v>
      </c>
      <c r="GL16" s="359">
        <v>901.7</v>
      </c>
      <c r="GM16" s="246">
        <v>44855</v>
      </c>
      <c r="GN16" s="359">
        <v>901.7</v>
      </c>
      <c r="GO16" s="95" t="s">
        <v>538</v>
      </c>
      <c r="GP16" s="71">
        <v>60</v>
      </c>
      <c r="GQ16" s="402">
        <f t="shared" si="24"/>
        <v>54102</v>
      </c>
      <c r="GT16" s="106"/>
      <c r="GU16" s="15">
        <v>9</v>
      </c>
      <c r="GV16" s="92">
        <v>870</v>
      </c>
      <c r="GW16" s="246">
        <v>44858</v>
      </c>
      <c r="GX16" s="92">
        <v>870</v>
      </c>
      <c r="GY16" s="95" t="s">
        <v>546</v>
      </c>
      <c r="GZ16" s="71">
        <v>60</v>
      </c>
      <c r="HA16" s="402">
        <f t="shared" si="25"/>
        <v>52200</v>
      </c>
      <c r="HD16" s="106"/>
      <c r="HE16" s="15">
        <v>9</v>
      </c>
      <c r="HF16" s="92">
        <v>905.37</v>
      </c>
      <c r="HG16" s="246">
        <v>44859</v>
      </c>
      <c r="HH16" s="92">
        <v>905.37</v>
      </c>
      <c r="HI16" s="95" t="s">
        <v>552</v>
      </c>
      <c r="HJ16" s="71">
        <v>56</v>
      </c>
      <c r="HK16" s="402">
        <f t="shared" si="26"/>
        <v>50700.72</v>
      </c>
      <c r="HN16" s="106"/>
      <c r="HO16" s="15">
        <v>9</v>
      </c>
      <c r="HP16" s="92">
        <v>938.5</v>
      </c>
      <c r="HQ16" s="246">
        <v>44859</v>
      </c>
      <c r="HR16" s="92">
        <v>938.5</v>
      </c>
      <c r="HS16" s="294" t="s">
        <v>554</v>
      </c>
      <c r="HT16" s="71">
        <v>56</v>
      </c>
      <c r="HU16" s="245">
        <f t="shared" si="27"/>
        <v>52556</v>
      </c>
      <c r="HX16" s="94"/>
      <c r="HY16" s="15">
        <v>9</v>
      </c>
      <c r="HZ16" s="69">
        <v>904.91</v>
      </c>
      <c r="IA16" s="254">
        <v>44860</v>
      </c>
      <c r="IB16" s="69">
        <v>904.91</v>
      </c>
      <c r="IC16" s="70" t="s">
        <v>565</v>
      </c>
      <c r="ID16" s="71">
        <v>56</v>
      </c>
      <c r="IE16" s="402">
        <f t="shared" si="5"/>
        <v>50674.96</v>
      </c>
      <c r="IH16" s="94"/>
      <c r="II16" s="15">
        <v>9</v>
      </c>
      <c r="IJ16" s="69">
        <v>865.4</v>
      </c>
      <c r="IK16" s="254">
        <v>44861</v>
      </c>
      <c r="IL16" s="69">
        <v>865.4</v>
      </c>
      <c r="IM16" s="70" t="s">
        <v>564</v>
      </c>
      <c r="IN16" s="71">
        <v>56</v>
      </c>
      <c r="IO16" s="402">
        <f t="shared" si="28"/>
        <v>48462.400000000001</v>
      </c>
      <c r="IR16" s="106"/>
      <c r="IS16" s="15">
        <v>9</v>
      </c>
      <c r="IT16" s="92">
        <v>929.9</v>
      </c>
      <c r="IU16" s="135">
        <v>44863</v>
      </c>
      <c r="IV16" s="92">
        <v>929.9</v>
      </c>
      <c r="IW16" s="370" t="s">
        <v>578</v>
      </c>
      <c r="IX16" s="71">
        <v>56</v>
      </c>
      <c r="IY16" s="245">
        <f t="shared" si="29"/>
        <v>52074.400000000001</v>
      </c>
      <c r="IZ16" s="92"/>
      <c r="JA16" s="69"/>
      <c r="JB16" s="106"/>
      <c r="JC16" s="15">
        <v>9</v>
      </c>
      <c r="JD16" s="92">
        <v>899</v>
      </c>
      <c r="JE16" s="254">
        <v>44863</v>
      </c>
      <c r="JF16" s="92">
        <v>899</v>
      </c>
      <c r="JG16" s="70" t="s">
        <v>581</v>
      </c>
      <c r="JH16" s="71">
        <v>56</v>
      </c>
      <c r="JI16" s="402">
        <f t="shared" si="30"/>
        <v>50344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88637175</v>
      </c>
      <c r="E17" s="135">
        <f t="shared" si="55"/>
        <v>44852</v>
      </c>
      <c r="F17" s="86">
        <f t="shared" si="55"/>
        <v>18989.669999999998</v>
      </c>
      <c r="G17" s="73">
        <f t="shared" si="55"/>
        <v>21</v>
      </c>
      <c r="H17" s="48">
        <f t="shared" si="55"/>
        <v>18968.7</v>
      </c>
      <c r="I17" s="105">
        <f t="shared" si="55"/>
        <v>20.969999999997526</v>
      </c>
      <c r="L17" s="106"/>
      <c r="M17" s="15">
        <v>10</v>
      </c>
      <c r="N17" s="69">
        <v>924.42</v>
      </c>
      <c r="O17" s="254">
        <v>44840</v>
      </c>
      <c r="P17" s="69">
        <v>924.42</v>
      </c>
      <c r="Q17" s="70" t="s">
        <v>432</v>
      </c>
      <c r="R17" s="71">
        <v>57</v>
      </c>
      <c r="S17" s="402">
        <f t="shared" si="7"/>
        <v>52691.939999999995</v>
      </c>
      <c r="V17" s="106"/>
      <c r="W17" s="15">
        <v>10</v>
      </c>
      <c r="X17" s="69">
        <v>914.4</v>
      </c>
      <c r="Y17" s="254">
        <v>44838</v>
      </c>
      <c r="Z17" s="69">
        <v>914.4</v>
      </c>
      <c r="AA17" s="70" t="s">
        <v>419</v>
      </c>
      <c r="AB17" s="71">
        <v>57</v>
      </c>
      <c r="AC17" s="402">
        <f t="shared" si="8"/>
        <v>52120.799999999996</v>
      </c>
      <c r="AF17" s="106"/>
      <c r="AG17" s="15">
        <v>10</v>
      </c>
      <c r="AH17" s="92">
        <v>899.9</v>
      </c>
      <c r="AI17" s="246">
        <v>44838</v>
      </c>
      <c r="AJ17" s="92">
        <v>899.9</v>
      </c>
      <c r="AK17" s="95" t="s">
        <v>416</v>
      </c>
      <c r="AL17" s="71">
        <v>57</v>
      </c>
      <c r="AM17" s="402">
        <f t="shared" si="9"/>
        <v>51294.299999999996</v>
      </c>
      <c r="AP17" s="106"/>
      <c r="AQ17" s="15">
        <v>10</v>
      </c>
      <c r="AR17" s="92">
        <v>907.18</v>
      </c>
      <c r="AS17" s="246">
        <v>44839</v>
      </c>
      <c r="AT17" s="92">
        <v>907.18</v>
      </c>
      <c r="AU17" s="95" t="s">
        <v>423</v>
      </c>
      <c r="AV17" s="71">
        <v>57</v>
      </c>
      <c r="AW17" s="402">
        <f t="shared" si="10"/>
        <v>51709.259999999995</v>
      </c>
      <c r="AZ17" s="106"/>
      <c r="BA17" s="15">
        <v>10</v>
      </c>
      <c r="BB17" s="92">
        <v>916.3</v>
      </c>
      <c r="BC17" s="246">
        <v>44842</v>
      </c>
      <c r="BD17" s="92">
        <v>916.3</v>
      </c>
      <c r="BE17" s="95" t="s">
        <v>449</v>
      </c>
      <c r="BF17" s="71">
        <v>57</v>
      </c>
      <c r="BG17" s="402">
        <f t="shared" si="11"/>
        <v>52229.1</v>
      </c>
      <c r="BJ17" s="712"/>
      <c r="BK17" s="15">
        <v>10</v>
      </c>
      <c r="BL17" s="92">
        <v>902.6</v>
      </c>
      <c r="BM17" s="135">
        <v>44842</v>
      </c>
      <c r="BN17" s="92">
        <v>902.6</v>
      </c>
      <c r="BO17" s="95" t="s">
        <v>458</v>
      </c>
      <c r="BP17" s="290">
        <v>57</v>
      </c>
      <c r="BQ17" s="492">
        <f t="shared" si="12"/>
        <v>51448.200000000004</v>
      </c>
      <c r="BR17" s="402"/>
      <c r="BT17" s="106"/>
      <c r="BU17" s="15">
        <v>10</v>
      </c>
      <c r="BV17" s="69">
        <v>913.53</v>
      </c>
      <c r="BW17" s="291">
        <v>44845</v>
      </c>
      <c r="BX17" s="69">
        <v>913.53</v>
      </c>
      <c r="BY17" s="607" t="s">
        <v>468</v>
      </c>
      <c r="BZ17" s="292">
        <v>57</v>
      </c>
      <c r="CA17" s="402">
        <f t="shared" si="13"/>
        <v>52071.21</v>
      </c>
      <c r="CD17" s="214"/>
      <c r="CE17" s="15">
        <v>10</v>
      </c>
      <c r="CF17" s="92">
        <v>905.4</v>
      </c>
      <c r="CG17" s="291">
        <v>44846</v>
      </c>
      <c r="CH17" s="92">
        <v>905.4</v>
      </c>
      <c r="CI17" s="293" t="s">
        <v>475</v>
      </c>
      <c r="CJ17" s="292">
        <v>57</v>
      </c>
      <c r="CK17" s="402">
        <f t="shared" si="14"/>
        <v>51607.799999999996</v>
      </c>
      <c r="CN17" s="94"/>
      <c r="CO17" s="15">
        <v>10</v>
      </c>
      <c r="CP17" s="92">
        <v>908.1</v>
      </c>
      <c r="CQ17" s="291">
        <v>44847</v>
      </c>
      <c r="CR17" s="92">
        <v>908.1</v>
      </c>
      <c r="CS17" s="293" t="s">
        <v>491</v>
      </c>
      <c r="CT17" s="292">
        <v>58</v>
      </c>
      <c r="CU17" s="407">
        <f t="shared" si="48"/>
        <v>52669.8</v>
      </c>
      <c r="CX17" s="106"/>
      <c r="CY17" s="15">
        <v>10</v>
      </c>
      <c r="CZ17" s="92">
        <v>875.4</v>
      </c>
      <c r="DA17" s="246">
        <v>44847</v>
      </c>
      <c r="DB17" s="92">
        <v>875.4</v>
      </c>
      <c r="DC17" s="95" t="s">
        <v>488</v>
      </c>
      <c r="DD17" s="71">
        <v>58</v>
      </c>
      <c r="DE17" s="402">
        <f t="shared" si="15"/>
        <v>50773.2</v>
      </c>
      <c r="DH17" s="106"/>
      <c r="DI17" s="15">
        <v>10</v>
      </c>
      <c r="DJ17" s="771">
        <v>939.8</v>
      </c>
      <c r="DK17" s="796">
        <v>44849</v>
      </c>
      <c r="DL17" s="771">
        <v>939.8</v>
      </c>
      <c r="DM17" s="797" t="s">
        <v>501</v>
      </c>
      <c r="DN17" s="798">
        <v>59</v>
      </c>
      <c r="DO17" s="407">
        <f t="shared" si="16"/>
        <v>55448.2</v>
      </c>
      <c r="DR17" s="106"/>
      <c r="DS17" s="15">
        <v>10</v>
      </c>
      <c r="DT17" s="69">
        <v>907.2</v>
      </c>
      <c r="DU17" s="291">
        <v>44849</v>
      </c>
      <c r="DV17" s="69">
        <v>907.2</v>
      </c>
      <c r="DW17" s="293" t="s">
        <v>504</v>
      </c>
      <c r="DX17" s="292">
        <v>59</v>
      </c>
      <c r="DY17" s="402">
        <f t="shared" si="17"/>
        <v>53524.800000000003</v>
      </c>
      <c r="EB17" s="106"/>
      <c r="EC17" s="15">
        <v>10</v>
      </c>
      <c r="ED17" s="69">
        <v>929.41</v>
      </c>
      <c r="EE17" s="254">
        <v>44848</v>
      </c>
      <c r="EF17" s="69">
        <v>929.41</v>
      </c>
      <c r="EG17" s="70" t="s">
        <v>436</v>
      </c>
      <c r="EH17" s="71">
        <v>59</v>
      </c>
      <c r="EI17" s="402">
        <f t="shared" si="18"/>
        <v>54835.189999999995</v>
      </c>
      <c r="EL17" s="106"/>
      <c r="EM17" s="15">
        <v>10</v>
      </c>
      <c r="EN17" s="69">
        <v>925.3</v>
      </c>
      <c r="EO17" s="254">
        <v>44853</v>
      </c>
      <c r="EP17" s="69">
        <v>925.3</v>
      </c>
      <c r="EQ17" s="70" t="s">
        <v>518</v>
      </c>
      <c r="ER17" s="71">
        <v>60</v>
      </c>
      <c r="ES17" s="402">
        <f t="shared" si="19"/>
        <v>55518</v>
      </c>
      <c r="EV17" s="106"/>
      <c r="EW17" s="15">
        <v>10</v>
      </c>
      <c r="EX17" s="92">
        <v>928.5</v>
      </c>
      <c r="EY17" s="246">
        <v>44852</v>
      </c>
      <c r="EZ17" s="92">
        <v>928.5</v>
      </c>
      <c r="FA17" s="70" t="s">
        <v>513</v>
      </c>
      <c r="FB17" s="71">
        <v>60</v>
      </c>
      <c r="FC17" s="402">
        <f t="shared" si="20"/>
        <v>55710</v>
      </c>
      <c r="FF17" s="106"/>
      <c r="FG17" s="15">
        <v>10</v>
      </c>
      <c r="FH17" s="92">
        <v>959.8</v>
      </c>
      <c r="FI17" s="246">
        <v>44854</v>
      </c>
      <c r="FJ17" s="92">
        <v>959.8</v>
      </c>
      <c r="FK17" s="70" t="s">
        <v>532</v>
      </c>
      <c r="FL17" s="71">
        <v>60</v>
      </c>
      <c r="FM17" s="245">
        <f t="shared" si="21"/>
        <v>57588</v>
      </c>
      <c r="FP17" s="106"/>
      <c r="FQ17" s="15">
        <v>10</v>
      </c>
      <c r="FR17" s="92">
        <v>893.6</v>
      </c>
      <c r="FS17" s="246">
        <v>44854</v>
      </c>
      <c r="FT17" s="92">
        <v>893.6</v>
      </c>
      <c r="FU17" s="70" t="s">
        <v>521</v>
      </c>
      <c r="FV17" s="71">
        <v>60</v>
      </c>
      <c r="FW17" s="402">
        <f t="shared" si="22"/>
        <v>53616</v>
      </c>
      <c r="FZ17" s="106"/>
      <c r="GA17" s="15">
        <v>10</v>
      </c>
      <c r="GB17" s="69">
        <v>916.3</v>
      </c>
      <c r="GC17" s="254">
        <v>44854</v>
      </c>
      <c r="GD17" s="69">
        <v>916.3</v>
      </c>
      <c r="GE17" s="70" t="s">
        <v>525</v>
      </c>
      <c r="GF17" s="71">
        <v>60</v>
      </c>
      <c r="GG17" s="245">
        <f t="shared" si="23"/>
        <v>54978</v>
      </c>
      <c r="GJ17" s="106"/>
      <c r="GK17" s="15">
        <v>10</v>
      </c>
      <c r="GL17" s="359">
        <v>919.9</v>
      </c>
      <c r="GM17" s="246">
        <v>44855</v>
      </c>
      <c r="GN17" s="359">
        <v>919.9</v>
      </c>
      <c r="GO17" s="95" t="s">
        <v>538</v>
      </c>
      <c r="GP17" s="71">
        <v>60</v>
      </c>
      <c r="GQ17" s="402">
        <f t="shared" si="24"/>
        <v>55194</v>
      </c>
      <c r="GT17" s="106"/>
      <c r="GU17" s="15">
        <v>10</v>
      </c>
      <c r="GV17" s="92">
        <v>891.8</v>
      </c>
      <c r="GW17" s="246">
        <v>44858</v>
      </c>
      <c r="GX17" s="92">
        <v>891.8</v>
      </c>
      <c r="GY17" s="95" t="s">
        <v>546</v>
      </c>
      <c r="GZ17" s="71">
        <v>60</v>
      </c>
      <c r="HA17" s="402">
        <f t="shared" si="25"/>
        <v>53508</v>
      </c>
      <c r="HD17" s="106"/>
      <c r="HE17" s="15">
        <v>10</v>
      </c>
      <c r="HF17" s="92">
        <v>903.55</v>
      </c>
      <c r="HG17" s="246">
        <v>44859</v>
      </c>
      <c r="HH17" s="92">
        <v>903.55</v>
      </c>
      <c r="HI17" s="95" t="s">
        <v>552</v>
      </c>
      <c r="HJ17" s="71">
        <v>56</v>
      </c>
      <c r="HK17" s="402">
        <f t="shared" si="26"/>
        <v>50598.799999999996</v>
      </c>
      <c r="HN17" s="106"/>
      <c r="HO17" s="15">
        <v>10</v>
      </c>
      <c r="HP17" s="92">
        <v>906.3</v>
      </c>
      <c r="HQ17" s="246">
        <v>44859</v>
      </c>
      <c r="HR17" s="92">
        <v>906.3</v>
      </c>
      <c r="HS17" s="294" t="s">
        <v>554</v>
      </c>
      <c r="HT17" s="71">
        <v>56</v>
      </c>
      <c r="HU17" s="245">
        <f t="shared" si="27"/>
        <v>50752.799999999996</v>
      </c>
      <c r="HX17" s="94"/>
      <c r="HY17" s="15">
        <v>10</v>
      </c>
      <c r="HZ17" s="69">
        <v>920.79</v>
      </c>
      <c r="IA17" s="254">
        <v>44860</v>
      </c>
      <c r="IB17" s="69">
        <v>920.79</v>
      </c>
      <c r="IC17" s="70" t="s">
        <v>565</v>
      </c>
      <c r="ID17" s="71">
        <v>56</v>
      </c>
      <c r="IE17" s="402">
        <f t="shared" si="5"/>
        <v>51564.24</v>
      </c>
      <c r="IH17" s="94"/>
      <c r="II17" s="15">
        <v>10</v>
      </c>
      <c r="IJ17" s="69">
        <v>906.3</v>
      </c>
      <c r="IK17" s="254">
        <v>44861</v>
      </c>
      <c r="IL17" s="69">
        <v>906.3</v>
      </c>
      <c r="IM17" s="70" t="s">
        <v>564</v>
      </c>
      <c r="IN17" s="71">
        <v>56</v>
      </c>
      <c r="IO17" s="402">
        <f t="shared" si="28"/>
        <v>50752.799999999996</v>
      </c>
      <c r="IR17" s="106"/>
      <c r="IS17" s="15">
        <v>10</v>
      </c>
      <c r="IT17" s="92">
        <v>907.2</v>
      </c>
      <c r="IU17" s="135">
        <v>44863</v>
      </c>
      <c r="IV17" s="92">
        <v>907.2</v>
      </c>
      <c r="IW17" s="370" t="s">
        <v>579</v>
      </c>
      <c r="IX17" s="71">
        <v>56</v>
      </c>
      <c r="IY17" s="245">
        <f t="shared" si="29"/>
        <v>50803.200000000004</v>
      </c>
      <c r="IZ17" s="92"/>
      <c r="JA17" s="69"/>
      <c r="JB17" s="106"/>
      <c r="JC17" s="15">
        <v>10</v>
      </c>
      <c r="JD17" s="92">
        <v>902.6</v>
      </c>
      <c r="JE17" s="254">
        <v>44863</v>
      </c>
      <c r="JF17" s="92">
        <v>902.6</v>
      </c>
      <c r="JG17" s="70" t="s">
        <v>581</v>
      </c>
      <c r="JH17" s="71">
        <v>56</v>
      </c>
      <c r="JI17" s="402">
        <f t="shared" si="30"/>
        <v>50545.599999999999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</v>
      </c>
      <c r="C18" s="75" t="str">
        <f t="shared" si="56"/>
        <v xml:space="preserve">I B P </v>
      </c>
      <c r="D18" s="102" t="str">
        <f t="shared" si="56"/>
        <v>PED. 88573246</v>
      </c>
      <c r="E18" s="135">
        <f t="shared" si="56"/>
        <v>44852</v>
      </c>
      <c r="F18" s="86">
        <f t="shared" si="56"/>
        <v>18705.12</v>
      </c>
      <c r="G18" s="73">
        <f t="shared" si="56"/>
        <v>20</v>
      </c>
      <c r="H18" s="48">
        <f t="shared" si="56"/>
        <v>18721.02</v>
      </c>
      <c r="I18" s="105">
        <f t="shared" si="56"/>
        <v>-15.900000000001455</v>
      </c>
      <c r="L18" s="106"/>
      <c r="M18" s="15">
        <v>11</v>
      </c>
      <c r="N18" s="69">
        <v>948.91</v>
      </c>
      <c r="O18" s="254">
        <v>44840</v>
      </c>
      <c r="P18" s="69">
        <v>948.91</v>
      </c>
      <c r="Q18" s="70" t="s">
        <v>432</v>
      </c>
      <c r="R18" s="71">
        <v>57</v>
      </c>
      <c r="S18" s="402">
        <f t="shared" si="7"/>
        <v>54087.869999999995</v>
      </c>
      <c r="V18" s="106"/>
      <c r="W18" s="15">
        <v>11</v>
      </c>
      <c r="X18" s="69">
        <v>900.8</v>
      </c>
      <c r="Y18" s="254">
        <v>44838</v>
      </c>
      <c r="Z18" s="69">
        <v>900.8</v>
      </c>
      <c r="AA18" s="70" t="s">
        <v>420</v>
      </c>
      <c r="AB18" s="71">
        <v>57</v>
      </c>
      <c r="AC18" s="402">
        <f t="shared" si="8"/>
        <v>51345.599999999999</v>
      </c>
      <c r="AF18" s="106"/>
      <c r="AG18" s="15">
        <v>11</v>
      </c>
      <c r="AH18" s="92">
        <v>870</v>
      </c>
      <c r="AI18" s="246">
        <v>44838</v>
      </c>
      <c r="AJ18" s="92">
        <v>870</v>
      </c>
      <c r="AK18" s="95" t="s">
        <v>416</v>
      </c>
      <c r="AL18" s="71">
        <v>57</v>
      </c>
      <c r="AM18" s="402">
        <f t="shared" si="9"/>
        <v>49590</v>
      </c>
      <c r="AP18" s="106"/>
      <c r="AQ18" s="15">
        <v>11</v>
      </c>
      <c r="AR18" s="92">
        <v>923.96</v>
      </c>
      <c r="AS18" s="246">
        <v>44839</v>
      </c>
      <c r="AT18" s="92">
        <v>923.96</v>
      </c>
      <c r="AU18" s="95" t="s">
        <v>426</v>
      </c>
      <c r="AV18" s="71">
        <v>57</v>
      </c>
      <c r="AW18" s="402">
        <f t="shared" si="10"/>
        <v>52665.72</v>
      </c>
      <c r="AZ18" s="106"/>
      <c r="BA18" s="15">
        <v>11</v>
      </c>
      <c r="BB18" s="92">
        <v>884.5</v>
      </c>
      <c r="BC18" s="246">
        <v>44842</v>
      </c>
      <c r="BD18" s="92">
        <v>884.5</v>
      </c>
      <c r="BE18" s="95" t="s">
        <v>445</v>
      </c>
      <c r="BF18" s="71">
        <v>57</v>
      </c>
      <c r="BG18" s="402">
        <f t="shared" si="11"/>
        <v>50416.5</v>
      </c>
      <c r="BJ18" s="712"/>
      <c r="BK18" s="15">
        <v>11</v>
      </c>
      <c r="BL18" s="92">
        <v>870.9</v>
      </c>
      <c r="BM18" s="135">
        <v>44842</v>
      </c>
      <c r="BN18" s="92">
        <v>870.9</v>
      </c>
      <c r="BO18" s="95" t="s">
        <v>458</v>
      </c>
      <c r="BP18" s="290">
        <v>57</v>
      </c>
      <c r="BQ18" s="492">
        <f t="shared" si="12"/>
        <v>49641.299999999996</v>
      </c>
      <c r="BR18" s="402"/>
      <c r="BT18" s="106"/>
      <c r="BU18" s="15">
        <v>11</v>
      </c>
      <c r="BV18" s="92">
        <v>923.96</v>
      </c>
      <c r="BW18" s="291">
        <v>44845</v>
      </c>
      <c r="BX18" s="92">
        <v>923.96</v>
      </c>
      <c r="BY18" s="607" t="s">
        <v>469</v>
      </c>
      <c r="BZ18" s="292">
        <v>57</v>
      </c>
      <c r="CA18" s="402">
        <f t="shared" si="13"/>
        <v>52665.72</v>
      </c>
      <c r="CD18" s="214"/>
      <c r="CE18" s="15">
        <v>11</v>
      </c>
      <c r="CF18" s="69">
        <v>914.4</v>
      </c>
      <c r="CG18" s="291">
        <v>44846</v>
      </c>
      <c r="CH18" s="69">
        <v>914.4</v>
      </c>
      <c r="CI18" s="293" t="s">
        <v>447</v>
      </c>
      <c r="CJ18" s="292">
        <v>57</v>
      </c>
      <c r="CK18" s="402">
        <f t="shared" si="14"/>
        <v>52120.799999999996</v>
      </c>
      <c r="CN18" s="94"/>
      <c r="CO18" s="15">
        <v>11</v>
      </c>
      <c r="CP18" s="69">
        <v>869.1</v>
      </c>
      <c r="CQ18" s="291">
        <v>44847</v>
      </c>
      <c r="CR18" s="69">
        <v>869.1</v>
      </c>
      <c r="CS18" s="293" t="s">
        <v>491</v>
      </c>
      <c r="CT18" s="292">
        <v>58</v>
      </c>
      <c r="CU18" s="407">
        <f t="shared" si="48"/>
        <v>50407.8</v>
      </c>
      <c r="CX18" s="106"/>
      <c r="CY18" s="15">
        <v>11</v>
      </c>
      <c r="CZ18" s="92">
        <v>928.5</v>
      </c>
      <c r="DA18" s="246">
        <v>44847</v>
      </c>
      <c r="DB18" s="92">
        <v>928.5</v>
      </c>
      <c r="DC18" s="95" t="s">
        <v>487</v>
      </c>
      <c r="DD18" s="71">
        <v>58</v>
      </c>
      <c r="DE18" s="402">
        <f t="shared" si="15"/>
        <v>53853</v>
      </c>
      <c r="DH18" s="106"/>
      <c r="DI18" s="15">
        <v>11</v>
      </c>
      <c r="DJ18" s="768">
        <v>916.3</v>
      </c>
      <c r="DK18" s="796">
        <v>44849</v>
      </c>
      <c r="DL18" s="768">
        <v>916.3</v>
      </c>
      <c r="DM18" s="797" t="s">
        <v>501</v>
      </c>
      <c r="DN18" s="798">
        <v>59</v>
      </c>
      <c r="DO18" s="407">
        <f t="shared" si="16"/>
        <v>54061.7</v>
      </c>
      <c r="DR18" s="106"/>
      <c r="DS18" s="15">
        <v>11</v>
      </c>
      <c r="DT18" s="92">
        <v>898.1</v>
      </c>
      <c r="DU18" s="291">
        <v>44849</v>
      </c>
      <c r="DV18" s="92">
        <v>898.1</v>
      </c>
      <c r="DW18" s="293" t="s">
        <v>503</v>
      </c>
      <c r="DX18" s="292">
        <v>59</v>
      </c>
      <c r="DY18" s="402">
        <f t="shared" si="17"/>
        <v>52987.9</v>
      </c>
      <c r="EB18" s="106"/>
      <c r="EC18" s="15">
        <v>11</v>
      </c>
      <c r="ED18" s="69">
        <v>936.21</v>
      </c>
      <c r="EE18" s="254">
        <v>44848</v>
      </c>
      <c r="EF18" s="69">
        <v>936.21</v>
      </c>
      <c r="EG18" s="70" t="s">
        <v>448</v>
      </c>
      <c r="EH18" s="71">
        <v>59</v>
      </c>
      <c r="EI18" s="402">
        <f t="shared" si="18"/>
        <v>55236.39</v>
      </c>
      <c r="EL18" s="106"/>
      <c r="EM18" s="15">
        <v>11</v>
      </c>
      <c r="EN18" s="69">
        <v>904.5</v>
      </c>
      <c r="EO18" s="254">
        <v>44853</v>
      </c>
      <c r="EP18" s="69">
        <v>904.5</v>
      </c>
      <c r="EQ18" s="70" t="s">
        <v>519</v>
      </c>
      <c r="ER18" s="71">
        <v>60</v>
      </c>
      <c r="ES18" s="402">
        <f t="shared" si="19"/>
        <v>54270</v>
      </c>
      <c r="EV18" s="106"/>
      <c r="EW18" s="15">
        <v>11</v>
      </c>
      <c r="EX18" s="92">
        <v>935.3</v>
      </c>
      <c r="EY18" s="246">
        <v>44852</v>
      </c>
      <c r="EZ18" s="92">
        <v>935.3</v>
      </c>
      <c r="FA18" s="70" t="s">
        <v>514</v>
      </c>
      <c r="FB18" s="71">
        <v>60</v>
      </c>
      <c r="FC18" s="402">
        <f t="shared" si="20"/>
        <v>56118</v>
      </c>
      <c r="FF18" s="106"/>
      <c r="FG18" s="15">
        <v>11</v>
      </c>
      <c r="FH18" s="92">
        <v>951.18</v>
      </c>
      <c r="FI18" s="246">
        <v>44854</v>
      </c>
      <c r="FJ18" s="92">
        <v>951.18</v>
      </c>
      <c r="FK18" s="70" t="s">
        <v>523</v>
      </c>
      <c r="FL18" s="71">
        <v>60</v>
      </c>
      <c r="FM18" s="245">
        <f t="shared" si="21"/>
        <v>57070.799999999996</v>
      </c>
      <c r="FP18" s="106"/>
      <c r="FQ18" s="15">
        <v>11</v>
      </c>
      <c r="FR18" s="92">
        <v>906.3</v>
      </c>
      <c r="FS18" s="246">
        <v>44854</v>
      </c>
      <c r="FT18" s="92">
        <v>906.3</v>
      </c>
      <c r="FU18" s="70" t="s">
        <v>522</v>
      </c>
      <c r="FV18" s="71">
        <v>60</v>
      </c>
      <c r="FW18" s="402">
        <f t="shared" si="22"/>
        <v>54378</v>
      </c>
      <c r="FX18" s="71"/>
      <c r="FZ18" s="106"/>
      <c r="GA18" s="15">
        <v>11</v>
      </c>
      <c r="GB18" s="69">
        <v>900.8</v>
      </c>
      <c r="GC18" s="254">
        <v>44854</v>
      </c>
      <c r="GD18" s="69">
        <v>900.8</v>
      </c>
      <c r="GE18" s="70" t="s">
        <v>526</v>
      </c>
      <c r="GF18" s="71">
        <v>60</v>
      </c>
      <c r="GG18" s="245">
        <f t="shared" si="23"/>
        <v>54048</v>
      </c>
      <c r="GH18" s="71"/>
      <c r="GJ18" s="106"/>
      <c r="GK18" s="15">
        <v>11</v>
      </c>
      <c r="GL18" s="359">
        <v>916.3</v>
      </c>
      <c r="GM18" s="246">
        <v>44855</v>
      </c>
      <c r="GN18" s="359">
        <v>916.3</v>
      </c>
      <c r="GO18" s="95" t="s">
        <v>538</v>
      </c>
      <c r="GP18" s="71">
        <v>60</v>
      </c>
      <c r="GQ18" s="402">
        <f t="shared" si="24"/>
        <v>54978</v>
      </c>
      <c r="GT18" s="106"/>
      <c r="GU18" s="15">
        <v>11</v>
      </c>
      <c r="GV18" s="92">
        <v>918.1</v>
      </c>
      <c r="GW18" s="246">
        <v>44858</v>
      </c>
      <c r="GX18" s="92">
        <v>918.1</v>
      </c>
      <c r="GY18" s="95" t="s">
        <v>546</v>
      </c>
      <c r="GZ18" s="71">
        <v>60</v>
      </c>
      <c r="HA18" s="402">
        <f t="shared" si="25"/>
        <v>55086</v>
      </c>
      <c r="HD18" s="106"/>
      <c r="HE18" s="15">
        <v>11</v>
      </c>
      <c r="HF18" s="92">
        <v>913.08</v>
      </c>
      <c r="HG18" s="246">
        <v>44859</v>
      </c>
      <c r="HH18" s="92">
        <v>913.08</v>
      </c>
      <c r="HI18" s="95" t="s">
        <v>553</v>
      </c>
      <c r="HJ18" s="71">
        <v>56</v>
      </c>
      <c r="HK18" s="402">
        <f t="shared" si="26"/>
        <v>51132.480000000003</v>
      </c>
      <c r="HN18" s="106"/>
      <c r="HO18" s="15">
        <v>11</v>
      </c>
      <c r="HP18" s="92">
        <v>920.8</v>
      </c>
      <c r="HQ18" s="246">
        <v>44859</v>
      </c>
      <c r="HR18" s="92">
        <v>920.8</v>
      </c>
      <c r="HS18" s="294" t="s">
        <v>555</v>
      </c>
      <c r="HT18" s="71">
        <v>56</v>
      </c>
      <c r="HU18" s="245">
        <f t="shared" si="27"/>
        <v>51564.799999999996</v>
      </c>
      <c r="HX18" s="94"/>
      <c r="HY18" s="15">
        <v>11</v>
      </c>
      <c r="HZ18" s="69">
        <v>889.04</v>
      </c>
      <c r="IA18" s="254">
        <v>44860</v>
      </c>
      <c r="IB18" s="69">
        <v>889.04</v>
      </c>
      <c r="IC18" s="70" t="s">
        <v>567</v>
      </c>
      <c r="ID18" s="71">
        <v>56</v>
      </c>
      <c r="IE18" s="402">
        <f t="shared" si="5"/>
        <v>49786.239999999998</v>
      </c>
      <c r="IH18" s="94"/>
      <c r="II18" s="15">
        <v>11</v>
      </c>
      <c r="IJ18" s="69">
        <v>918.1</v>
      </c>
      <c r="IK18" s="254">
        <v>44861</v>
      </c>
      <c r="IL18" s="69">
        <v>918.1</v>
      </c>
      <c r="IM18" s="70" t="s">
        <v>564</v>
      </c>
      <c r="IN18" s="71">
        <v>56</v>
      </c>
      <c r="IO18" s="402">
        <f t="shared" si="28"/>
        <v>51413.599999999999</v>
      </c>
      <c r="IR18" s="106"/>
      <c r="IS18" s="15">
        <v>11</v>
      </c>
      <c r="IT18" s="92">
        <v>909.9</v>
      </c>
      <c r="IU18" s="135">
        <v>44862</v>
      </c>
      <c r="IV18" s="92">
        <v>909.9</v>
      </c>
      <c r="IW18" s="370" t="s">
        <v>576</v>
      </c>
      <c r="IX18" s="71">
        <v>56</v>
      </c>
      <c r="IY18" s="245">
        <f t="shared" si="29"/>
        <v>50954.400000000001</v>
      </c>
      <c r="IZ18" s="92"/>
      <c r="JA18" s="69"/>
      <c r="JB18" s="106"/>
      <c r="JC18" s="15">
        <v>11</v>
      </c>
      <c r="JD18" s="92">
        <v>898.1</v>
      </c>
      <c r="JE18" s="254">
        <v>44863</v>
      </c>
      <c r="JF18" s="92">
        <v>898.1</v>
      </c>
      <c r="JG18" s="70" t="s">
        <v>582</v>
      </c>
      <c r="JH18" s="71">
        <v>56</v>
      </c>
      <c r="JI18" s="402">
        <f t="shared" si="30"/>
        <v>50293.599999999999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FRERH MEAT</v>
      </c>
      <c r="C19" s="75" t="str">
        <f t="shared" si="57"/>
        <v xml:space="preserve">I B P </v>
      </c>
      <c r="D19" s="102" t="str">
        <f t="shared" si="57"/>
        <v>PED. 8637858</v>
      </c>
      <c r="E19" s="135">
        <f t="shared" si="57"/>
        <v>44853</v>
      </c>
      <c r="F19" s="86">
        <f t="shared" si="57"/>
        <v>18392.509999999998</v>
      </c>
      <c r="G19" s="73">
        <f t="shared" si="57"/>
        <v>20</v>
      </c>
      <c r="H19" s="48">
        <f t="shared" si="57"/>
        <v>18468.36</v>
      </c>
      <c r="I19" s="105">
        <f t="shared" si="57"/>
        <v>-75.850000000002183</v>
      </c>
      <c r="L19" s="94"/>
      <c r="M19" s="15">
        <v>12</v>
      </c>
      <c r="N19" s="69">
        <v>940.75</v>
      </c>
      <c r="O19" s="254">
        <v>44840</v>
      </c>
      <c r="P19" s="69">
        <v>940.75</v>
      </c>
      <c r="Q19" s="70" t="s">
        <v>432</v>
      </c>
      <c r="R19" s="71">
        <v>57</v>
      </c>
      <c r="S19" s="402">
        <f t="shared" si="7"/>
        <v>53622.75</v>
      </c>
      <c r="V19" s="94"/>
      <c r="W19" s="15">
        <v>12</v>
      </c>
      <c r="X19" s="69">
        <v>940.7</v>
      </c>
      <c r="Y19" s="254">
        <v>44838</v>
      </c>
      <c r="Z19" s="69">
        <v>940.7</v>
      </c>
      <c r="AA19" s="70" t="s">
        <v>420</v>
      </c>
      <c r="AB19" s="71">
        <v>57</v>
      </c>
      <c r="AC19" s="402">
        <f t="shared" si="8"/>
        <v>53619.9</v>
      </c>
      <c r="AF19" s="106"/>
      <c r="AG19" s="15">
        <v>12</v>
      </c>
      <c r="AH19" s="69">
        <v>861.8</v>
      </c>
      <c r="AI19" s="246">
        <v>44838</v>
      </c>
      <c r="AJ19" s="69">
        <v>861.8</v>
      </c>
      <c r="AK19" s="95" t="s">
        <v>418</v>
      </c>
      <c r="AL19" s="71">
        <v>57</v>
      </c>
      <c r="AM19" s="402">
        <f t="shared" si="9"/>
        <v>49122.6</v>
      </c>
      <c r="AP19" s="106"/>
      <c r="AQ19" s="15">
        <v>12</v>
      </c>
      <c r="AR19" s="92">
        <v>910.81</v>
      </c>
      <c r="AS19" s="246">
        <v>44839</v>
      </c>
      <c r="AT19" s="92">
        <v>910.81</v>
      </c>
      <c r="AU19" s="95" t="s">
        <v>426</v>
      </c>
      <c r="AV19" s="71">
        <v>57</v>
      </c>
      <c r="AW19" s="402">
        <f t="shared" si="10"/>
        <v>51916.17</v>
      </c>
      <c r="AZ19" s="106"/>
      <c r="BA19" s="15">
        <v>12</v>
      </c>
      <c r="BB19" s="92">
        <v>921.7</v>
      </c>
      <c r="BC19" s="246">
        <v>44842</v>
      </c>
      <c r="BD19" s="92">
        <v>921.7</v>
      </c>
      <c r="BE19" s="95" t="s">
        <v>452</v>
      </c>
      <c r="BF19" s="71">
        <v>57</v>
      </c>
      <c r="BG19" s="402">
        <f t="shared" si="11"/>
        <v>52536.9</v>
      </c>
      <c r="BJ19" s="712"/>
      <c r="BK19" s="15">
        <v>12</v>
      </c>
      <c r="BL19" s="92">
        <v>890.9</v>
      </c>
      <c r="BM19" s="135">
        <v>44844</v>
      </c>
      <c r="BN19" s="92">
        <v>890.9</v>
      </c>
      <c r="BO19" s="95" t="s">
        <v>434</v>
      </c>
      <c r="BP19" s="290">
        <v>57</v>
      </c>
      <c r="BQ19" s="492">
        <f t="shared" si="12"/>
        <v>50781.299999999996</v>
      </c>
      <c r="BR19" s="402"/>
      <c r="BT19" s="106"/>
      <c r="BU19" s="15">
        <v>12</v>
      </c>
      <c r="BV19" s="92">
        <v>909.9</v>
      </c>
      <c r="BW19" s="291">
        <v>44845</v>
      </c>
      <c r="BX19" s="92">
        <v>909.9</v>
      </c>
      <c r="BY19" s="607" t="s">
        <v>469</v>
      </c>
      <c r="BZ19" s="292">
        <v>57</v>
      </c>
      <c r="CA19" s="402">
        <f t="shared" si="13"/>
        <v>51864.299999999996</v>
      </c>
      <c r="CD19" s="214"/>
      <c r="CE19" s="15">
        <v>12</v>
      </c>
      <c r="CF19" s="92">
        <v>940.7</v>
      </c>
      <c r="CG19" s="291">
        <v>44846</v>
      </c>
      <c r="CH19" s="92">
        <v>940.7</v>
      </c>
      <c r="CI19" s="293" t="s">
        <v>447</v>
      </c>
      <c r="CJ19" s="292">
        <v>57</v>
      </c>
      <c r="CK19" s="245">
        <f t="shared" si="14"/>
        <v>53619.9</v>
      </c>
      <c r="CN19" s="420"/>
      <c r="CO19" s="15">
        <v>12</v>
      </c>
      <c r="CP19" s="92">
        <v>886.3</v>
      </c>
      <c r="CQ19" s="291">
        <v>44847</v>
      </c>
      <c r="CR19" s="92">
        <v>886.3</v>
      </c>
      <c r="CS19" s="293" t="s">
        <v>491</v>
      </c>
      <c r="CT19" s="292">
        <v>58</v>
      </c>
      <c r="CU19" s="407">
        <f t="shared" si="48"/>
        <v>51405.399999999994</v>
      </c>
      <c r="CX19" s="106"/>
      <c r="CY19" s="15">
        <v>12</v>
      </c>
      <c r="CZ19" s="92">
        <v>904</v>
      </c>
      <c r="DA19" s="246">
        <v>44847</v>
      </c>
      <c r="DB19" s="92">
        <v>904</v>
      </c>
      <c r="DC19" s="95" t="s">
        <v>487</v>
      </c>
      <c r="DD19" s="71">
        <v>58</v>
      </c>
      <c r="DE19" s="402">
        <f t="shared" si="15"/>
        <v>52432</v>
      </c>
      <c r="DH19" s="106"/>
      <c r="DI19" s="15">
        <v>12</v>
      </c>
      <c r="DJ19" s="768">
        <v>891.8</v>
      </c>
      <c r="DK19" s="796">
        <v>44849</v>
      </c>
      <c r="DL19" s="768">
        <v>891.8</v>
      </c>
      <c r="DM19" s="797" t="s">
        <v>501</v>
      </c>
      <c r="DN19" s="798">
        <v>59</v>
      </c>
      <c r="DO19" s="407">
        <f t="shared" si="16"/>
        <v>52616.2</v>
      </c>
      <c r="DR19" s="106"/>
      <c r="DS19" s="15">
        <v>12</v>
      </c>
      <c r="DT19" s="92">
        <v>938.9</v>
      </c>
      <c r="DU19" s="291">
        <v>44849</v>
      </c>
      <c r="DV19" s="92">
        <v>938.9</v>
      </c>
      <c r="DW19" s="293" t="s">
        <v>504</v>
      </c>
      <c r="DX19" s="292">
        <v>59</v>
      </c>
      <c r="DY19" s="402">
        <f t="shared" si="17"/>
        <v>55395.1</v>
      </c>
      <c r="EB19" s="106"/>
      <c r="EC19" s="15">
        <v>12</v>
      </c>
      <c r="ED19" s="69">
        <v>975.22</v>
      </c>
      <c r="EE19" s="254">
        <v>44848</v>
      </c>
      <c r="EF19" s="69">
        <v>975.22</v>
      </c>
      <c r="EG19" s="70" t="s">
        <v>448</v>
      </c>
      <c r="EH19" s="71">
        <v>59</v>
      </c>
      <c r="EI19" s="402">
        <f t="shared" si="18"/>
        <v>57537.98</v>
      </c>
      <c r="EL19" s="106"/>
      <c r="EM19" s="15">
        <v>12</v>
      </c>
      <c r="EN19" s="69">
        <v>898.1</v>
      </c>
      <c r="EO19" s="254">
        <v>44853</v>
      </c>
      <c r="EP19" s="69">
        <v>898.1</v>
      </c>
      <c r="EQ19" s="70" t="s">
        <v>519</v>
      </c>
      <c r="ER19" s="71">
        <v>60</v>
      </c>
      <c r="ES19" s="402">
        <f t="shared" si="19"/>
        <v>53886</v>
      </c>
      <c r="EV19" s="106"/>
      <c r="EW19" s="15">
        <v>12</v>
      </c>
      <c r="EX19" s="92">
        <v>957.98</v>
      </c>
      <c r="EY19" s="246">
        <v>44852</v>
      </c>
      <c r="EZ19" s="92">
        <v>957.98</v>
      </c>
      <c r="FA19" s="70" t="s">
        <v>514</v>
      </c>
      <c r="FB19" s="71">
        <v>60</v>
      </c>
      <c r="FC19" s="402">
        <f t="shared" si="20"/>
        <v>57478.8</v>
      </c>
      <c r="FF19" s="106"/>
      <c r="FG19" s="15">
        <v>12</v>
      </c>
      <c r="FH19" s="92">
        <v>889.49</v>
      </c>
      <c r="FI19" s="246">
        <v>44854</v>
      </c>
      <c r="FJ19" s="92">
        <v>889.49</v>
      </c>
      <c r="FK19" s="70" t="s">
        <v>532</v>
      </c>
      <c r="FL19" s="71">
        <v>60</v>
      </c>
      <c r="FM19" s="245">
        <f t="shared" si="21"/>
        <v>53369.4</v>
      </c>
      <c r="FP19" s="106"/>
      <c r="FQ19" s="15">
        <v>12</v>
      </c>
      <c r="FR19" s="92">
        <v>912.6</v>
      </c>
      <c r="FS19" s="246">
        <v>44854</v>
      </c>
      <c r="FT19" s="92">
        <v>912.6</v>
      </c>
      <c r="FU19" s="70" t="s">
        <v>522</v>
      </c>
      <c r="FV19" s="71">
        <v>60</v>
      </c>
      <c r="FW19" s="402">
        <f t="shared" si="22"/>
        <v>54756</v>
      </c>
      <c r="FX19" s="71"/>
      <c r="FZ19" s="106"/>
      <c r="GA19" s="15">
        <v>12</v>
      </c>
      <c r="GB19" s="69">
        <v>917.2</v>
      </c>
      <c r="GC19" s="254">
        <v>44854</v>
      </c>
      <c r="GD19" s="69">
        <v>917.2</v>
      </c>
      <c r="GE19" s="70" t="s">
        <v>526</v>
      </c>
      <c r="GF19" s="71">
        <v>60</v>
      </c>
      <c r="GG19" s="245">
        <f t="shared" si="23"/>
        <v>55032</v>
      </c>
      <c r="GJ19" s="106"/>
      <c r="GK19" s="15">
        <v>12</v>
      </c>
      <c r="GL19" s="359">
        <v>910.8</v>
      </c>
      <c r="GM19" s="246">
        <v>44855</v>
      </c>
      <c r="GN19" s="359">
        <v>910.8</v>
      </c>
      <c r="GO19" s="95" t="s">
        <v>537</v>
      </c>
      <c r="GP19" s="71">
        <v>60</v>
      </c>
      <c r="GQ19" s="402">
        <f t="shared" si="24"/>
        <v>54648</v>
      </c>
      <c r="GT19" s="106"/>
      <c r="GU19" s="15">
        <v>12</v>
      </c>
      <c r="GV19" s="92">
        <v>935.8</v>
      </c>
      <c r="GW19" s="246">
        <v>44858</v>
      </c>
      <c r="GX19" s="92">
        <v>935.8</v>
      </c>
      <c r="GY19" s="95" t="s">
        <v>546</v>
      </c>
      <c r="GZ19" s="71">
        <v>60</v>
      </c>
      <c r="HA19" s="402">
        <f t="shared" si="25"/>
        <v>56148</v>
      </c>
      <c r="HD19" s="106"/>
      <c r="HE19" s="15">
        <v>12</v>
      </c>
      <c r="HF19" s="92">
        <v>902.19</v>
      </c>
      <c r="HG19" s="246">
        <v>44859</v>
      </c>
      <c r="HH19" s="92">
        <v>902.19</v>
      </c>
      <c r="HI19" s="95" t="s">
        <v>553</v>
      </c>
      <c r="HJ19" s="71">
        <v>56</v>
      </c>
      <c r="HK19" s="402">
        <f t="shared" si="26"/>
        <v>50522.64</v>
      </c>
      <c r="HN19" s="106"/>
      <c r="HO19" s="15">
        <v>12</v>
      </c>
      <c r="HP19" s="92">
        <v>920.8</v>
      </c>
      <c r="HQ19" s="246">
        <v>44859</v>
      </c>
      <c r="HR19" s="92">
        <v>920.8</v>
      </c>
      <c r="HS19" s="294" t="s">
        <v>555</v>
      </c>
      <c r="HT19" s="71">
        <v>56</v>
      </c>
      <c r="HU19" s="245">
        <f t="shared" si="27"/>
        <v>51564.799999999996</v>
      </c>
      <c r="HX19" s="94"/>
      <c r="HY19" s="15">
        <v>12</v>
      </c>
      <c r="HZ19" s="69">
        <v>944.37</v>
      </c>
      <c r="IA19" s="254">
        <v>44860</v>
      </c>
      <c r="IB19" s="69">
        <v>944.37</v>
      </c>
      <c r="IC19" s="70" t="s">
        <v>567</v>
      </c>
      <c r="ID19" s="71">
        <v>56</v>
      </c>
      <c r="IE19" s="402">
        <f t="shared" si="5"/>
        <v>52884.72</v>
      </c>
      <c r="IH19" s="94"/>
      <c r="II19" s="15">
        <v>12</v>
      </c>
      <c r="IJ19" s="69">
        <v>880</v>
      </c>
      <c r="IK19" s="254">
        <v>44861</v>
      </c>
      <c r="IL19" s="69">
        <v>880</v>
      </c>
      <c r="IM19" s="70" t="s">
        <v>564</v>
      </c>
      <c r="IN19" s="71">
        <v>56</v>
      </c>
      <c r="IO19" s="402">
        <f t="shared" si="28"/>
        <v>49280</v>
      </c>
      <c r="IR19" s="106"/>
      <c r="IS19" s="15">
        <v>12</v>
      </c>
      <c r="IT19" s="92">
        <v>920.8</v>
      </c>
      <c r="IU19" s="135">
        <v>44863</v>
      </c>
      <c r="IV19" s="92">
        <v>920.8</v>
      </c>
      <c r="IW19" s="370" t="s">
        <v>578</v>
      </c>
      <c r="IX19" s="71">
        <v>56</v>
      </c>
      <c r="IY19" s="245">
        <f t="shared" si="29"/>
        <v>51564.799999999996</v>
      </c>
      <c r="IZ19" s="92"/>
      <c r="JA19" s="105"/>
      <c r="JB19" s="106"/>
      <c r="JC19" s="15">
        <v>12</v>
      </c>
      <c r="JD19" s="92">
        <v>886.3</v>
      </c>
      <c r="JE19" s="254">
        <v>44863</v>
      </c>
      <c r="JF19" s="92">
        <v>886.3</v>
      </c>
      <c r="JG19" s="70" t="s">
        <v>582</v>
      </c>
      <c r="JH19" s="71">
        <v>56</v>
      </c>
      <c r="JI19" s="402">
        <f t="shared" si="30"/>
        <v>49632.799999999996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8685317</v>
      </c>
      <c r="E20" s="135">
        <f t="shared" si="58"/>
        <v>44854</v>
      </c>
      <c r="F20" s="86">
        <f t="shared" si="58"/>
        <v>19018.57</v>
      </c>
      <c r="G20" s="73">
        <f t="shared" si="58"/>
        <v>21</v>
      </c>
      <c r="H20" s="48">
        <f t="shared" si="58"/>
        <v>18971.8</v>
      </c>
      <c r="I20" s="105">
        <f t="shared" si="58"/>
        <v>46.770000000000437</v>
      </c>
      <c r="L20" s="94"/>
      <c r="M20" s="15">
        <v>13</v>
      </c>
      <c r="N20" s="69">
        <v>917.16</v>
      </c>
      <c r="O20" s="254">
        <v>44840</v>
      </c>
      <c r="P20" s="69">
        <v>917.16</v>
      </c>
      <c r="Q20" s="70" t="s">
        <v>437</v>
      </c>
      <c r="R20" s="71">
        <v>57</v>
      </c>
      <c r="S20" s="402">
        <f t="shared" si="7"/>
        <v>52278.119999999995</v>
      </c>
      <c r="V20" s="94"/>
      <c r="W20" s="15">
        <v>13</v>
      </c>
      <c r="X20" s="69">
        <v>894.5</v>
      </c>
      <c r="Y20" s="254">
        <v>44838</v>
      </c>
      <c r="Z20" s="69">
        <v>894.5</v>
      </c>
      <c r="AA20" s="70" t="s">
        <v>420</v>
      </c>
      <c r="AB20" s="71">
        <v>57</v>
      </c>
      <c r="AC20" s="402">
        <f t="shared" si="8"/>
        <v>50986.5</v>
      </c>
      <c r="AF20" s="106"/>
      <c r="AG20" s="15">
        <v>13</v>
      </c>
      <c r="AH20" s="92">
        <v>870</v>
      </c>
      <c r="AI20" s="246">
        <v>44838</v>
      </c>
      <c r="AJ20" s="92">
        <v>870</v>
      </c>
      <c r="AK20" s="95" t="s">
        <v>418</v>
      </c>
      <c r="AL20" s="71">
        <v>57</v>
      </c>
      <c r="AM20" s="402">
        <f t="shared" si="9"/>
        <v>49590</v>
      </c>
      <c r="AP20" s="106"/>
      <c r="AQ20" s="15">
        <v>13</v>
      </c>
      <c r="AR20" s="92">
        <v>914.89</v>
      </c>
      <c r="AS20" s="246">
        <v>44839</v>
      </c>
      <c r="AT20" s="92">
        <v>914.89</v>
      </c>
      <c r="AU20" s="95" t="s">
        <v>426</v>
      </c>
      <c r="AV20" s="71">
        <v>57</v>
      </c>
      <c r="AW20" s="402">
        <f t="shared" si="10"/>
        <v>52148.729999999996</v>
      </c>
      <c r="AZ20" s="106"/>
      <c r="BA20" s="15">
        <v>13</v>
      </c>
      <c r="BB20" s="92">
        <v>933.5</v>
      </c>
      <c r="BC20" s="246">
        <v>44842</v>
      </c>
      <c r="BD20" s="92">
        <v>933.5</v>
      </c>
      <c r="BE20" s="95" t="s">
        <v>445</v>
      </c>
      <c r="BF20" s="71">
        <v>57</v>
      </c>
      <c r="BG20" s="402">
        <f t="shared" si="11"/>
        <v>53209.5</v>
      </c>
      <c r="BJ20" s="712"/>
      <c r="BK20" s="15">
        <v>13</v>
      </c>
      <c r="BL20" s="69">
        <v>881.8</v>
      </c>
      <c r="BM20" s="135">
        <v>44842</v>
      </c>
      <c r="BN20" s="69">
        <v>881.8</v>
      </c>
      <c r="BO20" s="95" t="s">
        <v>458</v>
      </c>
      <c r="BP20" s="290">
        <v>57</v>
      </c>
      <c r="BQ20" s="492">
        <f t="shared" si="12"/>
        <v>50262.6</v>
      </c>
      <c r="BR20" s="402"/>
      <c r="BT20" s="106"/>
      <c r="BU20" s="15">
        <v>13</v>
      </c>
      <c r="BV20" s="92">
        <v>893.57</v>
      </c>
      <c r="BW20" s="291">
        <v>44845</v>
      </c>
      <c r="BX20" s="92">
        <v>893.57</v>
      </c>
      <c r="BY20" s="607" t="s">
        <v>469</v>
      </c>
      <c r="BZ20" s="292">
        <v>57</v>
      </c>
      <c r="CA20" s="402">
        <f t="shared" si="13"/>
        <v>50933.490000000005</v>
      </c>
      <c r="CD20" s="214"/>
      <c r="CE20" s="15">
        <v>13</v>
      </c>
      <c r="CF20" s="92">
        <v>896.3</v>
      </c>
      <c r="CG20" s="291">
        <v>44846</v>
      </c>
      <c r="CH20" s="92">
        <v>896.3</v>
      </c>
      <c r="CI20" s="293" t="s">
        <v>447</v>
      </c>
      <c r="CJ20" s="292">
        <v>57</v>
      </c>
      <c r="CK20" s="245">
        <f t="shared" si="14"/>
        <v>51089.1</v>
      </c>
      <c r="CN20" s="420"/>
      <c r="CO20" s="15">
        <v>13</v>
      </c>
      <c r="CP20" s="92">
        <v>897.2</v>
      </c>
      <c r="CQ20" s="291">
        <v>44847</v>
      </c>
      <c r="CR20" s="92">
        <v>897.2</v>
      </c>
      <c r="CS20" s="293" t="s">
        <v>491</v>
      </c>
      <c r="CT20" s="292">
        <v>58</v>
      </c>
      <c r="CU20" s="407">
        <f t="shared" si="48"/>
        <v>52037.600000000006</v>
      </c>
      <c r="CX20" s="106"/>
      <c r="CY20" s="15">
        <v>13</v>
      </c>
      <c r="CZ20" s="92">
        <v>885.9</v>
      </c>
      <c r="DA20" s="246">
        <v>44847</v>
      </c>
      <c r="DB20" s="92">
        <v>885.9</v>
      </c>
      <c r="DC20" s="95" t="s">
        <v>487</v>
      </c>
      <c r="DD20" s="71">
        <v>58</v>
      </c>
      <c r="DE20" s="402">
        <f t="shared" si="15"/>
        <v>51382.2</v>
      </c>
      <c r="DH20" s="106"/>
      <c r="DI20" s="15">
        <v>13</v>
      </c>
      <c r="DJ20" s="768">
        <v>940.7</v>
      </c>
      <c r="DK20" s="796">
        <v>44849</v>
      </c>
      <c r="DL20" s="768">
        <v>940.7</v>
      </c>
      <c r="DM20" s="797" t="s">
        <v>501</v>
      </c>
      <c r="DN20" s="798">
        <v>59</v>
      </c>
      <c r="DO20" s="407">
        <f t="shared" si="16"/>
        <v>55501.3</v>
      </c>
      <c r="DR20" s="106"/>
      <c r="DS20" s="15">
        <v>13</v>
      </c>
      <c r="DT20" s="92">
        <v>901.7</v>
      </c>
      <c r="DU20" s="291">
        <v>44849</v>
      </c>
      <c r="DV20" s="92">
        <v>901.7</v>
      </c>
      <c r="DW20" s="293" t="s">
        <v>504</v>
      </c>
      <c r="DX20" s="292">
        <v>59</v>
      </c>
      <c r="DY20" s="402">
        <f t="shared" si="17"/>
        <v>53200.3</v>
      </c>
      <c r="EB20" s="106"/>
      <c r="EC20" s="15">
        <v>13</v>
      </c>
      <c r="ED20" s="69">
        <v>943.82</v>
      </c>
      <c r="EE20" s="254">
        <v>44848</v>
      </c>
      <c r="EF20" s="69">
        <v>943.82</v>
      </c>
      <c r="EG20" s="70" t="s">
        <v>448</v>
      </c>
      <c r="EH20" s="71">
        <v>59</v>
      </c>
      <c r="EI20" s="402">
        <f t="shared" si="18"/>
        <v>55685.380000000005</v>
      </c>
      <c r="EL20" s="106"/>
      <c r="EM20" s="15">
        <v>13</v>
      </c>
      <c r="EN20" s="69">
        <v>910.8</v>
      </c>
      <c r="EO20" s="254">
        <v>44853</v>
      </c>
      <c r="EP20" s="69">
        <v>910.8</v>
      </c>
      <c r="EQ20" s="70" t="s">
        <v>519</v>
      </c>
      <c r="ER20" s="71">
        <v>60</v>
      </c>
      <c r="ES20" s="402">
        <f t="shared" si="19"/>
        <v>54648</v>
      </c>
      <c r="EV20" s="106"/>
      <c r="EW20" s="15">
        <v>13</v>
      </c>
      <c r="EX20" s="92">
        <v>932.58</v>
      </c>
      <c r="EY20" s="246">
        <v>44852</v>
      </c>
      <c r="EZ20" s="92">
        <v>932.58</v>
      </c>
      <c r="FA20" s="70" t="s">
        <v>514</v>
      </c>
      <c r="FB20" s="71">
        <v>60</v>
      </c>
      <c r="FC20" s="402">
        <f t="shared" si="20"/>
        <v>55954.8</v>
      </c>
      <c r="FF20" s="106"/>
      <c r="FG20" s="15">
        <v>13</v>
      </c>
      <c r="FH20" s="92">
        <v>944.37</v>
      </c>
      <c r="FI20" s="246">
        <v>44854</v>
      </c>
      <c r="FJ20" s="92">
        <v>944.37</v>
      </c>
      <c r="FK20" s="70" t="s">
        <v>523</v>
      </c>
      <c r="FL20" s="71">
        <v>60</v>
      </c>
      <c r="FM20" s="245">
        <f t="shared" si="21"/>
        <v>56662.2</v>
      </c>
      <c r="FP20" s="106"/>
      <c r="FQ20" s="15">
        <v>13</v>
      </c>
      <c r="FR20" s="92">
        <v>922.6</v>
      </c>
      <c r="FS20" s="246">
        <v>44854</v>
      </c>
      <c r="FT20" s="92">
        <v>922.6</v>
      </c>
      <c r="FU20" s="70" t="s">
        <v>522</v>
      </c>
      <c r="FV20" s="71">
        <v>60</v>
      </c>
      <c r="FW20" s="402">
        <f t="shared" si="22"/>
        <v>55356</v>
      </c>
      <c r="FX20" s="71"/>
      <c r="FZ20" s="106"/>
      <c r="GA20" s="15">
        <v>13</v>
      </c>
      <c r="GB20" s="69">
        <v>878.2</v>
      </c>
      <c r="GC20" s="254">
        <v>44854</v>
      </c>
      <c r="GD20" s="69">
        <v>878.2</v>
      </c>
      <c r="GE20" s="70" t="s">
        <v>526</v>
      </c>
      <c r="GF20" s="71">
        <v>60</v>
      </c>
      <c r="GG20" s="245">
        <f t="shared" si="23"/>
        <v>52692</v>
      </c>
      <c r="GJ20" s="106"/>
      <c r="GK20" s="15">
        <v>13</v>
      </c>
      <c r="GL20" s="359">
        <v>924.4</v>
      </c>
      <c r="GM20" s="246">
        <v>44855</v>
      </c>
      <c r="GN20" s="359">
        <v>924.4</v>
      </c>
      <c r="GO20" s="95" t="s">
        <v>537</v>
      </c>
      <c r="GP20" s="71">
        <v>60</v>
      </c>
      <c r="GQ20" s="402">
        <f t="shared" si="24"/>
        <v>55464</v>
      </c>
      <c r="GT20" s="106"/>
      <c r="GU20" s="15">
        <v>13</v>
      </c>
      <c r="GV20" s="92">
        <v>874.1</v>
      </c>
      <c r="GW20" s="246">
        <v>44858</v>
      </c>
      <c r="GX20" s="92">
        <v>874.1</v>
      </c>
      <c r="GY20" s="95" t="s">
        <v>543</v>
      </c>
      <c r="GZ20" s="71">
        <v>60</v>
      </c>
      <c r="HA20" s="402">
        <f t="shared" si="25"/>
        <v>52446</v>
      </c>
      <c r="HD20" s="106"/>
      <c r="HE20" s="15">
        <v>13</v>
      </c>
      <c r="HF20" s="92">
        <v>944.37</v>
      </c>
      <c r="HG20" s="246">
        <v>44859</v>
      </c>
      <c r="HH20" s="92">
        <v>944.37</v>
      </c>
      <c r="HI20" s="95" t="s">
        <v>553</v>
      </c>
      <c r="HJ20" s="71">
        <v>56</v>
      </c>
      <c r="HK20" s="245">
        <f t="shared" si="26"/>
        <v>52884.72</v>
      </c>
      <c r="HN20" s="106"/>
      <c r="HO20" s="15">
        <v>13</v>
      </c>
      <c r="HP20" s="92">
        <v>907.2</v>
      </c>
      <c r="HQ20" s="246">
        <v>44859</v>
      </c>
      <c r="HR20" s="92">
        <v>907.2</v>
      </c>
      <c r="HS20" s="294" t="s">
        <v>555</v>
      </c>
      <c r="HT20" s="71">
        <v>56</v>
      </c>
      <c r="HU20" s="245">
        <f t="shared" si="27"/>
        <v>50803.200000000004</v>
      </c>
      <c r="HX20" s="94"/>
      <c r="HY20" s="15">
        <v>13</v>
      </c>
      <c r="HZ20" s="69">
        <v>890.85</v>
      </c>
      <c r="IA20" s="254">
        <v>44860</v>
      </c>
      <c r="IB20" s="69">
        <v>890.85</v>
      </c>
      <c r="IC20" s="70" t="s">
        <v>567</v>
      </c>
      <c r="ID20" s="71">
        <v>56</v>
      </c>
      <c r="IE20" s="402">
        <f t="shared" si="5"/>
        <v>49887.6</v>
      </c>
      <c r="IH20" s="94"/>
      <c r="II20" s="15">
        <v>13</v>
      </c>
      <c r="IJ20" s="69">
        <v>900.8</v>
      </c>
      <c r="IK20" s="254">
        <v>44861</v>
      </c>
      <c r="IL20" s="69">
        <v>900.8</v>
      </c>
      <c r="IM20" s="70" t="s">
        <v>564</v>
      </c>
      <c r="IN20" s="71">
        <v>56</v>
      </c>
      <c r="IO20" s="402">
        <f t="shared" si="28"/>
        <v>50444.799999999996</v>
      </c>
      <c r="IR20" s="106"/>
      <c r="IS20" s="15">
        <v>13</v>
      </c>
      <c r="IT20" s="92">
        <v>869.1</v>
      </c>
      <c r="IU20" s="135">
        <v>44862</v>
      </c>
      <c r="IV20" s="92">
        <v>869.1</v>
      </c>
      <c r="IW20" s="370" t="s">
        <v>576</v>
      </c>
      <c r="IX20" s="71">
        <v>56</v>
      </c>
      <c r="IY20" s="245">
        <f t="shared" si="29"/>
        <v>48669.599999999999</v>
      </c>
      <c r="IZ20" s="92"/>
      <c r="JB20" s="106"/>
      <c r="JC20" s="15">
        <v>13</v>
      </c>
      <c r="JD20" s="92">
        <v>916.3</v>
      </c>
      <c r="JE20" s="254">
        <v>44863</v>
      </c>
      <c r="JF20" s="92">
        <v>916.3</v>
      </c>
      <c r="JG20" s="70" t="s">
        <v>582</v>
      </c>
      <c r="JH20" s="71">
        <v>56</v>
      </c>
      <c r="JI20" s="402">
        <f t="shared" si="30"/>
        <v>51312.799999999996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FOODS</v>
      </c>
      <c r="C21" s="75" t="str">
        <f t="shared" si="59"/>
        <v>Seaboard</v>
      </c>
      <c r="D21" s="301" t="str">
        <f>GA5</f>
        <v>PED. 8685318</v>
      </c>
      <c r="E21" s="135">
        <f t="shared" si="59"/>
        <v>44854</v>
      </c>
      <c r="F21" s="86">
        <f t="shared" si="59"/>
        <v>18726.77</v>
      </c>
      <c r="G21" s="73">
        <f t="shared" si="59"/>
        <v>21</v>
      </c>
      <c r="H21" s="48">
        <f t="shared" si="59"/>
        <v>18714.2</v>
      </c>
      <c r="I21" s="105">
        <f t="shared" si="59"/>
        <v>12.569999999999709</v>
      </c>
      <c r="L21" s="94"/>
      <c r="M21" s="15">
        <v>14</v>
      </c>
      <c r="N21" s="69">
        <v>963.43</v>
      </c>
      <c r="O21" s="254">
        <v>44840</v>
      </c>
      <c r="P21" s="69">
        <v>963.43</v>
      </c>
      <c r="Q21" s="70" t="s">
        <v>432</v>
      </c>
      <c r="R21" s="71">
        <v>57</v>
      </c>
      <c r="S21" s="402">
        <f t="shared" si="7"/>
        <v>54915.509999999995</v>
      </c>
      <c r="V21" s="94"/>
      <c r="W21" s="15">
        <v>14</v>
      </c>
      <c r="X21" s="69">
        <v>911.7</v>
      </c>
      <c r="Y21" s="254">
        <v>44838</v>
      </c>
      <c r="Z21" s="69">
        <v>911.7</v>
      </c>
      <c r="AA21" s="70" t="s">
        <v>420</v>
      </c>
      <c r="AB21" s="71">
        <v>57</v>
      </c>
      <c r="AC21" s="402">
        <f t="shared" si="8"/>
        <v>51966.9</v>
      </c>
      <c r="AF21" s="106"/>
      <c r="AG21" s="15">
        <v>14</v>
      </c>
      <c r="AH21" s="92">
        <v>930.8</v>
      </c>
      <c r="AI21" s="246">
        <v>44838</v>
      </c>
      <c r="AJ21" s="92">
        <v>930.8</v>
      </c>
      <c r="AK21" s="95" t="s">
        <v>418</v>
      </c>
      <c r="AL21" s="71">
        <v>57</v>
      </c>
      <c r="AM21" s="402">
        <f t="shared" si="9"/>
        <v>53055.6</v>
      </c>
      <c r="AP21" s="106"/>
      <c r="AQ21" s="15">
        <v>14</v>
      </c>
      <c r="AR21" s="92">
        <v>923.96</v>
      </c>
      <c r="AS21" s="246">
        <v>44839</v>
      </c>
      <c r="AT21" s="92">
        <v>923.96</v>
      </c>
      <c r="AU21" s="95" t="s">
        <v>426</v>
      </c>
      <c r="AV21" s="71">
        <v>57</v>
      </c>
      <c r="AW21" s="402">
        <f t="shared" si="10"/>
        <v>52665.72</v>
      </c>
      <c r="AZ21" s="106"/>
      <c r="BA21" s="15">
        <v>14</v>
      </c>
      <c r="BB21" s="92">
        <v>898.1</v>
      </c>
      <c r="BC21" s="246">
        <v>44842</v>
      </c>
      <c r="BD21" s="92">
        <v>898.1</v>
      </c>
      <c r="BE21" s="95" t="s">
        <v>454</v>
      </c>
      <c r="BF21" s="71">
        <v>57</v>
      </c>
      <c r="BG21" s="402">
        <f t="shared" si="11"/>
        <v>51191.700000000004</v>
      </c>
      <c r="BJ21" s="712"/>
      <c r="BK21" s="15">
        <v>14</v>
      </c>
      <c r="BL21" s="92">
        <v>912.6</v>
      </c>
      <c r="BM21" s="135">
        <v>44844</v>
      </c>
      <c r="BN21" s="92">
        <v>912.6</v>
      </c>
      <c r="BO21" s="95" t="s">
        <v>434</v>
      </c>
      <c r="BP21" s="290">
        <v>57</v>
      </c>
      <c r="BQ21" s="492">
        <f t="shared" si="12"/>
        <v>52018.200000000004</v>
      </c>
      <c r="BR21" s="402"/>
      <c r="BT21" s="106"/>
      <c r="BU21" s="15">
        <v>14</v>
      </c>
      <c r="BV21" s="92">
        <v>921.24</v>
      </c>
      <c r="BW21" s="291">
        <v>44845</v>
      </c>
      <c r="BX21" s="92">
        <v>921.24</v>
      </c>
      <c r="BY21" s="607" t="s">
        <v>469</v>
      </c>
      <c r="BZ21" s="292">
        <v>57</v>
      </c>
      <c r="CA21" s="402">
        <f t="shared" si="13"/>
        <v>52510.68</v>
      </c>
      <c r="CD21" s="214"/>
      <c r="CE21" s="15">
        <v>14</v>
      </c>
      <c r="CF21" s="92">
        <v>921.7</v>
      </c>
      <c r="CG21" s="291">
        <v>44846</v>
      </c>
      <c r="CH21" s="92">
        <v>921.7</v>
      </c>
      <c r="CI21" s="293" t="s">
        <v>447</v>
      </c>
      <c r="CJ21" s="292">
        <v>57</v>
      </c>
      <c r="CK21" s="245">
        <f t="shared" si="14"/>
        <v>52536.9</v>
      </c>
      <c r="CN21" s="420"/>
      <c r="CO21" s="15">
        <v>14</v>
      </c>
      <c r="CP21" s="92">
        <v>891.8</v>
      </c>
      <c r="CQ21" s="291">
        <v>44847</v>
      </c>
      <c r="CR21" s="92">
        <v>891.8</v>
      </c>
      <c r="CS21" s="293" t="s">
        <v>491</v>
      </c>
      <c r="CT21" s="292">
        <v>58</v>
      </c>
      <c r="CU21" s="407">
        <f t="shared" si="48"/>
        <v>51724.399999999994</v>
      </c>
      <c r="CX21" s="106"/>
      <c r="CY21" s="15">
        <v>14</v>
      </c>
      <c r="CZ21" s="92">
        <v>934.4</v>
      </c>
      <c r="DA21" s="246">
        <v>44847</v>
      </c>
      <c r="DB21" s="92">
        <v>934.4</v>
      </c>
      <c r="DC21" s="95" t="s">
        <v>487</v>
      </c>
      <c r="DD21" s="71">
        <v>58</v>
      </c>
      <c r="DE21" s="402">
        <f t="shared" si="15"/>
        <v>54195.199999999997</v>
      </c>
      <c r="DH21" s="106"/>
      <c r="DI21" s="15">
        <v>14</v>
      </c>
      <c r="DJ21" s="768">
        <v>904.5</v>
      </c>
      <c r="DK21" s="796">
        <v>44848</v>
      </c>
      <c r="DL21" s="768">
        <v>904.5</v>
      </c>
      <c r="DM21" s="797" t="s">
        <v>497</v>
      </c>
      <c r="DN21" s="798">
        <v>59</v>
      </c>
      <c r="DO21" s="407">
        <f t="shared" si="16"/>
        <v>53365.5</v>
      </c>
      <c r="DR21" s="106"/>
      <c r="DS21" s="15">
        <v>14</v>
      </c>
      <c r="DT21" s="92">
        <v>869.1</v>
      </c>
      <c r="DU21" s="291">
        <v>44849</v>
      </c>
      <c r="DV21" s="92">
        <v>869.1</v>
      </c>
      <c r="DW21" s="293" t="s">
        <v>504</v>
      </c>
      <c r="DX21" s="292">
        <v>59</v>
      </c>
      <c r="DY21" s="402">
        <f t="shared" si="17"/>
        <v>51276.9</v>
      </c>
      <c r="EB21" s="106"/>
      <c r="EC21" s="15">
        <v>14</v>
      </c>
      <c r="ED21" s="69">
        <v>972.95</v>
      </c>
      <c r="EE21" s="254">
        <v>44848</v>
      </c>
      <c r="EF21" s="69">
        <v>972.95</v>
      </c>
      <c r="EG21" s="70" t="s">
        <v>448</v>
      </c>
      <c r="EH21" s="71">
        <v>59</v>
      </c>
      <c r="EI21" s="402">
        <f t="shared" si="18"/>
        <v>57404.05</v>
      </c>
      <c r="EL21" s="106"/>
      <c r="EM21" s="15">
        <v>14</v>
      </c>
      <c r="EN21" s="69">
        <v>914</v>
      </c>
      <c r="EO21" s="254">
        <v>44853</v>
      </c>
      <c r="EP21" s="69">
        <v>914</v>
      </c>
      <c r="EQ21" s="70" t="s">
        <v>519</v>
      </c>
      <c r="ER21" s="71">
        <v>60</v>
      </c>
      <c r="ES21" s="402">
        <f t="shared" si="19"/>
        <v>54840</v>
      </c>
      <c r="EV21" s="106"/>
      <c r="EW21" s="15">
        <v>14</v>
      </c>
      <c r="EX21" s="92">
        <v>956.17</v>
      </c>
      <c r="EY21" s="246">
        <v>44852</v>
      </c>
      <c r="EZ21" s="92">
        <v>956.17</v>
      </c>
      <c r="FA21" s="70" t="s">
        <v>514</v>
      </c>
      <c r="FB21" s="71">
        <v>60</v>
      </c>
      <c r="FC21" s="402">
        <f t="shared" si="20"/>
        <v>57370.2</v>
      </c>
      <c r="FF21" s="106"/>
      <c r="FG21" s="15">
        <v>14</v>
      </c>
      <c r="FH21" s="92">
        <v>935.3</v>
      </c>
      <c r="FI21" s="246">
        <v>44854</v>
      </c>
      <c r="FJ21" s="92">
        <v>935.3</v>
      </c>
      <c r="FK21" s="70" t="s">
        <v>523</v>
      </c>
      <c r="FL21" s="71">
        <v>60</v>
      </c>
      <c r="FM21" s="245">
        <f t="shared" si="21"/>
        <v>56118</v>
      </c>
      <c r="FP21" s="106"/>
      <c r="FQ21" s="15">
        <v>14</v>
      </c>
      <c r="FR21" s="92">
        <v>929</v>
      </c>
      <c r="FS21" s="246">
        <v>44854</v>
      </c>
      <c r="FT21" s="92">
        <v>929</v>
      </c>
      <c r="FU21" s="70" t="s">
        <v>522</v>
      </c>
      <c r="FV21" s="71">
        <v>60</v>
      </c>
      <c r="FW21" s="402">
        <f t="shared" si="22"/>
        <v>55740</v>
      </c>
      <c r="FX21" s="71"/>
      <c r="FZ21" s="106"/>
      <c r="GA21" s="15">
        <v>14</v>
      </c>
      <c r="GB21" s="69">
        <v>912.6</v>
      </c>
      <c r="GC21" s="254">
        <v>44854</v>
      </c>
      <c r="GD21" s="69">
        <v>912.6</v>
      </c>
      <c r="GE21" s="70" t="s">
        <v>526</v>
      </c>
      <c r="GF21" s="71">
        <v>60</v>
      </c>
      <c r="GG21" s="245">
        <f t="shared" si="23"/>
        <v>54756</v>
      </c>
      <c r="GJ21" s="106"/>
      <c r="GK21" s="15">
        <v>14</v>
      </c>
      <c r="GL21" s="359">
        <v>936.2</v>
      </c>
      <c r="GM21" s="246">
        <v>44855</v>
      </c>
      <c r="GN21" s="359">
        <v>936.2</v>
      </c>
      <c r="GO21" s="95" t="s">
        <v>537</v>
      </c>
      <c r="GP21" s="71">
        <v>60</v>
      </c>
      <c r="GQ21" s="402">
        <f t="shared" si="24"/>
        <v>56172</v>
      </c>
      <c r="GT21" s="106"/>
      <c r="GU21" s="15">
        <v>14</v>
      </c>
      <c r="GV21" s="92">
        <v>927.1</v>
      </c>
      <c r="GW21" s="246">
        <v>44858</v>
      </c>
      <c r="GX21" s="92">
        <v>927.1</v>
      </c>
      <c r="GY21" s="95" t="s">
        <v>543</v>
      </c>
      <c r="GZ21" s="71">
        <v>60</v>
      </c>
      <c r="HA21" s="402">
        <f t="shared" si="25"/>
        <v>55626</v>
      </c>
      <c r="HD21" s="106"/>
      <c r="HE21" s="15">
        <v>14</v>
      </c>
      <c r="HF21" s="92">
        <v>899.92</v>
      </c>
      <c r="HG21" s="246">
        <v>44859</v>
      </c>
      <c r="HH21" s="92">
        <v>899.92</v>
      </c>
      <c r="HI21" s="95" t="s">
        <v>553</v>
      </c>
      <c r="HJ21" s="71">
        <v>56</v>
      </c>
      <c r="HK21" s="245">
        <f t="shared" si="26"/>
        <v>50395.519999999997</v>
      </c>
      <c r="HN21" s="106"/>
      <c r="HO21" s="15">
        <v>14</v>
      </c>
      <c r="HP21" s="92">
        <v>924.4</v>
      </c>
      <c r="HQ21" s="246">
        <v>44859</v>
      </c>
      <c r="HR21" s="92">
        <v>924.4</v>
      </c>
      <c r="HS21" s="294" t="s">
        <v>555</v>
      </c>
      <c r="HT21" s="71">
        <v>56</v>
      </c>
      <c r="HU21" s="245">
        <f t="shared" si="27"/>
        <v>51766.400000000001</v>
      </c>
      <c r="HX21" s="94"/>
      <c r="HY21" s="15">
        <v>14</v>
      </c>
      <c r="HZ21" s="69">
        <v>884.5</v>
      </c>
      <c r="IA21" s="254">
        <v>44860</v>
      </c>
      <c r="IB21" s="69">
        <v>884.5</v>
      </c>
      <c r="IC21" s="70" t="s">
        <v>567</v>
      </c>
      <c r="ID21" s="71">
        <v>56</v>
      </c>
      <c r="IE21" s="402">
        <f t="shared" si="5"/>
        <v>49532</v>
      </c>
      <c r="IH21" s="94"/>
      <c r="II21" s="15">
        <v>14</v>
      </c>
      <c r="IJ21" s="69">
        <v>861.8</v>
      </c>
      <c r="IK21" s="254">
        <v>44861</v>
      </c>
      <c r="IL21" s="69">
        <v>861.8</v>
      </c>
      <c r="IM21" s="70" t="s">
        <v>564</v>
      </c>
      <c r="IN21" s="71">
        <v>56</v>
      </c>
      <c r="IO21" s="402">
        <f t="shared" si="28"/>
        <v>48260.799999999996</v>
      </c>
      <c r="IR21" s="106"/>
      <c r="IS21" s="15">
        <v>14</v>
      </c>
      <c r="IT21" s="92">
        <v>900.8</v>
      </c>
      <c r="IU21" s="135">
        <v>44862</v>
      </c>
      <c r="IV21" s="92">
        <v>900.8</v>
      </c>
      <c r="IW21" s="370" t="s">
        <v>576</v>
      </c>
      <c r="IX21" s="71">
        <v>56</v>
      </c>
      <c r="IY21" s="245">
        <f t="shared" si="29"/>
        <v>50444.799999999996</v>
      </c>
      <c r="IZ21" s="92"/>
      <c r="JB21" s="106"/>
      <c r="JC21" s="15">
        <v>14</v>
      </c>
      <c r="JD21" s="92">
        <v>898.1</v>
      </c>
      <c r="JE21" s="254">
        <v>44863</v>
      </c>
      <c r="JF21" s="92">
        <v>898.1</v>
      </c>
      <c r="JG21" s="70" t="s">
        <v>582</v>
      </c>
      <c r="JH21" s="71">
        <v>56</v>
      </c>
      <c r="JI21" s="402">
        <f t="shared" si="30"/>
        <v>50293.599999999999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88759310</v>
      </c>
      <c r="E22" s="135">
        <f t="shared" si="60"/>
        <v>44855</v>
      </c>
      <c r="F22" s="86">
        <f t="shared" si="60"/>
        <v>19138.55</v>
      </c>
      <c r="G22" s="73">
        <f t="shared" si="60"/>
        <v>21</v>
      </c>
      <c r="H22" s="48">
        <f t="shared" si="60"/>
        <v>19147.7</v>
      </c>
      <c r="I22" s="105">
        <f>GP5</f>
        <v>-9.1500000000014552</v>
      </c>
      <c r="L22" s="94"/>
      <c r="M22" s="15">
        <v>15</v>
      </c>
      <c r="N22" s="69">
        <v>938.02</v>
      </c>
      <c r="O22" s="254">
        <v>44840</v>
      </c>
      <c r="P22" s="69">
        <v>938.02</v>
      </c>
      <c r="Q22" s="70" t="s">
        <v>432</v>
      </c>
      <c r="R22" s="71">
        <v>57</v>
      </c>
      <c r="S22" s="402">
        <f t="shared" si="7"/>
        <v>53467.14</v>
      </c>
      <c r="V22" s="94"/>
      <c r="W22" s="15">
        <v>15</v>
      </c>
      <c r="X22" s="69">
        <v>890.9</v>
      </c>
      <c r="Y22" s="254">
        <v>44838</v>
      </c>
      <c r="Z22" s="69">
        <v>890.9</v>
      </c>
      <c r="AA22" s="70" t="s">
        <v>420</v>
      </c>
      <c r="AB22" s="71">
        <v>57</v>
      </c>
      <c r="AC22" s="402">
        <f t="shared" si="8"/>
        <v>50781.299999999996</v>
      </c>
      <c r="AF22" s="106"/>
      <c r="AG22" s="15">
        <v>15</v>
      </c>
      <c r="AH22" s="92">
        <v>918.1</v>
      </c>
      <c r="AI22" s="246">
        <v>44838</v>
      </c>
      <c r="AJ22" s="92">
        <v>918.1</v>
      </c>
      <c r="AK22" s="95" t="s">
        <v>418</v>
      </c>
      <c r="AL22" s="71">
        <v>57</v>
      </c>
      <c r="AM22" s="402">
        <f t="shared" si="9"/>
        <v>52331.700000000004</v>
      </c>
      <c r="AP22" s="106"/>
      <c r="AQ22" s="15">
        <v>15</v>
      </c>
      <c r="AR22" s="92">
        <v>958.44</v>
      </c>
      <c r="AS22" s="246">
        <v>44839</v>
      </c>
      <c r="AT22" s="92">
        <v>958.44</v>
      </c>
      <c r="AU22" s="95" t="s">
        <v>426</v>
      </c>
      <c r="AV22" s="71">
        <v>57</v>
      </c>
      <c r="AW22" s="402">
        <f t="shared" si="10"/>
        <v>54631.08</v>
      </c>
      <c r="AZ22" s="106"/>
      <c r="BA22" s="15">
        <v>15</v>
      </c>
      <c r="BB22" s="92">
        <v>901.7</v>
      </c>
      <c r="BC22" s="246">
        <v>44842</v>
      </c>
      <c r="BD22" s="92">
        <v>901.7</v>
      </c>
      <c r="BE22" s="95" t="s">
        <v>444</v>
      </c>
      <c r="BF22" s="71">
        <v>57</v>
      </c>
      <c r="BG22" s="402">
        <f t="shared" si="11"/>
        <v>51396.9</v>
      </c>
      <c r="BJ22" s="712"/>
      <c r="BK22" s="15">
        <v>15</v>
      </c>
      <c r="BL22" s="92">
        <v>876.3</v>
      </c>
      <c r="BM22" s="135">
        <v>44844</v>
      </c>
      <c r="BN22" s="92">
        <v>876.3</v>
      </c>
      <c r="BO22" s="95" t="s">
        <v>434</v>
      </c>
      <c r="BP22" s="290">
        <v>57</v>
      </c>
      <c r="BQ22" s="492">
        <f t="shared" si="12"/>
        <v>49949.1</v>
      </c>
      <c r="BR22" s="402"/>
      <c r="BT22" s="106"/>
      <c r="BU22" s="15">
        <v>15</v>
      </c>
      <c r="BV22" s="92">
        <v>941.65</v>
      </c>
      <c r="BW22" s="291">
        <v>44845</v>
      </c>
      <c r="BX22" s="92">
        <v>941.65</v>
      </c>
      <c r="BY22" s="607" t="s">
        <v>469</v>
      </c>
      <c r="BZ22" s="292">
        <v>57</v>
      </c>
      <c r="CA22" s="402">
        <f t="shared" si="13"/>
        <v>53674.049999999996</v>
      </c>
      <c r="CD22" s="214"/>
      <c r="CE22" s="15">
        <v>15</v>
      </c>
      <c r="CF22" s="92">
        <v>927.1</v>
      </c>
      <c r="CG22" s="291">
        <v>44846</v>
      </c>
      <c r="CH22" s="92">
        <v>927.1</v>
      </c>
      <c r="CI22" s="293" t="s">
        <v>447</v>
      </c>
      <c r="CJ22" s="292">
        <v>57</v>
      </c>
      <c r="CK22" s="245">
        <f t="shared" si="14"/>
        <v>52844.700000000004</v>
      </c>
      <c r="CN22" s="420"/>
      <c r="CO22" s="15">
        <v>15</v>
      </c>
      <c r="CP22" s="69">
        <v>903.6</v>
      </c>
      <c r="CQ22" s="291">
        <v>44847</v>
      </c>
      <c r="CR22" s="69">
        <v>903.6</v>
      </c>
      <c r="CS22" s="293" t="s">
        <v>491</v>
      </c>
      <c r="CT22" s="292">
        <v>58</v>
      </c>
      <c r="CU22" s="407">
        <f t="shared" si="48"/>
        <v>52408.800000000003</v>
      </c>
      <c r="CX22" s="106"/>
      <c r="CY22" s="15">
        <v>15</v>
      </c>
      <c r="CZ22" s="92">
        <v>905.4</v>
      </c>
      <c r="DA22" s="246">
        <v>44847</v>
      </c>
      <c r="DB22" s="92">
        <v>905.4</v>
      </c>
      <c r="DC22" s="95" t="s">
        <v>487</v>
      </c>
      <c r="DD22" s="71">
        <v>58</v>
      </c>
      <c r="DE22" s="402">
        <f t="shared" si="15"/>
        <v>52513.2</v>
      </c>
      <c r="DH22" s="106"/>
      <c r="DI22" s="15">
        <v>15</v>
      </c>
      <c r="DJ22" s="768">
        <v>921.7</v>
      </c>
      <c r="DK22" s="796">
        <v>44849</v>
      </c>
      <c r="DL22" s="768">
        <v>921.7</v>
      </c>
      <c r="DM22" s="797" t="s">
        <v>503</v>
      </c>
      <c r="DN22" s="798">
        <v>59</v>
      </c>
      <c r="DO22" s="407">
        <f t="shared" si="16"/>
        <v>54380.3</v>
      </c>
      <c r="DR22" s="106"/>
      <c r="DS22" s="15">
        <v>15</v>
      </c>
      <c r="DT22" s="92">
        <v>901.7</v>
      </c>
      <c r="DU22" s="291">
        <v>44849</v>
      </c>
      <c r="DV22" s="92">
        <v>901.7</v>
      </c>
      <c r="DW22" s="293" t="s">
        <v>504</v>
      </c>
      <c r="DX22" s="292">
        <v>59</v>
      </c>
      <c r="DY22" s="402">
        <f t="shared" si="17"/>
        <v>53200.3</v>
      </c>
      <c r="EB22" s="106"/>
      <c r="EC22" s="15">
        <v>15</v>
      </c>
      <c r="ED22" s="69">
        <v>973.86</v>
      </c>
      <c r="EE22" s="254">
        <v>44848</v>
      </c>
      <c r="EF22" s="69">
        <v>973.86</v>
      </c>
      <c r="EG22" s="70" t="s">
        <v>448</v>
      </c>
      <c r="EH22" s="71">
        <v>59</v>
      </c>
      <c r="EI22" s="402">
        <f t="shared" si="18"/>
        <v>57457.74</v>
      </c>
      <c r="EL22" s="106"/>
      <c r="EM22" s="15">
        <v>15</v>
      </c>
      <c r="EN22" s="69">
        <v>911.7</v>
      </c>
      <c r="EO22" s="254">
        <v>44853</v>
      </c>
      <c r="EP22" s="69">
        <v>911.7</v>
      </c>
      <c r="EQ22" s="70" t="s">
        <v>519</v>
      </c>
      <c r="ER22" s="71">
        <v>60</v>
      </c>
      <c r="ES22" s="402">
        <f t="shared" si="19"/>
        <v>54702</v>
      </c>
      <c r="EV22" s="106"/>
      <c r="EW22" s="15">
        <v>15</v>
      </c>
      <c r="EX22" s="92">
        <v>913.08</v>
      </c>
      <c r="EY22" s="246">
        <v>44852</v>
      </c>
      <c r="EZ22" s="92">
        <v>913.08</v>
      </c>
      <c r="FA22" s="70" t="s">
        <v>514</v>
      </c>
      <c r="FB22" s="71">
        <v>60</v>
      </c>
      <c r="FC22" s="402">
        <f t="shared" si="20"/>
        <v>54784.800000000003</v>
      </c>
      <c r="FF22" s="106"/>
      <c r="FG22" s="15">
        <v>15</v>
      </c>
      <c r="FH22" s="92">
        <v>942.56</v>
      </c>
      <c r="FI22" s="246">
        <v>44854</v>
      </c>
      <c r="FJ22" s="92">
        <v>942.56</v>
      </c>
      <c r="FK22" s="70" t="s">
        <v>523</v>
      </c>
      <c r="FL22" s="71">
        <v>60</v>
      </c>
      <c r="FM22" s="245">
        <f t="shared" si="21"/>
        <v>56553.599999999999</v>
      </c>
      <c r="FP22" s="106"/>
      <c r="FQ22" s="15">
        <v>15</v>
      </c>
      <c r="FR22" s="92">
        <v>906.3</v>
      </c>
      <c r="FS22" s="246">
        <v>44854</v>
      </c>
      <c r="FT22" s="92">
        <v>906.3</v>
      </c>
      <c r="FU22" s="70" t="s">
        <v>522</v>
      </c>
      <c r="FV22" s="71">
        <v>60</v>
      </c>
      <c r="FW22" s="402">
        <f t="shared" si="22"/>
        <v>54378</v>
      </c>
      <c r="FX22" s="71"/>
      <c r="FZ22" s="106"/>
      <c r="GA22" s="15">
        <v>15</v>
      </c>
      <c r="GB22" s="69">
        <v>907.2</v>
      </c>
      <c r="GC22" s="254">
        <v>44854</v>
      </c>
      <c r="GD22" s="69">
        <v>907.2</v>
      </c>
      <c r="GE22" s="70" t="s">
        <v>526</v>
      </c>
      <c r="GF22" s="71">
        <v>60</v>
      </c>
      <c r="GG22" s="245">
        <f t="shared" si="23"/>
        <v>54432</v>
      </c>
      <c r="GJ22" s="106"/>
      <c r="GK22" s="15">
        <v>15</v>
      </c>
      <c r="GL22" s="359">
        <v>874.5</v>
      </c>
      <c r="GM22" s="246">
        <v>44855</v>
      </c>
      <c r="GN22" s="359">
        <v>874.5</v>
      </c>
      <c r="GO22" s="95" t="s">
        <v>537</v>
      </c>
      <c r="GP22" s="71">
        <v>60</v>
      </c>
      <c r="GQ22" s="402">
        <f t="shared" si="24"/>
        <v>52470</v>
      </c>
      <c r="GT22" s="106"/>
      <c r="GU22" s="15">
        <v>15</v>
      </c>
      <c r="GV22" s="92">
        <v>901.3</v>
      </c>
      <c r="GW22" s="246">
        <v>44858</v>
      </c>
      <c r="GX22" s="92">
        <v>901.3</v>
      </c>
      <c r="GY22" s="95" t="s">
        <v>543</v>
      </c>
      <c r="GZ22" s="71">
        <v>60</v>
      </c>
      <c r="HA22" s="402">
        <f t="shared" si="25"/>
        <v>54078</v>
      </c>
      <c r="HD22" s="106"/>
      <c r="HE22" s="15">
        <v>15</v>
      </c>
      <c r="HF22" s="92">
        <v>944.83</v>
      </c>
      <c r="HG22" s="246">
        <v>44859</v>
      </c>
      <c r="HH22" s="92">
        <v>944.83</v>
      </c>
      <c r="HI22" s="95" t="s">
        <v>553</v>
      </c>
      <c r="HJ22" s="71">
        <v>56</v>
      </c>
      <c r="HK22" s="245">
        <f t="shared" si="26"/>
        <v>52910.48</v>
      </c>
      <c r="HN22" s="106"/>
      <c r="HO22" s="15">
        <v>15</v>
      </c>
      <c r="HP22" s="92">
        <v>938.9</v>
      </c>
      <c r="HQ22" s="246">
        <v>44859</v>
      </c>
      <c r="HR22" s="92">
        <v>938.9</v>
      </c>
      <c r="HS22" s="294" t="s">
        <v>555</v>
      </c>
      <c r="HT22" s="71">
        <v>56</v>
      </c>
      <c r="HU22" s="245">
        <f t="shared" si="27"/>
        <v>52578.400000000001</v>
      </c>
      <c r="HX22" s="94"/>
      <c r="HY22" s="15">
        <v>15</v>
      </c>
      <c r="HZ22" s="69">
        <v>895.39</v>
      </c>
      <c r="IA22" s="254">
        <v>44860</v>
      </c>
      <c r="IB22" s="69">
        <v>895.39</v>
      </c>
      <c r="IC22" s="70" t="s">
        <v>567</v>
      </c>
      <c r="ID22" s="71">
        <v>56</v>
      </c>
      <c r="IE22" s="402">
        <f t="shared" si="5"/>
        <v>50141.84</v>
      </c>
      <c r="IH22" s="94"/>
      <c r="II22" s="15">
        <v>15</v>
      </c>
      <c r="IJ22" s="69">
        <v>896.3</v>
      </c>
      <c r="IK22" s="254">
        <v>44862</v>
      </c>
      <c r="IL22" s="69">
        <v>896.3</v>
      </c>
      <c r="IM22" s="70" t="s">
        <v>577</v>
      </c>
      <c r="IN22" s="71">
        <v>56</v>
      </c>
      <c r="IO22" s="402">
        <f t="shared" si="28"/>
        <v>50192.799999999996</v>
      </c>
      <c r="IR22" s="106"/>
      <c r="IS22" s="15">
        <v>15</v>
      </c>
      <c r="IT22" s="92">
        <v>903.6</v>
      </c>
      <c r="IU22" s="135">
        <v>44862</v>
      </c>
      <c r="IV22" s="92">
        <v>903.6</v>
      </c>
      <c r="IW22" s="370" t="s">
        <v>576</v>
      </c>
      <c r="IX22" s="71">
        <v>56</v>
      </c>
      <c r="IY22" s="245">
        <f t="shared" si="29"/>
        <v>50601.599999999999</v>
      </c>
      <c r="IZ22" s="92"/>
      <c r="JB22" s="106"/>
      <c r="JC22" s="15">
        <v>15</v>
      </c>
      <c r="JD22" s="92">
        <v>863.6</v>
      </c>
      <c r="JE22" s="254">
        <v>44863</v>
      </c>
      <c r="JF22" s="92">
        <v>863.6</v>
      </c>
      <c r="JG22" s="70" t="s">
        <v>582</v>
      </c>
      <c r="JH22" s="71">
        <v>56</v>
      </c>
      <c r="JI22" s="402">
        <f t="shared" si="30"/>
        <v>48361.599999999999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88765000</v>
      </c>
      <c r="E23" s="135">
        <f t="shared" si="61"/>
        <v>44856</v>
      </c>
      <c r="F23" s="86">
        <f t="shared" si="61"/>
        <v>18739.82</v>
      </c>
      <c r="G23" s="73">
        <f t="shared" si="61"/>
        <v>21</v>
      </c>
      <c r="H23" s="48">
        <f t="shared" si="61"/>
        <v>18825.7</v>
      </c>
      <c r="I23" s="105">
        <f>F23-H23</f>
        <v>-85.880000000001019</v>
      </c>
      <c r="L23" s="94"/>
      <c r="M23" s="15">
        <v>16</v>
      </c>
      <c r="N23" s="69">
        <v>929.86</v>
      </c>
      <c r="O23" s="254">
        <v>44840</v>
      </c>
      <c r="P23" s="69">
        <v>929.86</v>
      </c>
      <c r="Q23" s="70" t="s">
        <v>437</v>
      </c>
      <c r="R23" s="71">
        <v>57</v>
      </c>
      <c r="S23" s="402">
        <f t="shared" si="7"/>
        <v>53002.020000000004</v>
      </c>
      <c r="V23" s="94"/>
      <c r="W23" s="15">
        <v>16</v>
      </c>
      <c r="X23" s="69">
        <v>929</v>
      </c>
      <c r="Y23" s="254">
        <v>44838</v>
      </c>
      <c r="Z23" s="69">
        <v>929</v>
      </c>
      <c r="AA23" s="70" t="s">
        <v>420</v>
      </c>
      <c r="AB23" s="71">
        <v>57</v>
      </c>
      <c r="AC23" s="402">
        <f t="shared" si="8"/>
        <v>52953</v>
      </c>
      <c r="AF23" s="106"/>
      <c r="AG23" s="15">
        <v>16</v>
      </c>
      <c r="AH23" s="92">
        <v>899.9</v>
      </c>
      <c r="AI23" s="246">
        <v>44838</v>
      </c>
      <c r="AJ23" s="92">
        <v>899.9</v>
      </c>
      <c r="AK23" s="95" t="s">
        <v>418</v>
      </c>
      <c r="AL23" s="71">
        <v>57</v>
      </c>
      <c r="AM23" s="402">
        <f t="shared" si="9"/>
        <v>51294.299999999996</v>
      </c>
      <c r="AP23" s="106"/>
      <c r="AQ23" s="15">
        <v>16</v>
      </c>
      <c r="AR23" s="92">
        <v>913.98</v>
      </c>
      <c r="AS23" s="246">
        <v>44839</v>
      </c>
      <c r="AT23" s="92">
        <v>913.98</v>
      </c>
      <c r="AU23" s="95" t="s">
        <v>426</v>
      </c>
      <c r="AV23" s="71">
        <v>57</v>
      </c>
      <c r="AW23" s="402">
        <f t="shared" si="10"/>
        <v>52096.86</v>
      </c>
      <c r="AZ23" s="106"/>
      <c r="BA23" s="15">
        <v>16</v>
      </c>
      <c r="BB23" s="92">
        <v>893.6</v>
      </c>
      <c r="BC23" s="246">
        <v>44842</v>
      </c>
      <c r="BD23" s="92">
        <v>893.6</v>
      </c>
      <c r="BE23" s="95" t="s">
        <v>450</v>
      </c>
      <c r="BF23" s="71">
        <v>57</v>
      </c>
      <c r="BG23" s="402">
        <f t="shared" si="11"/>
        <v>50935.200000000004</v>
      </c>
      <c r="BJ23" s="712"/>
      <c r="BK23" s="15">
        <v>16</v>
      </c>
      <c r="BL23" s="92">
        <v>929.9</v>
      </c>
      <c r="BM23" s="135">
        <v>44844</v>
      </c>
      <c r="BN23" s="92">
        <v>929.9</v>
      </c>
      <c r="BO23" s="95" t="s">
        <v>434</v>
      </c>
      <c r="BP23" s="290">
        <v>57</v>
      </c>
      <c r="BQ23" s="492">
        <f t="shared" si="12"/>
        <v>53004.299999999996</v>
      </c>
      <c r="BR23" s="402"/>
      <c r="BT23" s="106"/>
      <c r="BU23" s="15">
        <v>16</v>
      </c>
      <c r="BV23" s="92">
        <v>897.65</v>
      </c>
      <c r="BW23" s="291">
        <v>44845</v>
      </c>
      <c r="BX23" s="92">
        <v>897.65</v>
      </c>
      <c r="BY23" s="607" t="s">
        <v>469</v>
      </c>
      <c r="BZ23" s="292">
        <v>57</v>
      </c>
      <c r="CA23" s="402">
        <f t="shared" si="13"/>
        <v>51166.049999999996</v>
      </c>
      <c r="CD23" s="214"/>
      <c r="CE23" s="15">
        <v>16</v>
      </c>
      <c r="CF23" s="92">
        <v>904.5</v>
      </c>
      <c r="CG23" s="291">
        <v>44846</v>
      </c>
      <c r="CH23" s="92">
        <v>904.5</v>
      </c>
      <c r="CI23" s="293" t="s">
        <v>447</v>
      </c>
      <c r="CJ23" s="292">
        <v>57</v>
      </c>
      <c r="CK23" s="245">
        <f t="shared" si="14"/>
        <v>51556.5</v>
      </c>
      <c r="CN23" s="420"/>
      <c r="CO23" s="15">
        <v>16</v>
      </c>
      <c r="CP23" s="92">
        <v>898.1</v>
      </c>
      <c r="CQ23" s="291">
        <v>44847</v>
      </c>
      <c r="CR23" s="92">
        <v>898.1</v>
      </c>
      <c r="CS23" s="293" t="s">
        <v>490</v>
      </c>
      <c r="CT23" s="292">
        <v>58</v>
      </c>
      <c r="CU23" s="407">
        <f t="shared" si="48"/>
        <v>52089.8</v>
      </c>
      <c r="CX23" s="106"/>
      <c r="CY23" s="15">
        <v>16</v>
      </c>
      <c r="CZ23" s="92">
        <v>920.8</v>
      </c>
      <c r="DA23" s="246">
        <v>44847</v>
      </c>
      <c r="DB23" s="92">
        <v>920.8</v>
      </c>
      <c r="DC23" s="95" t="s">
        <v>487</v>
      </c>
      <c r="DD23" s="71">
        <v>58</v>
      </c>
      <c r="DE23" s="402">
        <f t="shared" si="15"/>
        <v>53406.399999999994</v>
      </c>
      <c r="DH23" s="106"/>
      <c r="DI23" s="15">
        <v>16</v>
      </c>
      <c r="DJ23" s="768">
        <v>893.6</v>
      </c>
      <c r="DK23" s="796">
        <v>44849</v>
      </c>
      <c r="DL23" s="768">
        <v>893.6</v>
      </c>
      <c r="DM23" s="797" t="s">
        <v>501</v>
      </c>
      <c r="DN23" s="798">
        <v>59</v>
      </c>
      <c r="DO23" s="407">
        <f t="shared" si="16"/>
        <v>52722.400000000001</v>
      </c>
      <c r="DR23" s="106"/>
      <c r="DS23" s="15">
        <v>16</v>
      </c>
      <c r="DT23" s="92">
        <v>916.3</v>
      </c>
      <c r="DU23" s="291">
        <v>44849</v>
      </c>
      <c r="DV23" s="92">
        <v>916.3</v>
      </c>
      <c r="DW23" s="293" t="s">
        <v>502</v>
      </c>
      <c r="DX23" s="292">
        <v>59</v>
      </c>
      <c r="DY23" s="402">
        <f t="shared" si="17"/>
        <v>54061.7</v>
      </c>
      <c r="EB23" s="106"/>
      <c r="EC23" s="15">
        <v>16</v>
      </c>
      <c r="ED23" s="69">
        <v>954.81</v>
      </c>
      <c r="EE23" s="254">
        <v>44848</v>
      </c>
      <c r="EF23" s="69">
        <v>954.81</v>
      </c>
      <c r="EG23" s="70" t="s">
        <v>448</v>
      </c>
      <c r="EH23" s="71">
        <v>59</v>
      </c>
      <c r="EI23" s="402">
        <f t="shared" si="18"/>
        <v>56333.789999999994</v>
      </c>
      <c r="EL23" s="106"/>
      <c r="EM23" s="15">
        <v>16</v>
      </c>
      <c r="EN23" s="69">
        <v>907.2</v>
      </c>
      <c r="EO23" s="254">
        <v>44853</v>
      </c>
      <c r="EP23" s="69">
        <v>907.2</v>
      </c>
      <c r="EQ23" s="70" t="s">
        <v>519</v>
      </c>
      <c r="ER23" s="71">
        <v>60</v>
      </c>
      <c r="ES23" s="402">
        <f t="shared" si="19"/>
        <v>54432</v>
      </c>
      <c r="EV23" s="106"/>
      <c r="EW23" s="15">
        <v>16</v>
      </c>
      <c r="EX23" s="92">
        <v>966.15</v>
      </c>
      <c r="EY23" s="246">
        <v>44852</v>
      </c>
      <c r="EZ23" s="92">
        <v>966.15</v>
      </c>
      <c r="FA23" s="70" t="s">
        <v>514</v>
      </c>
      <c r="FB23" s="71">
        <v>60</v>
      </c>
      <c r="FC23" s="402">
        <f t="shared" si="20"/>
        <v>57969</v>
      </c>
      <c r="FF23" s="106"/>
      <c r="FG23" s="15">
        <v>16</v>
      </c>
      <c r="FH23" s="92">
        <v>901.28</v>
      </c>
      <c r="FI23" s="246">
        <v>44854</v>
      </c>
      <c r="FJ23" s="92">
        <v>901.28</v>
      </c>
      <c r="FK23" s="70" t="s">
        <v>523</v>
      </c>
      <c r="FL23" s="71">
        <v>60</v>
      </c>
      <c r="FM23" s="245">
        <f t="shared" si="21"/>
        <v>54076.799999999996</v>
      </c>
      <c r="FP23" s="106"/>
      <c r="FQ23" s="15">
        <v>16</v>
      </c>
      <c r="FR23" s="92">
        <v>889</v>
      </c>
      <c r="FS23" s="246">
        <v>44854</v>
      </c>
      <c r="FT23" s="92">
        <v>889</v>
      </c>
      <c r="FU23" s="70" t="s">
        <v>522</v>
      </c>
      <c r="FV23" s="71">
        <v>60</v>
      </c>
      <c r="FW23" s="402">
        <f t="shared" si="22"/>
        <v>53340</v>
      </c>
      <c r="FX23" s="71"/>
      <c r="FZ23" s="106"/>
      <c r="GA23" s="15">
        <v>16</v>
      </c>
      <c r="GB23" s="69">
        <v>886.3</v>
      </c>
      <c r="GC23" s="254">
        <v>44854</v>
      </c>
      <c r="GD23" s="69">
        <v>886.3</v>
      </c>
      <c r="GE23" s="70" t="s">
        <v>526</v>
      </c>
      <c r="GF23" s="71">
        <v>60</v>
      </c>
      <c r="GG23" s="245">
        <f t="shared" si="23"/>
        <v>53178</v>
      </c>
      <c r="GJ23" s="106"/>
      <c r="GK23" s="15">
        <v>16</v>
      </c>
      <c r="GL23" s="359">
        <v>938</v>
      </c>
      <c r="GM23" s="246">
        <v>44855</v>
      </c>
      <c r="GN23" s="359">
        <v>938</v>
      </c>
      <c r="GO23" s="95" t="s">
        <v>537</v>
      </c>
      <c r="GP23" s="71">
        <v>60</v>
      </c>
      <c r="GQ23" s="402">
        <f t="shared" si="24"/>
        <v>56280</v>
      </c>
      <c r="GT23" s="106"/>
      <c r="GU23" s="15">
        <v>16</v>
      </c>
      <c r="GV23" s="92">
        <v>870.4</v>
      </c>
      <c r="GW23" s="246">
        <v>44858</v>
      </c>
      <c r="GX23" s="92">
        <v>870.4</v>
      </c>
      <c r="GY23" s="95" t="s">
        <v>543</v>
      </c>
      <c r="GZ23" s="71">
        <v>60</v>
      </c>
      <c r="HA23" s="402">
        <f t="shared" si="25"/>
        <v>52224</v>
      </c>
      <c r="HD23" s="106"/>
      <c r="HE23" s="15">
        <v>16</v>
      </c>
      <c r="HF23" s="92">
        <v>928.5</v>
      </c>
      <c r="HG23" s="246">
        <v>44859</v>
      </c>
      <c r="HH23" s="92">
        <v>928.5</v>
      </c>
      <c r="HI23" s="95" t="s">
        <v>553</v>
      </c>
      <c r="HJ23" s="71">
        <v>56</v>
      </c>
      <c r="HK23" s="245">
        <f t="shared" si="26"/>
        <v>51996</v>
      </c>
      <c r="HN23" s="106"/>
      <c r="HO23" s="15">
        <v>16</v>
      </c>
      <c r="HP23" s="92">
        <v>911.7</v>
      </c>
      <c r="HQ23" s="246">
        <v>44859</v>
      </c>
      <c r="HR23" s="92">
        <v>911.7</v>
      </c>
      <c r="HS23" s="294" t="s">
        <v>555</v>
      </c>
      <c r="HT23" s="71">
        <v>56</v>
      </c>
      <c r="HU23" s="245">
        <f t="shared" si="27"/>
        <v>51055.200000000004</v>
      </c>
      <c r="HX23" s="94"/>
      <c r="HY23" s="15">
        <v>16</v>
      </c>
      <c r="HZ23" s="69">
        <v>906.73</v>
      </c>
      <c r="IA23" s="254">
        <v>44860</v>
      </c>
      <c r="IB23" s="69">
        <v>906.73</v>
      </c>
      <c r="IC23" s="70" t="s">
        <v>567</v>
      </c>
      <c r="ID23" s="71">
        <v>56</v>
      </c>
      <c r="IE23" s="402">
        <f t="shared" si="5"/>
        <v>50776.880000000005</v>
      </c>
      <c r="IH23" s="94"/>
      <c r="II23" s="15">
        <v>16</v>
      </c>
      <c r="IJ23" s="69">
        <v>875.4</v>
      </c>
      <c r="IK23" s="254">
        <v>44861</v>
      </c>
      <c r="IL23" s="69">
        <v>875.4</v>
      </c>
      <c r="IM23" s="70" t="s">
        <v>564</v>
      </c>
      <c r="IN23" s="71">
        <v>56</v>
      </c>
      <c r="IO23" s="402">
        <f t="shared" si="28"/>
        <v>49022.400000000001</v>
      </c>
      <c r="IR23" s="106"/>
      <c r="IS23" s="15">
        <v>16</v>
      </c>
      <c r="IT23" s="92">
        <v>929</v>
      </c>
      <c r="IU23" s="135">
        <v>44862</v>
      </c>
      <c r="IV23" s="92">
        <v>929</v>
      </c>
      <c r="IW23" s="370" t="s">
        <v>576</v>
      </c>
      <c r="IX23" s="71">
        <v>56</v>
      </c>
      <c r="IY23" s="245">
        <f t="shared" si="29"/>
        <v>52024</v>
      </c>
      <c r="IZ23" s="105"/>
      <c r="JA23" s="69"/>
      <c r="JB23" s="106"/>
      <c r="JC23" s="15">
        <v>16</v>
      </c>
      <c r="JD23" s="92">
        <v>862.7</v>
      </c>
      <c r="JE23" s="254">
        <v>44863</v>
      </c>
      <c r="JF23" s="92">
        <v>862.7</v>
      </c>
      <c r="JG23" s="70" t="s">
        <v>582</v>
      </c>
      <c r="JH23" s="71">
        <v>56</v>
      </c>
      <c r="JI23" s="402">
        <f t="shared" si="30"/>
        <v>48311.200000000004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TYSON FRESH MEAT</v>
      </c>
      <c r="C24" s="75" t="str">
        <f t="shared" si="62"/>
        <v xml:space="preserve">I B P </v>
      </c>
      <c r="D24" s="102" t="str">
        <f t="shared" si="62"/>
        <v>PED. 88868166</v>
      </c>
      <c r="E24" s="135">
        <f t="shared" si="62"/>
        <v>44859</v>
      </c>
      <c r="F24" s="86">
        <f t="shared" si="62"/>
        <v>18420.43</v>
      </c>
      <c r="G24" s="73">
        <f t="shared" si="62"/>
        <v>20</v>
      </c>
      <c r="H24" s="48">
        <f t="shared" si="62"/>
        <v>18465.62</v>
      </c>
      <c r="I24" s="105">
        <f t="shared" si="62"/>
        <v>-45.18999999999869</v>
      </c>
      <c r="L24" s="94"/>
      <c r="M24" s="15">
        <v>17</v>
      </c>
      <c r="N24" s="69">
        <v>928.04</v>
      </c>
      <c r="O24" s="254">
        <v>44840</v>
      </c>
      <c r="P24" s="69">
        <v>928.04</v>
      </c>
      <c r="Q24" s="70" t="s">
        <v>437</v>
      </c>
      <c r="R24" s="71">
        <v>57</v>
      </c>
      <c r="S24" s="402">
        <f t="shared" si="7"/>
        <v>52898.28</v>
      </c>
      <c r="V24" s="94"/>
      <c r="W24" s="15">
        <v>17</v>
      </c>
      <c r="X24" s="69">
        <v>915.3</v>
      </c>
      <c r="Y24" s="254">
        <v>44838</v>
      </c>
      <c r="Z24" s="69">
        <v>915.3</v>
      </c>
      <c r="AA24" s="70" t="s">
        <v>420</v>
      </c>
      <c r="AB24" s="71">
        <v>57</v>
      </c>
      <c r="AC24" s="402">
        <f t="shared" si="8"/>
        <v>52172.1</v>
      </c>
      <c r="AF24" s="106"/>
      <c r="AG24" s="15">
        <v>17</v>
      </c>
      <c r="AH24" s="92">
        <v>901.7</v>
      </c>
      <c r="AI24" s="246">
        <v>44838</v>
      </c>
      <c r="AJ24" s="92">
        <v>901.7</v>
      </c>
      <c r="AK24" s="95" t="s">
        <v>418</v>
      </c>
      <c r="AL24" s="71">
        <v>57</v>
      </c>
      <c r="AM24" s="402">
        <f t="shared" si="9"/>
        <v>51396.9</v>
      </c>
      <c r="AP24" s="106"/>
      <c r="AQ24" s="15">
        <v>17</v>
      </c>
      <c r="AR24" s="92">
        <v>874.07</v>
      </c>
      <c r="AS24" s="246">
        <v>44839</v>
      </c>
      <c r="AT24" s="92">
        <v>874.07</v>
      </c>
      <c r="AU24" s="95" t="s">
        <v>426</v>
      </c>
      <c r="AV24" s="71">
        <v>57</v>
      </c>
      <c r="AW24" s="402">
        <f t="shared" si="10"/>
        <v>49821.990000000005</v>
      </c>
      <c r="AZ24" s="106"/>
      <c r="BA24" s="15">
        <v>17</v>
      </c>
      <c r="BB24" s="92">
        <v>920.8</v>
      </c>
      <c r="BC24" s="246">
        <v>44842</v>
      </c>
      <c r="BD24" s="92">
        <v>920.8</v>
      </c>
      <c r="BE24" s="95" t="s">
        <v>449</v>
      </c>
      <c r="BF24" s="71">
        <v>57</v>
      </c>
      <c r="BG24" s="402">
        <f t="shared" si="11"/>
        <v>52485.599999999999</v>
      </c>
      <c r="BJ24" s="713"/>
      <c r="BK24" s="15">
        <v>17</v>
      </c>
      <c r="BL24" s="92">
        <v>892.7</v>
      </c>
      <c r="BM24" s="135">
        <v>44844</v>
      </c>
      <c r="BN24" s="92">
        <v>892.7</v>
      </c>
      <c r="BO24" s="95" t="s">
        <v>434</v>
      </c>
      <c r="BP24" s="290">
        <v>57</v>
      </c>
      <c r="BQ24" s="492">
        <f t="shared" si="12"/>
        <v>50883.9</v>
      </c>
      <c r="BR24" s="402"/>
      <c r="BT24" s="106"/>
      <c r="BU24" s="15">
        <v>17</v>
      </c>
      <c r="BV24" s="92">
        <v>906.27</v>
      </c>
      <c r="BW24" s="291">
        <v>44845</v>
      </c>
      <c r="BX24" s="92">
        <v>906.27</v>
      </c>
      <c r="BY24" s="607" t="s">
        <v>469</v>
      </c>
      <c r="BZ24" s="292">
        <v>57</v>
      </c>
      <c r="CA24" s="402">
        <f t="shared" si="13"/>
        <v>51657.39</v>
      </c>
      <c r="CD24" s="214"/>
      <c r="CE24" s="15">
        <v>17</v>
      </c>
      <c r="CF24" s="92">
        <v>909.9</v>
      </c>
      <c r="CG24" s="291">
        <v>44846</v>
      </c>
      <c r="CH24" s="92">
        <v>909.9</v>
      </c>
      <c r="CI24" s="293" t="s">
        <v>447</v>
      </c>
      <c r="CJ24" s="292">
        <v>57</v>
      </c>
      <c r="CK24" s="245">
        <f t="shared" si="14"/>
        <v>51864.299999999996</v>
      </c>
      <c r="CN24" s="420"/>
      <c r="CO24" s="15">
        <v>17</v>
      </c>
      <c r="CP24" s="92">
        <v>910.8</v>
      </c>
      <c r="CQ24" s="291">
        <v>44847</v>
      </c>
      <c r="CR24" s="92">
        <v>910.8</v>
      </c>
      <c r="CS24" s="293" t="s">
        <v>478</v>
      </c>
      <c r="CT24" s="292">
        <v>56</v>
      </c>
      <c r="CU24" s="407">
        <f t="shared" si="48"/>
        <v>51004.799999999996</v>
      </c>
      <c r="CX24" s="106"/>
      <c r="CY24" s="15">
        <v>17</v>
      </c>
      <c r="CZ24" s="92">
        <v>916.3</v>
      </c>
      <c r="DA24" s="246">
        <v>44847</v>
      </c>
      <c r="DB24" s="92">
        <v>916.3</v>
      </c>
      <c r="DC24" s="95" t="s">
        <v>487</v>
      </c>
      <c r="DD24" s="71">
        <v>58</v>
      </c>
      <c r="DE24" s="402">
        <f t="shared" si="15"/>
        <v>53145.399999999994</v>
      </c>
      <c r="DH24" s="106"/>
      <c r="DI24" s="15">
        <v>17</v>
      </c>
      <c r="DJ24" s="768">
        <v>893.6</v>
      </c>
      <c r="DK24" s="796">
        <v>44849</v>
      </c>
      <c r="DL24" s="768">
        <v>893.6</v>
      </c>
      <c r="DM24" s="797" t="s">
        <v>501</v>
      </c>
      <c r="DN24" s="798">
        <v>59</v>
      </c>
      <c r="DO24" s="407">
        <f t="shared" si="16"/>
        <v>52722.400000000001</v>
      </c>
      <c r="DR24" s="106"/>
      <c r="DS24" s="15">
        <v>17</v>
      </c>
      <c r="DT24" s="92">
        <v>926.2</v>
      </c>
      <c r="DU24" s="291">
        <v>44849</v>
      </c>
      <c r="DV24" s="92">
        <v>926.2</v>
      </c>
      <c r="DW24" s="293" t="s">
        <v>504</v>
      </c>
      <c r="DX24" s="292">
        <v>59</v>
      </c>
      <c r="DY24" s="402">
        <f t="shared" si="17"/>
        <v>54645.8</v>
      </c>
      <c r="EB24" s="106"/>
      <c r="EC24" s="15">
        <v>17</v>
      </c>
      <c r="ED24" s="69">
        <v>973.4</v>
      </c>
      <c r="EE24" s="254">
        <v>44848</v>
      </c>
      <c r="EF24" s="69">
        <v>973.4</v>
      </c>
      <c r="EG24" s="70" t="s">
        <v>448</v>
      </c>
      <c r="EH24" s="71">
        <v>59</v>
      </c>
      <c r="EI24" s="402">
        <f t="shared" si="18"/>
        <v>57430.6</v>
      </c>
      <c r="EL24" s="106"/>
      <c r="EM24" s="15">
        <v>17</v>
      </c>
      <c r="EN24" s="69">
        <v>916.3</v>
      </c>
      <c r="EO24" s="254">
        <v>44853</v>
      </c>
      <c r="EP24" s="69">
        <v>916.3</v>
      </c>
      <c r="EQ24" s="70" t="s">
        <v>519</v>
      </c>
      <c r="ER24" s="71">
        <v>60</v>
      </c>
      <c r="ES24" s="402">
        <f t="shared" si="19"/>
        <v>54978</v>
      </c>
      <c r="EV24" s="106"/>
      <c r="EW24" s="15">
        <v>17</v>
      </c>
      <c r="EX24" s="92">
        <v>920.33</v>
      </c>
      <c r="EY24" s="246">
        <v>44852</v>
      </c>
      <c r="EZ24" s="92">
        <v>920.33</v>
      </c>
      <c r="FA24" s="70" t="s">
        <v>514</v>
      </c>
      <c r="FB24" s="71">
        <v>60</v>
      </c>
      <c r="FC24" s="402">
        <f t="shared" si="20"/>
        <v>55219.8</v>
      </c>
      <c r="FF24" s="106"/>
      <c r="FG24" s="15">
        <v>17</v>
      </c>
      <c r="FH24" s="92">
        <v>906.73</v>
      </c>
      <c r="FI24" s="246">
        <v>44854</v>
      </c>
      <c r="FJ24" s="92">
        <v>906.73</v>
      </c>
      <c r="FK24" s="70" t="s">
        <v>523</v>
      </c>
      <c r="FL24" s="71">
        <v>60</v>
      </c>
      <c r="FM24" s="245">
        <f t="shared" si="21"/>
        <v>54403.8</v>
      </c>
      <c r="FP24" s="106"/>
      <c r="FQ24" s="15">
        <v>17</v>
      </c>
      <c r="FR24" s="92">
        <v>891.8</v>
      </c>
      <c r="FS24" s="246">
        <v>44854</v>
      </c>
      <c r="FT24" s="92">
        <v>891.8</v>
      </c>
      <c r="FU24" s="70" t="s">
        <v>522</v>
      </c>
      <c r="FV24" s="71">
        <v>60</v>
      </c>
      <c r="FW24" s="402">
        <f t="shared" si="22"/>
        <v>53508</v>
      </c>
      <c r="FX24" s="71"/>
      <c r="FZ24" s="106"/>
      <c r="GA24" s="15">
        <v>17</v>
      </c>
      <c r="GB24" s="69">
        <v>925.3</v>
      </c>
      <c r="GC24" s="254">
        <v>44854</v>
      </c>
      <c r="GD24" s="69">
        <v>925.3</v>
      </c>
      <c r="GE24" s="70" t="s">
        <v>526</v>
      </c>
      <c r="GF24" s="71">
        <v>60</v>
      </c>
      <c r="GG24" s="245">
        <f t="shared" si="23"/>
        <v>55518</v>
      </c>
      <c r="GJ24" s="106"/>
      <c r="GK24" s="15">
        <v>17</v>
      </c>
      <c r="GL24" s="359">
        <v>889</v>
      </c>
      <c r="GM24" s="246">
        <v>44855</v>
      </c>
      <c r="GN24" s="359">
        <v>889</v>
      </c>
      <c r="GO24" s="95" t="s">
        <v>537</v>
      </c>
      <c r="GP24" s="71">
        <v>60</v>
      </c>
      <c r="GQ24" s="402">
        <f t="shared" si="24"/>
        <v>53340</v>
      </c>
      <c r="GT24" s="106"/>
      <c r="GU24" s="15">
        <v>17</v>
      </c>
      <c r="GV24" s="92">
        <v>903.1</v>
      </c>
      <c r="GW24" s="246">
        <v>44858</v>
      </c>
      <c r="GX24" s="92">
        <v>903.1</v>
      </c>
      <c r="GY24" s="95" t="s">
        <v>543</v>
      </c>
      <c r="GZ24" s="71">
        <v>60</v>
      </c>
      <c r="HA24" s="402">
        <f t="shared" si="25"/>
        <v>54186</v>
      </c>
      <c r="HD24" s="106"/>
      <c r="HE24" s="15">
        <v>17</v>
      </c>
      <c r="HF24" s="92">
        <v>926.23</v>
      </c>
      <c r="HG24" s="246">
        <v>44859</v>
      </c>
      <c r="HH24" s="92">
        <v>926.23</v>
      </c>
      <c r="HI24" s="95" t="s">
        <v>553</v>
      </c>
      <c r="HJ24" s="71">
        <v>56</v>
      </c>
      <c r="HK24" s="245">
        <f t="shared" si="26"/>
        <v>51868.880000000005</v>
      </c>
      <c r="HN24" s="106"/>
      <c r="HO24" s="15">
        <v>17</v>
      </c>
      <c r="HP24" s="92">
        <v>911.7</v>
      </c>
      <c r="HQ24" s="246">
        <v>44859</v>
      </c>
      <c r="HR24" s="92">
        <v>911.7</v>
      </c>
      <c r="HS24" s="294" t="s">
        <v>555</v>
      </c>
      <c r="HT24" s="71">
        <v>56</v>
      </c>
      <c r="HU24" s="245">
        <f t="shared" si="27"/>
        <v>51055.200000000004</v>
      </c>
      <c r="HX24" s="106"/>
      <c r="HY24" s="15">
        <v>17</v>
      </c>
      <c r="HZ24" s="69">
        <v>914.44</v>
      </c>
      <c r="IA24" s="254">
        <v>44860</v>
      </c>
      <c r="IB24" s="69">
        <v>914.44</v>
      </c>
      <c r="IC24" s="70" t="s">
        <v>567</v>
      </c>
      <c r="ID24" s="71">
        <v>56</v>
      </c>
      <c r="IE24" s="402">
        <f t="shared" si="5"/>
        <v>51208.639999999999</v>
      </c>
      <c r="IH24" s="106"/>
      <c r="II24" s="15">
        <v>17</v>
      </c>
      <c r="IJ24" s="69">
        <v>883.6</v>
      </c>
      <c r="IK24" s="254">
        <v>44861</v>
      </c>
      <c r="IL24" s="69">
        <v>883.6</v>
      </c>
      <c r="IM24" s="70" t="s">
        <v>564</v>
      </c>
      <c r="IN24" s="71">
        <v>56</v>
      </c>
      <c r="IO24" s="402">
        <f t="shared" si="28"/>
        <v>49481.599999999999</v>
      </c>
      <c r="IR24" s="106"/>
      <c r="IS24" s="15">
        <v>17</v>
      </c>
      <c r="IT24" s="92">
        <v>882.7</v>
      </c>
      <c r="IU24" s="135">
        <v>44862</v>
      </c>
      <c r="IV24" s="92">
        <v>882.7</v>
      </c>
      <c r="IW24" s="370" t="s">
        <v>576</v>
      </c>
      <c r="IX24" s="71">
        <v>56</v>
      </c>
      <c r="IY24" s="245">
        <f t="shared" si="29"/>
        <v>49431.200000000004</v>
      </c>
      <c r="JA24" s="69"/>
      <c r="JB24" s="106"/>
      <c r="JC24" s="15">
        <v>17</v>
      </c>
      <c r="JD24" s="92">
        <v>880</v>
      </c>
      <c r="JE24" s="254">
        <v>44863</v>
      </c>
      <c r="JF24" s="92">
        <v>880</v>
      </c>
      <c r="JG24" s="70" t="s">
        <v>582</v>
      </c>
      <c r="JH24" s="71">
        <v>56</v>
      </c>
      <c r="JI24" s="245">
        <f t="shared" si="30"/>
        <v>49280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8884425</v>
      </c>
      <c r="E25" s="135">
        <f t="shared" si="63"/>
        <v>44859</v>
      </c>
      <c r="F25" s="86">
        <f t="shared" si="63"/>
        <v>19176.580000000002</v>
      </c>
      <c r="G25" s="73">
        <f t="shared" si="63"/>
        <v>21</v>
      </c>
      <c r="H25" s="48">
        <f t="shared" si="63"/>
        <v>19165.599999999999</v>
      </c>
      <c r="I25" s="105">
        <f t="shared" si="63"/>
        <v>10.980000000003201</v>
      </c>
      <c r="L25" s="94"/>
      <c r="M25" s="15">
        <v>18</v>
      </c>
      <c r="N25" s="69">
        <v>932.58</v>
      </c>
      <c r="O25" s="254">
        <v>44840</v>
      </c>
      <c r="P25" s="69">
        <v>932.58</v>
      </c>
      <c r="Q25" s="70" t="s">
        <v>432</v>
      </c>
      <c r="R25" s="71">
        <v>57</v>
      </c>
      <c r="S25" s="402">
        <f t="shared" si="7"/>
        <v>53157.060000000005</v>
      </c>
      <c r="V25" s="94"/>
      <c r="W25" s="15">
        <v>18</v>
      </c>
      <c r="X25" s="69">
        <v>897.2</v>
      </c>
      <c r="Y25" s="254">
        <v>44838</v>
      </c>
      <c r="Z25" s="69">
        <v>897.2</v>
      </c>
      <c r="AA25" s="70" t="s">
        <v>420</v>
      </c>
      <c r="AB25" s="71">
        <v>57</v>
      </c>
      <c r="AC25" s="402">
        <f t="shared" si="8"/>
        <v>51140.4</v>
      </c>
      <c r="AF25" s="94"/>
      <c r="AG25" s="15">
        <v>18</v>
      </c>
      <c r="AH25" s="92">
        <v>904.5</v>
      </c>
      <c r="AI25" s="246">
        <v>44838</v>
      </c>
      <c r="AJ25" s="92">
        <v>904.5</v>
      </c>
      <c r="AK25" s="95" t="s">
        <v>418</v>
      </c>
      <c r="AL25" s="71">
        <v>57</v>
      </c>
      <c r="AM25" s="402">
        <f t="shared" si="9"/>
        <v>51556.5</v>
      </c>
      <c r="AP25" s="94"/>
      <c r="AQ25" s="15">
        <v>18</v>
      </c>
      <c r="AR25" s="92">
        <v>931.22</v>
      </c>
      <c r="AS25" s="246">
        <v>44839</v>
      </c>
      <c r="AT25" s="92">
        <v>931.22</v>
      </c>
      <c r="AU25" s="95" t="s">
        <v>426</v>
      </c>
      <c r="AV25" s="71">
        <v>57</v>
      </c>
      <c r="AW25" s="402">
        <f t="shared" si="10"/>
        <v>53079.54</v>
      </c>
      <c r="AZ25" s="94"/>
      <c r="BA25" s="15">
        <v>18</v>
      </c>
      <c r="BB25" s="92">
        <v>929</v>
      </c>
      <c r="BC25" s="246">
        <v>44842</v>
      </c>
      <c r="BD25" s="92">
        <v>929</v>
      </c>
      <c r="BE25" s="95" t="s">
        <v>449</v>
      </c>
      <c r="BF25" s="71">
        <v>57</v>
      </c>
      <c r="BG25" s="402">
        <f t="shared" si="11"/>
        <v>52953</v>
      </c>
      <c r="BJ25" s="106"/>
      <c r="BK25" s="15">
        <v>18</v>
      </c>
      <c r="BL25" s="92">
        <v>874.5</v>
      </c>
      <c r="BM25" s="135">
        <v>44844</v>
      </c>
      <c r="BN25" s="92">
        <v>874.5</v>
      </c>
      <c r="BO25" s="95" t="s">
        <v>434</v>
      </c>
      <c r="BP25" s="290">
        <v>57</v>
      </c>
      <c r="BQ25" s="492">
        <f t="shared" si="12"/>
        <v>49846.5</v>
      </c>
      <c r="BR25" s="402"/>
      <c r="BT25" s="106"/>
      <c r="BU25" s="15">
        <v>18</v>
      </c>
      <c r="BV25" s="92">
        <v>911.26</v>
      </c>
      <c r="BW25" s="291">
        <v>44845</v>
      </c>
      <c r="BX25" s="92">
        <v>911.26</v>
      </c>
      <c r="BY25" s="607" t="s">
        <v>469</v>
      </c>
      <c r="BZ25" s="292">
        <v>57</v>
      </c>
      <c r="CA25" s="402">
        <f t="shared" si="13"/>
        <v>51941.82</v>
      </c>
      <c r="CD25" s="214"/>
      <c r="CE25" s="15">
        <v>18</v>
      </c>
      <c r="CF25" s="92">
        <v>938</v>
      </c>
      <c r="CG25" s="291">
        <v>44846</v>
      </c>
      <c r="CH25" s="92">
        <v>938</v>
      </c>
      <c r="CI25" s="293" t="s">
        <v>447</v>
      </c>
      <c r="CJ25" s="292">
        <v>57</v>
      </c>
      <c r="CK25" s="402">
        <f t="shared" si="14"/>
        <v>53466</v>
      </c>
      <c r="CN25" s="420"/>
      <c r="CO25" s="15">
        <v>18</v>
      </c>
      <c r="CP25" s="92">
        <v>883.6</v>
      </c>
      <c r="CQ25" s="291">
        <v>44847</v>
      </c>
      <c r="CR25" s="92">
        <v>883.6</v>
      </c>
      <c r="CS25" s="293" t="s">
        <v>480</v>
      </c>
      <c r="CT25" s="292">
        <v>56</v>
      </c>
      <c r="CU25" s="407">
        <f t="shared" si="48"/>
        <v>49481.599999999999</v>
      </c>
      <c r="CX25" s="94"/>
      <c r="CY25" s="15">
        <v>18</v>
      </c>
      <c r="CZ25" s="92">
        <v>922.6</v>
      </c>
      <c r="DA25" s="246">
        <v>44847</v>
      </c>
      <c r="DB25" s="92">
        <v>922.6</v>
      </c>
      <c r="DC25" s="95" t="s">
        <v>487</v>
      </c>
      <c r="DD25" s="71">
        <v>58</v>
      </c>
      <c r="DE25" s="402">
        <f t="shared" si="15"/>
        <v>53510.8</v>
      </c>
      <c r="DH25" s="94"/>
      <c r="DI25" s="15">
        <v>18</v>
      </c>
      <c r="DJ25" s="768">
        <v>922.6</v>
      </c>
      <c r="DK25" s="796">
        <v>44848</v>
      </c>
      <c r="DL25" s="768">
        <v>922.6</v>
      </c>
      <c r="DM25" s="797" t="s">
        <v>493</v>
      </c>
      <c r="DN25" s="798">
        <v>58</v>
      </c>
      <c r="DO25" s="407">
        <f t="shared" si="16"/>
        <v>53510.8</v>
      </c>
      <c r="DR25" s="94"/>
      <c r="DS25" s="15">
        <v>18</v>
      </c>
      <c r="DT25" s="92">
        <v>899</v>
      </c>
      <c r="DU25" s="291">
        <v>44849</v>
      </c>
      <c r="DV25" s="92">
        <v>899</v>
      </c>
      <c r="DW25" s="293" t="s">
        <v>504</v>
      </c>
      <c r="DX25" s="292">
        <v>59</v>
      </c>
      <c r="DY25" s="402">
        <f t="shared" si="17"/>
        <v>53041</v>
      </c>
      <c r="EB25" s="94"/>
      <c r="EC25" s="15">
        <v>18</v>
      </c>
      <c r="ED25" s="69">
        <v>916.25</v>
      </c>
      <c r="EE25" s="254">
        <v>44848</v>
      </c>
      <c r="EF25" s="69">
        <v>916.25</v>
      </c>
      <c r="EG25" s="70" t="s">
        <v>448</v>
      </c>
      <c r="EH25" s="71">
        <v>59</v>
      </c>
      <c r="EI25" s="402">
        <f t="shared" si="18"/>
        <v>54058.75</v>
      </c>
      <c r="EL25" s="94"/>
      <c r="EM25" s="15">
        <v>18</v>
      </c>
      <c r="EN25" s="69">
        <v>900.8</v>
      </c>
      <c r="EO25" s="254">
        <v>44853</v>
      </c>
      <c r="EP25" s="69">
        <v>900.8</v>
      </c>
      <c r="EQ25" s="70" t="s">
        <v>519</v>
      </c>
      <c r="ER25" s="71">
        <v>60</v>
      </c>
      <c r="ES25" s="402">
        <f t="shared" si="19"/>
        <v>54048</v>
      </c>
      <c r="EV25" s="94"/>
      <c r="EW25" s="15">
        <v>18</v>
      </c>
      <c r="EX25" s="92">
        <v>917.61</v>
      </c>
      <c r="EY25" s="246">
        <v>44852</v>
      </c>
      <c r="EZ25" s="92">
        <v>917.61</v>
      </c>
      <c r="FA25" s="70" t="s">
        <v>514</v>
      </c>
      <c r="FB25" s="71">
        <v>60</v>
      </c>
      <c r="FC25" s="402">
        <f t="shared" si="20"/>
        <v>55056.6</v>
      </c>
      <c r="FF25" s="94"/>
      <c r="FG25" s="15">
        <v>18</v>
      </c>
      <c r="FH25" s="92">
        <v>923.06</v>
      </c>
      <c r="FI25" s="246">
        <v>44854</v>
      </c>
      <c r="FJ25" s="92">
        <v>923.06</v>
      </c>
      <c r="FK25" s="70" t="s">
        <v>523</v>
      </c>
      <c r="FL25" s="71">
        <v>60</v>
      </c>
      <c r="FM25" s="245">
        <f t="shared" si="21"/>
        <v>55383.6</v>
      </c>
      <c r="FP25" s="94"/>
      <c r="FQ25" s="15">
        <v>18</v>
      </c>
      <c r="FR25" s="92">
        <v>889</v>
      </c>
      <c r="FS25" s="246">
        <v>44854</v>
      </c>
      <c r="FT25" s="92">
        <v>889</v>
      </c>
      <c r="FU25" s="70" t="s">
        <v>522</v>
      </c>
      <c r="FV25" s="71">
        <v>60</v>
      </c>
      <c r="FW25" s="402">
        <f t="shared" si="22"/>
        <v>53340</v>
      </c>
      <c r="FX25" s="71"/>
      <c r="FZ25" s="94"/>
      <c r="GA25" s="15">
        <v>18</v>
      </c>
      <c r="GB25" s="69">
        <v>903.6</v>
      </c>
      <c r="GC25" s="254">
        <v>44854</v>
      </c>
      <c r="GD25" s="69">
        <v>903.6</v>
      </c>
      <c r="GE25" s="70" t="s">
        <v>526</v>
      </c>
      <c r="GF25" s="71">
        <v>60</v>
      </c>
      <c r="GG25" s="245">
        <f t="shared" si="23"/>
        <v>54216</v>
      </c>
      <c r="GJ25" s="94"/>
      <c r="GK25" s="15">
        <v>18</v>
      </c>
      <c r="GL25" s="359">
        <v>881.8</v>
      </c>
      <c r="GM25" s="246">
        <v>44855</v>
      </c>
      <c r="GN25" s="359">
        <v>881.8</v>
      </c>
      <c r="GO25" s="95" t="s">
        <v>537</v>
      </c>
      <c r="GP25" s="71">
        <v>60</v>
      </c>
      <c r="GQ25" s="402">
        <f t="shared" si="24"/>
        <v>52908</v>
      </c>
      <c r="GT25" s="94"/>
      <c r="GU25" s="15">
        <v>18</v>
      </c>
      <c r="GV25" s="92">
        <v>862.7</v>
      </c>
      <c r="GW25" s="246">
        <v>44858</v>
      </c>
      <c r="GX25" s="92">
        <v>862.7</v>
      </c>
      <c r="GY25" s="95" t="s">
        <v>543</v>
      </c>
      <c r="GZ25" s="71">
        <v>60</v>
      </c>
      <c r="HA25" s="402">
        <f t="shared" si="25"/>
        <v>51762</v>
      </c>
      <c r="HD25" s="94"/>
      <c r="HE25" s="15">
        <v>18</v>
      </c>
      <c r="HF25" s="92">
        <v>901.25</v>
      </c>
      <c r="HG25" s="246">
        <v>44859</v>
      </c>
      <c r="HH25" s="92">
        <v>901.25</v>
      </c>
      <c r="HI25" s="95" t="s">
        <v>553</v>
      </c>
      <c r="HJ25" s="71">
        <v>56</v>
      </c>
      <c r="HK25" s="245">
        <f t="shared" si="26"/>
        <v>50470</v>
      </c>
      <c r="HN25" s="214"/>
      <c r="HO25" s="15">
        <v>18</v>
      </c>
      <c r="HP25" s="92">
        <v>924.4</v>
      </c>
      <c r="HQ25" s="246">
        <v>44859</v>
      </c>
      <c r="HR25" s="92">
        <v>924.4</v>
      </c>
      <c r="HS25" s="294" t="s">
        <v>555</v>
      </c>
      <c r="HT25" s="71">
        <v>56</v>
      </c>
      <c r="HU25" s="245">
        <f t="shared" si="27"/>
        <v>51766.400000000001</v>
      </c>
      <c r="HX25" s="106"/>
      <c r="HY25" s="15">
        <v>18</v>
      </c>
      <c r="HZ25" s="69">
        <v>904</v>
      </c>
      <c r="IA25" s="254">
        <v>44860</v>
      </c>
      <c r="IB25" s="69">
        <v>904</v>
      </c>
      <c r="IC25" s="70" t="s">
        <v>567</v>
      </c>
      <c r="ID25" s="71">
        <v>56</v>
      </c>
      <c r="IE25" s="402">
        <f t="shared" si="5"/>
        <v>50624</v>
      </c>
      <c r="IH25" s="106"/>
      <c r="II25" s="15">
        <v>18</v>
      </c>
      <c r="IJ25" s="69">
        <v>907</v>
      </c>
      <c r="IK25" s="254">
        <v>44861</v>
      </c>
      <c r="IL25" s="771">
        <v>907</v>
      </c>
      <c r="IM25" s="70" t="s">
        <v>564</v>
      </c>
      <c r="IN25" s="71">
        <v>56</v>
      </c>
      <c r="IO25" s="402">
        <f t="shared" si="28"/>
        <v>50792</v>
      </c>
      <c r="IR25" s="94"/>
      <c r="IS25" s="15">
        <v>18</v>
      </c>
      <c r="IT25" s="92">
        <v>931.7</v>
      </c>
      <c r="IU25" s="135">
        <v>44862</v>
      </c>
      <c r="IV25" s="92">
        <v>931.7</v>
      </c>
      <c r="IW25" s="370" t="s">
        <v>576</v>
      </c>
      <c r="IX25" s="71">
        <v>56</v>
      </c>
      <c r="IY25" s="245">
        <f t="shared" si="29"/>
        <v>52175.200000000004</v>
      </c>
      <c r="JA25" s="69"/>
      <c r="JB25" s="94"/>
      <c r="JC25" s="15">
        <v>18</v>
      </c>
      <c r="JD25" s="92">
        <v>898.1</v>
      </c>
      <c r="JE25" s="254">
        <v>44863</v>
      </c>
      <c r="JF25" s="92">
        <v>898.1</v>
      </c>
      <c r="JG25" s="70" t="s">
        <v>582</v>
      </c>
      <c r="JH25" s="71">
        <v>56</v>
      </c>
      <c r="JI25" s="402">
        <f t="shared" si="30"/>
        <v>50293.599999999999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</v>
      </c>
      <c r="C26" s="75" t="str">
        <f t="shared" si="64"/>
        <v xml:space="preserve">I B P </v>
      </c>
      <c r="D26" s="102" t="str">
        <f t="shared" si="64"/>
        <v>PED. 8930850</v>
      </c>
      <c r="E26" s="135">
        <f t="shared" si="64"/>
        <v>44860</v>
      </c>
      <c r="F26" s="86">
        <f t="shared" si="64"/>
        <v>18182.7</v>
      </c>
      <c r="G26" s="73">
        <f t="shared" si="64"/>
        <v>20</v>
      </c>
      <c r="H26" s="48">
        <f t="shared" si="64"/>
        <v>18197.580000000002</v>
      </c>
      <c r="I26" s="105">
        <f t="shared" si="64"/>
        <v>-14.880000000001019</v>
      </c>
      <c r="L26" s="94"/>
      <c r="M26" s="15">
        <v>19</v>
      </c>
      <c r="N26" s="69">
        <v>943.47</v>
      </c>
      <c r="O26" s="254">
        <v>44840</v>
      </c>
      <c r="P26" s="69">
        <v>943.47</v>
      </c>
      <c r="Q26" s="70" t="s">
        <v>432</v>
      </c>
      <c r="R26" s="71">
        <v>57</v>
      </c>
      <c r="S26" s="402">
        <f t="shared" si="7"/>
        <v>53777.79</v>
      </c>
      <c r="V26" s="94"/>
      <c r="W26" s="15">
        <v>19</v>
      </c>
      <c r="X26" s="69">
        <v>875.4</v>
      </c>
      <c r="Y26" s="254">
        <v>44838</v>
      </c>
      <c r="Z26" s="69">
        <v>875.4</v>
      </c>
      <c r="AA26" s="70" t="s">
        <v>420</v>
      </c>
      <c r="AB26" s="71">
        <v>57</v>
      </c>
      <c r="AC26" s="402">
        <f t="shared" si="8"/>
        <v>49897.799999999996</v>
      </c>
      <c r="AF26" s="106"/>
      <c r="AG26" s="15">
        <v>19</v>
      </c>
      <c r="AH26" s="92">
        <v>889</v>
      </c>
      <c r="AI26" s="246">
        <v>44838</v>
      </c>
      <c r="AJ26" s="92">
        <v>889</v>
      </c>
      <c r="AK26" s="95" t="s">
        <v>418</v>
      </c>
      <c r="AL26" s="71">
        <v>57</v>
      </c>
      <c r="AM26" s="402">
        <f t="shared" si="9"/>
        <v>50673</v>
      </c>
      <c r="AP26" s="106"/>
      <c r="AQ26" s="15">
        <v>19</v>
      </c>
      <c r="AR26" s="92">
        <v>945.74</v>
      </c>
      <c r="AS26" s="246">
        <v>44839</v>
      </c>
      <c r="AT26" s="92">
        <v>945.74</v>
      </c>
      <c r="AU26" s="95" t="s">
        <v>426</v>
      </c>
      <c r="AV26" s="71">
        <v>57</v>
      </c>
      <c r="AW26" s="402">
        <f t="shared" si="10"/>
        <v>53907.18</v>
      </c>
      <c r="AZ26" s="106"/>
      <c r="BA26" s="15">
        <v>19</v>
      </c>
      <c r="BB26" s="92">
        <v>902.6</v>
      </c>
      <c r="BC26" s="246">
        <v>44842</v>
      </c>
      <c r="BD26" s="92">
        <v>902.6</v>
      </c>
      <c r="BE26" s="95" t="s">
        <v>452</v>
      </c>
      <c r="BF26" s="71">
        <v>57</v>
      </c>
      <c r="BG26" s="402">
        <f t="shared" si="11"/>
        <v>51448.200000000004</v>
      </c>
      <c r="BJ26" s="106"/>
      <c r="BK26" s="15">
        <v>19</v>
      </c>
      <c r="BL26" s="92">
        <v>880</v>
      </c>
      <c r="BM26" s="135">
        <v>44842</v>
      </c>
      <c r="BN26" s="92">
        <v>880</v>
      </c>
      <c r="BO26" s="95" t="s">
        <v>458</v>
      </c>
      <c r="BP26" s="290">
        <v>57</v>
      </c>
      <c r="BQ26" s="492">
        <f t="shared" si="12"/>
        <v>50160</v>
      </c>
      <c r="BR26" s="402"/>
      <c r="BT26" s="106"/>
      <c r="BU26" s="15">
        <v>19</v>
      </c>
      <c r="BV26" s="92">
        <v>945.28</v>
      </c>
      <c r="BW26" s="291">
        <v>44845</v>
      </c>
      <c r="BX26" s="92">
        <v>945.28</v>
      </c>
      <c r="BY26" s="607" t="s">
        <v>469</v>
      </c>
      <c r="BZ26" s="292">
        <v>57</v>
      </c>
      <c r="CA26" s="402">
        <f t="shared" si="13"/>
        <v>53880.959999999999</v>
      </c>
      <c r="CD26" s="214"/>
      <c r="CE26" s="15">
        <v>19</v>
      </c>
      <c r="CF26" s="92">
        <v>938</v>
      </c>
      <c r="CG26" s="291">
        <v>44846</v>
      </c>
      <c r="CH26" s="92">
        <v>938</v>
      </c>
      <c r="CI26" s="293" t="s">
        <v>447</v>
      </c>
      <c r="CJ26" s="292">
        <v>57</v>
      </c>
      <c r="CK26" s="402">
        <f t="shared" si="14"/>
        <v>53466</v>
      </c>
      <c r="CN26" s="420"/>
      <c r="CO26" s="15">
        <v>19</v>
      </c>
      <c r="CP26" s="92">
        <v>928</v>
      </c>
      <c r="CQ26" s="291">
        <v>44847</v>
      </c>
      <c r="CR26" s="92">
        <v>928</v>
      </c>
      <c r="CS26" s="293" t="s">
        <v>480</v>
      </c>
      <c r="CT26" s="292">
        <v>56</v>
      </c>
      <c r="CU26" s="407">
        <f t="shared" si="48"/>
        <v>51968</v>
      </c>
      <c r="CX26" s="106"/>
      <c r="CY26" s="15">
        <v>19</v>
      </c>
      <c r="CZ26" s="92">
        <v>864.1</v>
      </c>
      <c r="DA26" s="246">
        <v>44847</v>
      </c>
      <c r="DB26" s="92">
        <v>864.1</v>
      </c>
      <c r="DC26" s="95" t="s">
        <v>487</v>
      </c>
      <c r="DD26" s="71">
        <v>58</v>
      </c>
      <c r="DE26" s="402">
        <f t="shared" si="15"/>
        <v>50117.8</v>
      </c>
      <c r="DH26" s="106"/>
      <c r="DI26" s="15">
        <v>19</v>
      </c>
      <c r="DJ26" s="768">
        <v>929</v>
      </c>
      <c r="DK26" s="796">
        <v>44849</v>
      </c>
      <c r="DL26" s="768">
        <v>929</v>
      </c>
      <c r="DM26" s="797" t="s">
        <v>501</v>
      </c>
      <c r="DN26" s="798">
        <v>59</v>
      </c>
      <c r="DO26" s="407">
        <f t="shared" si="16"/>
        <v>54811</v>
      </c>
      <c r="DR26" s="106"/>
      <c r="DS26" s="15">
        <v>19</v>
      </c>
      <c r="DT26" s="92">
        <v>924.4</v>
      </c>
      <c r="DU26" s="291">
        <v>44849</v>
      </c>
      <c r="DV26" s="92">
        <v>924.4</v>
      </c>
      <c r="DW26" s="293" t="s">
        <v>502</v>
      </c>
      <c r="DX26" s="292">
        <v>59</v>
      </c>
      <c r="DY26" s="402">
        <f t="shared" si="17"/>
        <v>54539.6</v>
      </c>
      <c r="EB26" s="106"/>
      <c r="EC26" s="15">
        <v>19</v>
      </c>
      <c r="ED26" s="69">
        <v>955.71</v>
      </c>
      <c r="EE26" s="254">
        <v>44848</v>
      </c>
      <c r="EF26" s="69">
        <v>955.71</v>
      </c>
      <c r="EG26" s="70" t="s">
        <v>448</v>
      </c>
      <c r="EH26" s="71">
        <v>59</v>
      </c>
      <c r="EI26" s="402">
        <f t="shared" si="18"/>
        <v>56386.89</v>
      </c>
      <c r="EL26" s="106"/>
      <c r="EM26" s="15">
        <v>19</v>
      </c>
      <c r="EN26" s="69">
        <v>867.7</v>
      </c>
      <c r="EO26" s="254">
        <v>44853</v>
      </c>
      <c r="EP26" s="69">
        <v>867.7</v>
      </c>
      <c r="EQ26" s="70" t="s">
        <v>519</v>
      </c>
      <c r="ER26" s="71">
        <v>60</v>
      </c>
      <c r="ES26" s="402">
        <f t="shared" si="19"/>
        <v>52062</v>
      </c>
      <c r="EV26" s="94"/>
      <c r="EW26" s="15">
        <v>19</v>
      </c>
      <c r="EX26" s="92">
        <v>952.54</v>
      </c>
      <c r="EY26" s="246">
        <v>44852</v>
      </c>
      <c r="EZ26" s="92">
        <v>952.54</v>
      </c>
      <c r="FA26" s="70" t="s">
        <v>514</v>
      </c>
      <c r="FB26" s="71">
        <v>60</v>
      </c>
      <c r="FC26" s="402">
        <f t="shared" si="20"/>
        <v>57152.399999999994</v>
      </c>
      <c r="FF26" s="94"/>
      <c r="FG26" s="15">
        <v>19</v>
      </c>
      <c r="FH26" s="92">
        <v>968.41</v>
      </c>
      <c r="FI26" s="246">
        <v>44854</v>
      </c>
      <c r="FJ26" s="92">
        <v>968.41</v>
      </c>
      <c r="FK26" s="70" t="s">
        <v>523</v>
      </c>
      <c r="FL26" s="71">
        <v>60</v>
      </c>
      <c r="FM26" s="245">
        <f t="shared" si="21"/>
        <v>58104.6</v>
      </c>
      <c r="FP26" s="106"/>
      <c r="FQ26" s="15">
        <v>19</v>
      </c>
      <c r="FR26" s="92">
        <v>903.6</v>
      </c>
      <c r="FS26" s="246">
        <v>44854</v>
      </c>
      <c r="FT26" s="92">
        <v>903.6</v>
      </c>
      <c r="FU26" s="70" t="s">
        <v>522</v>
      </c>
      <c r="FV26" s="71">
        <v>60</v>
      </c>
      <c r="FW26" s="402">
        <f t="shared" si="22"/>
        <v>54216</v>
      </c>
      <c r="FX26" s="71"/>
      <c r="FZ26" s="106"/>
      <c r="GA26" s="15">
        <v>19</v>
      </c>
      <c r="GB26" s="69">
        <v>877.2</v>
      </c>
      <c r="GC26" s="254">
        <v>44854</v>
      </c>
      <c r="GD26" s="69">
        <v>877.2</v>
      </c>
      <c r="GE26" s="70" t="s">
        <v>526</v>
      </c>
      <c r="GF26" s="71">
        <v>60</v>
      </c>
      <c r="GG26" s="245">
        <f t="shared" si="23"/>
        <v>52632</v>
      </c>
      <c r="GJ26" s="106"/>
      <c r="GK26" s="15">
        <v>19</v>
      </c>
      <c r="GL26" s="359">
        <v>927.1</v>
      </c>
      <c r="GM26" s="246">
        <v>44855</v>
      </c>
      <c r="GN26" s="359">
        <v>927.1</v>
      </c>
      <c r="GO26" s="95" t="s">
        <v>537</v>
      </c>
      <c r="GP26" s="71">
        <v>60</v>
      </c>
      <c r="GQ26" s="402">
        <f t="shared" si="24"/>
        <v>55626</v>
      </c>
      <c r="GT26" s="106"/>
      <c r="GU26" s="15">
        <v>19</v>
      </c>
      <c r="GV26" s="92">
        <v>865.9</v>
      </c>
      <c r="GW26" s="246">
        <v>44858</v>
      </c>
      <c r="GX26" s="92">
        <v>865.9</v>
      </c>
      <c r="GY26" s="95" t="s">
        <v>543</v>
      </c>
      <c r="GZ26" s="71">
        <v>60</v>
      </c>
      <c r="HA26" s="402">
        <f t="shared" si="25"/>
        <v>51954</v>
      </c>
      <c r="HD26" s="106"/>
      <c r="HE26" s="15">
        <v>19</v>
      </c>
      <c r="HF26" s="92">
        <v>931.22</v>
      </c>
      <c r="HG26" s="246">
        <v>44859</v>
      </c>
      <c r="HH26" s="92">
        <v>931.22</v>
      </c>
      <c r="HI26" s="95" t="s">
        <v>553</v>
      </c>
      <c r="HJ26" s="71">
        <v>56</v>
      </c>
      <c r="HK26" s="245">
        <f t="shared" si="26"/>
        <v>52148.32</v>
      </c>
      <c r="HN26" s="214"/>
      <c r="HO26" s="15">
        <v>19</v>
      </c>
      <c r="HP26" s="92">
        <v>920.8</v>
      </c>
      <c r="HQ26" s="246">
        <v>44859</v>
      </c>
      <c r="HR26" s="92">
        <v>920.8</v>
      </c>
      <c r="HS26" s="294" t="s">
        <v>555</v>
      </c>
      <c r="HT26" s="71">
        <v>56</v>
      </c>
      <c r="HU26" s="245">
        <f t="shared" si="27"/>
        <v>51564.799999999996</v>
      </c>
      <c r="HX26" s="106"/>
      <c r="HY26" s="15">
        <v>19</v>
      </c>
      <c r="HZ26" s="69">
        <v>906.73</v>
      </c>
      <c r="IA26" s="254">
        <v>44860</v>
      </c>
      <c r="IB26" s="69">
        <v>906.73</v>
      </c>
      <c r="IC26" s="70" t="s">
        <v>567</v>
      </c>
      <c r="ID26" s="71">
        <v>56</v>
      </c>
      <c r="IE26" s="402">
        <f t="shared" si="5"/>
        <v>50776.880000000005</v>
      </c>
      <c r="IH26" s="106"/>
      <c r="II26" s="15">
        <v>19</v>
      </c>
      <c r="IJ26" s="69">
        <v>892.7</v>
      </c>
      <c r="IK26" s="254">
        <v>44861</v>
      </c>
      <c r="IL26" s="69">
        <v>892.7</v>
      </c>
      <c r="IM26" s="70" t="s">
        <v>571</v>
      </c>
      <c r="IN26" s="71">
        <v>56</v>
      </c>
      <c r="IO26" s="402">
        <f t="shared" si="28"/>
        <v>49991.200000000004</v>
      </c>
      <c r="IR26" s="106"/>
      <c r="IS26" s="15">
        <v>19</v>
      </c>
      <c r="IT26" s="92">
        <v>917.2</v>
      </c>
      <c r="IU26" s="135">
        <v>44862</v>
      </c>
      <c r="IV26" s="92">
        <v>917.2</v>
      </c>
      <c r="IW26" s="370" t="s">
        <v>576</v>
      </c>
      <c r="IX26" s="71">
        <v>56</v>
      </c>
      <c r="IY26" s="245">
        <f t="shared" si="29"/>
        <v>51363.200000000004</v>
      </c>
      <c r="JA26" s="69"/>
      <c r="JB26" s="106"/>
      <c r="JC26" s="15">
        <v>19</v>
      </c>
      <c r="JD26" s="92">
        <v>934.4</v>
      </c>
      <c r="JE26" s="254">
        <v>44863</v>
      </c>
      <c r="JF26" s="92">
        <v>934.4</v>
      </c>
      <c r="JG26" s="70" t="s">
        <v>582</v>
      </c>
      <c r="JH26" s="71">
        <v>56</v>
      </c>
      <c r="JI26" s="402">
        <f t="shared" si="30"/>
        <v>52326.400000000001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89004405</v>
      </c>
      <c r="E27" s="135">
        <f t="shared" si="65"/>
        <v>44861</v>
      </c>
      <c r="F27" s="86">
        <f t="shared" si="65"/>
        <v>18661.2</v>
      </c>
      <c r="G27" s="73">
        <f t="shared" si="65"/>
        <v>21</v>
      </c>
      <c r="H27" s="48">
        <f t="shared" si="65"/>
        <v>18715</v>
      </c>
      <c r="I27" s="105">
        <f t="shared" si="65"/>
        <v>-53.799999999999272</v>
      </c>
      <c r="L27" s="94"/>
      <c r="M27" s="15">
        <v>20</v>
      </c>
      <c r="N27" s="69">
        <v>929.86</v>
      </c>
      <c r="O27" s="254">
        <v>44840</v>
      </c>
      <c r="P27" s="69">
        <v>929.86</v>
      </c>
      <c r="Q27" s="70" t="s">
        <v>441</v>
      </c>
      <c r="R27" s="71">
        <v>57</v>
      </c>
      <c r="S27" s="402">
        <f t="shared" si="7"/>
        <v>53002.020000000004</v>
      </c>
      <c r="V27" s="94"/>
      <c r="W27" s="15">
        <v>20</v>
      </c>
      <c r="X27" s="69">
        <v>889</v>
      </c>
      <c r="Y27" s="254">
        <v>44838</v>
      </c>
      <c r="Z27" s="69">
        <v>889</v>
      </c>
      <c r="AA27" s="70" t="s">
        <v>420</v>
      </c>
      <c r="AB27" s="71">
        <v>57</v>
      </c>
      <c r="AC27" s="402">
        <f t="shared" si="8"/>
        <v>50673</v>
      </c>
      <c r="AF27" s="106"/>
      <c r="AG27" s="15">
        <v>20</v>
      </c>
      <c r="AH27" s="92">
        <v>936.2</v>
      </c>
      <c r="AI27" s="246">
        <v>44838</v>
      </c>
      <c r="AJ27" s="92">
        <v>936.2</v>
      </c>
      <c r="AK27" s="95" t="s">
        <v>418</v>
      </c>
      <c r="AL27" s="71">
        <v>57</v>
      </c>
      <c r="AM27" s="402">
        <f t="shared" si="9"/>
        <v>53363.4</v>
      </c>
      <c r="AP27" s="106"/>
      <c r="AQ27" s="15">
        <v>20</v>
      </c>
      <c r="AR27" s="92">
        <v>931.22</v>
      </c>
      <c r="AS27" s="246">
        <v>44839</v>
      </c>
      <c r="AT27" s="92">
        <v>931.22</v>
      </c>
      <c r="AU27" s="95" t="s">
        <v>426</v>
      </c>
      <c r="AV27" s="71">
        <v>57</v>
      </c>
      <c r="AW27" s="402">
        <f t="shared" si="10"/>
        <v>53079.54</v>
      </c>
      <c r="AZ27" s="106"/>
      <c r="BA27" s="15">
        <v>20</v>
      </c>
      <c r="BB27" s="92">
        <v>900.8</v>
      </c>
      <c r="BC27" s="246">
        <v>44842</v>
      </c>
      <c r="BD27" s="92">
        <v>900.8</v>
      </c>
      <c r="BE27" s="95" t="s">
        <v>456</v>
      </c>
      <c r="BF27" s="71">
        <v>57</v>
      </c>
      <c r="BG27" s="402">
        <f t="shared" si="11"/>
        <v>51345.599999999999</v>
      </c>
      <c r="BJ27" s="106"/>
      <c r="BK27" s="15">
        <v>20</v>
      </c>
      <c r="BL27" s="92">
        <v>906.3</v>
      </c>
      <c r="BM27" s="135">
        <v>44844</v>
      </c>
      <c r="BN27" s="92">
        <v>906.3</v>
      </c>
      <c r="BO27" s="95" t="s">
        <v>434</v>
      </c>
      <c r="BP27" s="290">
        <v>57</v>
      </c>
      <c r="BQ27" s="492">
        <f t="shared" si="12"/>
        <v>51659.1</v>
      </c>
      <c r="BR27" s="402"/>
      <c r="BT27" s="106"/>
      <c r="BU27" s="15">
        <v>20</v>
      </c>
      <c r="BV27" s="92">
        <v>960.25</v>
      </c>
      <c r="BW27" s="291">
        <v>44845</v>
      </c>
      <c r="BX27" s="92">
        <v>960.25</v>
      </c>
      <c r="BY27" s="607" t="s">
        <v>469</v>
      </c>
      <c r="BZ27" s="292">
        <v>57</v>
      </c>
      <c r="CA27" s="402">
        <f t="shared" si="13"/>
        <v>54734.25</v>
      </c>
      <c r="CD27" s="214"/>
      <c r="CE27" s="15">
        <v>20</v>
      </c>
      <c r="CF27" s="92">
        <v>929</v>
      </c>
      <c r="CG27" s="291">
        <v>44846</v>
      </c>
      <c r="CH27" s="92">
        <v>929</v>
      </c>
      <c r="CI27" s="293" t="s">
        <v>447</v>
      </c>
      <c r="CJ27" s="292">
        <v>57</v>
      </c>
      <c r="CK27" s="402">
        <f t="shared" si="14"/>
        <v>52953</v>
      </c>
      <c r="CN27" s="420"/>
      <c r="CO27" s="15">
        <v>20</v>
      </c>
      <c r="CP27" s="92">
        <v>886.3</v>
      </c>
      <c r="CQ27" s="291">
        <v>44847</v>
      </c>
      <c r="CR27" s="92">
        <v>886.3</v>
      </c>
      <c r="CS27" s="293" t="s">
        <v>489</v>
      </c>
      <c r="CT27" s="292">
        <v>58</v>
      </c>
      <c r="CU27" s="407">
        <f t="shared" si="48"/>
        <v>51405.399999999994</v>
      </c>
      <c r="CX27" s="106"/>
      <c r="CY27" s="15">
        <v>20</v>
      </c>
      <c r="CZ27" s="92">
        <v>934.4</v>
      </c>
      <c r="DA27" s="246">
        <v>44847</v>
      </c>
      <c r="DB27" s="92">
        <v>934.4</v>
      </c>
      <c r="DC27" s="95" t="s">
        <v>487</v>
      </c>
      <c r="DD27" s="71">
        <v>58</v>
      </c>
      <c r="DE27" s="402">
        <f t="shared" si="15"/>
        <v>54195.199999999997</v>
      </c>
      <c r="DH27" s="106"/>
      <c r="DI27" s="15">
        <v>20</v>
      </c>
      <c r="DJ27" s="768">
        <v>870</v>
      </c>
      <c r="DK27" s="796">
        <v>44848</v>
      </c>
      <c r="DL27" s="768">
        <v>870</v>
      </c>
      <c r="DM27" s="797" t="s">
        <v>492</v>
      </c>
      <c r="DN27" s="798">
        <v>58</v>
      </c>
      <c r="DO27" s="407">
        <f t="shared" si="16"/>
        <v>50460</v>
      </c>
      <c r="DR27" s="106"/>
      <c r="DS27" s="15">
        <v>20</v>
      </c>
      <c r="DT27" s="92">
        <v>861.8</v>
      </c>
      <c r="DU27" s="291">
        <v>44849</v>
      </c>
      <c r="DV27" s="92">
        <v>861.8</v>
      </c>
      <c r="DW27" s="293" t="s">
        <v>504</v>
      </c>
      <c r="DX27" s="292">
        <v>59</v>
      </c>
      <c r="DY27" s="402">
        <f t="shared" si="17"/>
        <v>50846.2</v>
      </c>
      <c r="EB27" s="106"/>
      <c r="EC27" s="15">
        <v>20</v>
      </c>
      <c r="ED27" s="69">
        <v>948.91</v>
      </c>
      <c r="EE27" s="254">
        <v>44848</v>
      </c>
      <c r="EF27" s="69">
        <v>948.91</v>
      </c>
      <c r="EG27" s="70" t="s">
        <v>448</v>
      </c>
      <c r="EH27" s="71">
        <v>59</v>
      </c>
      <c r="EI27" s="402">
        <f t="shared" si="18"/>
        <v>55985.689999999995</v>
      </c>
      <c r="EL27" s="106"/>
      <c r="EM27" s="15">
        <v>20</v>
      </c>
      <c r="EN27" s="69">
        <v>930.8</v>
      </c>
      <c r="EO27" s="254">
        <v>44853</v>
      </c>
      <c r="EP27" s="69">
        <v>930.8</v>
      </c>
      <c r="EQ27" s="70" t="s">
        <v>519</v>
      </c>
      <c r="ER27" s="71">
        <v>60</v>
      </c>
      <c r="ES27" s="402">
        <f t="shared" si="19"/>
        <v>55848</v>
      </c>
      <c r="EV27" s="94"/>
      <c r="EW27" s="15">
        <v>20</v>
      </c>
      <c r="EX27" s="92">
        <v>926.23</v>
      </c>
      <c r="EY27" s="246">
        <v>44852</v>
      </c>
      <c r="EZ27" s="92">
        <v>926.23</v>
      </c>
      <c r="FA27" s="70" t="s">
        <v>514</v>
      </c>
      <c r="FB27" s="71">
        <v>60</v>
      </c>
      <c r="FC27" s="402">
        <f t="shared" si="20"/>
        <v>55573.8</v>
      </c>
      <c r="FF27" s="94"/>
      <c r="FG27" s="15">
        <v>20</v>
      </c>
      <c r="FH27" s="92">
        <v>925.32</v>
      </c>
      <c r="FI27" s="246">
        <v>44854</v>
      </c>
      <c r="FJ27" s="92">
        <v>925.32</v>
      </c>
      <c r="FK27" s="70" t="s">
        <v>523</v>
      </c>
      <c r="FL27" s="71">
        <v>60</v>
      </c>
      <c r="FM27" s="245">
        <f t="shared" si="21"/>
        <v>55519.200000000004</v>
      </c>
      <c r="FP27" s="106"/>
      <c r="FQ27" s="15">
        <v>20</v>
      </c>
      <c r="FR27" s="92">
        <v>883.6</v>
      </c>
      <c r="FS27" s="246">
        <v>44854</v>
      </c>
      <c r="FT27" s="92">
        <v>883.6</v>
      </c>
      <c r="FU27" s="70" t="s">
        <v>522</v>
      </c>
      <c r="FV27" s="71">
        <v>60</v>
      </c>
      <c r="FW27" s="402">
        <f t="shared" si="22"/>
        <v>53016</v>
      </c>
      <c r="FX27" s="71"/>
      <c r="FZ27" s="106"/>
      <c r="GA27" s="15">
        <v>20</v>
      </c>
      <c r="GB27" s="69">
        <v>876.3</v>
      </c>
      <c r="GC27" s="254">
        <v>44854</v>
      </c>
      <c r="GD27" s="69">
        <v>876.3</v>
      </c>
      <c r="GE27" s="70" t="s">
        <v>526</v>
      </c>
      <c r="GF27" s="71">
        <v>60</v>
      </c>
      <c r="GG27" s="245">
        <f t="shared" si="23"/>
        <v>52578</v>
      </c>
      <c r="GJ27" s="106"/>
      <c r="GK27" s="15">
        <v>20</v>
      </c>
      <c r="GL27" s="359">
        <v>902.6</v>
      </c>
      <c r="GM27" s="246">
        <v>44855</v>
      </c>
      <c r="GN27" s="359">
        <v>902.6</v>
      </c>
      <c r="GO27" s="95" t="s">
        <v>537</v>
      </c>
      <c r="GP27" s="71">
        <v>60</v>
      </c>
      <c r="GQ27" s="402">
        <f t="shared" si="24"/>
        <v>54156</v>
      </c>
      <c r="GT27" s="106"/>
      <c r="GU27" s="15">
        <v>20</v>
      </c>
      <c r="GV27" s="92">
        <v>880</v>
      </c>
      <c r="GW27" s="246">
        <v>44858</v>
      </c>
      <c r="GX27" s="92">
        <v>880</v>
      </c>
      <c r="GY27" s="95" t="s">
        <v>543</v>
      </c>
      <c r="GZ27" s="71">
        <v>60</v>
      </c>
      <c r="HA27" s="402">
        <f t="shared" si="25"/>
        <v>52800</v>
      </c>
      <c r="HD27" s="106"/>
      <c r="HE27" s="15">
        <v>20</v>
      </c>
      <c r="HF27" s="92">
        <v>941.2</v>
      </c>
      <c r="HG27" s="246">
        <v>44859</v>
      </c>
      <c r="HH27" s="92">
        <v>941.2</v>
      </c>
      <c r="HI27" s="95" t="s">
        <v>553</v>
      </c>
      <c r="HJ27" s="71">
        <v>56</v>
      </c>
      <c r="HK27" s="245">
        <f t="shared" si="26"/>
        <v>52707.200000000004</v>
      </c>
      <c r="HN27" s="214"/>
      <c r="HO27" s="15">
        <v>20</v>
      </c>
      <c r="HP27" s="92">
        <v>889.9</v>
      </c>
      <c r="HQ27" s="246">
        <v>44859</v>
      </c>
      <c r="HR27" s="92">
        <v>889.9</v>
      </c>
      <c r="HS27" s="294" t="s">
        <v>555</v>
      </c>
      <c r="HT27" s="71">
        <v>56</v>
      </c>
      <c r="HU27" s="245">
        <f t="shared" si="27"/>
        <v>49834.400000000001</v>
      </c>
      <c r="HX27" s="106"/>
      <c r="HY27" s="15">
        <v>20</v>
      </c>
      <c r="HZ27" s="69">
        <v>903.1</v>
      </c>
      <c r="IA27" s="254">
        <v>44860</v>
      </c>
      <c r="IB27" s="69">
        <v>903.1</v>
      </c>
      <c r="IC27" s="70" t="s">
        <v>567</v>
      </c>
      <c r="ID27" s="71">
        <v>56</v>
      </c>
      <c r="IE27" s="402">
        <f t="shared" si="5"/>
        <v>50573.599999999999</v>
      </c>
      <c r="IH27" s="106"/>
      <c r="II27" s="15">
        <v>20</v>
      </c>
      <c r="IJ27" s="69">
        <v>904.5</v>
      </c>
      <c r="IK27" s="254">
        <v>44861</v>
      </c>
      <c r="IL27" s="69">
        <v>904.5</v>
      </c>
      <c r="IM27" s="70" t="s">
        <v>564</v>
      </c>
      <c r="IN27" s="71">
        <v>56</v>
      </c>
      <c r="IO27" s="402">
        <f t="shared" si="28"/>
        <v>50652</v>
      </c>
      <c r="IR27" s="106"/>
      <c r="IS27" s="15">
        <v>20</v>
      </c>
      <c r="IT27" s="92">
        <v>910.8</v>
      </c>
      <c r="IU27" s="135">
        <v>44862</v>
      </c>
      <c r="IV27" s="92">
        <v>910.8</v>
      </c>
      <c r="IW27" s="370" t="s">
        <v>577</v>
      </c>
      <c r="IX27" s="71">
        <v>56</v>
      </c>
      <c r="IY27" s="245">
        <f t="shared" si="29"/>
        <v>51004.799999999996</v>
      </c>
      <c r="JA27" s="69"/>
      <c r="JB27" s="106"/>
      <c r="JC27" s="15">
        <v>20</v>
      </c>
      <c r="JD27" s="92">
        <v>898.1</v>
      </c>
      <c r="JE27" s="254">
        <v>44863</v>
      </c>
      <c r="JF27" s="92">
        <v>898.1</v>
      </c>
      <c r="JG27" s="70" t="s">
        <v>582</v>
      </c>
      <c r="JH27" s="71">
        <v>56</v>
      </c>
      <c r="JI27" s="402">
        <f t="shared" si="30"/>
        <v>50293.599999999999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89004869</v>
      </c>
      <c r="E28" s="135">
        <f t="shared" si="66"/>
        <v>44861</v>
      </c>
      <c r="F28" s="86">
        <f t="shared" si="66"/>
        <v>18919.16</v>
      </c>
      <c r="G28" s="73">
        <f t="shared" si="66"/>
        <v>21</v>
      </c>
      <c r="H28" s="48">
        <f t="shared" si="66"/>
        <v>19140.8</v>
      </c>
      <c r="I28" s="105">
        <f t="shared" si="66"/>
        <v>-221.63999999999942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>
        <v>44838</v>
      </c>
      <c r="Z28" s="69">
        <v>920.8</v>
      </c>
      <c r="AA28" s="70" t="s">
        <v>419</v>
      </c>
      <c r="AB28" s="71">
        <v>57</v>
      </c>
      <c r="AC28" s="402">
        <f t="shared" si="8"/>
        <v>52485.599999999999</v>
      </c>
      <c r="AF28" s="106"/>
      <c r="AG28" s="15">
        <v>21</v>
      </c>
      <c r="AH28" s="92">
        <v>866.4</v>
      </c>
      <c r="AI28" s="246">
        <v>44838</v>
      </c>
      <c r="AJ28" s="92">
        <v>866.4</v>
      </c>
      <c r="AK28" s="95" t="s">
        <v>418</v>
      </c>
      <c r="AL28" s="71">
        <v>57</v>
      </c>
      <c r="AM28" s="402">
        <f t="shared" si="9"/>
        <v>49384.799999999996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>
        <v>44842</v>
      </c>
      <c r="BD28" s="92">
        <v>907.2</v>
      </c>
      <c r="BE28" s="95" t="s">
        <v>454</v>
      </c>
      <c r="BF28" s="71">
        <v>57</v>
      </c>
      <c r="BG28" s="402">
        <f t="shared" si="11"/>
        <v>51710.400000000001</v>
      </c>
      <c r="BJ28" s="106"/>
      <c r="BK28" s="15">
        <v>21</v>
      </c>
      <c r="BL28" s="92">
        <v>875.4</v>
      </c>
      <c r="BM28" s="135">
        <v>44844</v>
      </c>
      <c r="BN28" s="92">
        <v>875.4</v>
      </c>
      <c r="BO28" s="95" t="s">
        <v>434</v>
      </c>
      <c r="BP28" s="290">
        <v>57</v>
      </c>
      <c r="BQ28" s="412">
        <f t="shared" si="12"/>
        <v>49897.799999999996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>
        <v>44846</v>
      </c>
      <c r="CH28" s="92">
        <v>931.7</v>
      </c>
      <c r="CI28" s="293" t="s">
        <v>447</v>
      </c>
      <c r="CJ28" s="292">
        <v>57</v>
      </c>
      <c r="CK28" s="402">
        <f t="shared" si="14"/>
        <v>53106.9</v>
      </c>
      <c r="CN28" s="420"/>
      <c r="CO28" s="15">
        <v>21</v>
      </c>
      <c r="CP28" s="92">
        <v>871.8</v>
      </c>
      <c r="CQ28" s="291">
        <v>44847</v>
      </c>
      <c r="CR28" s="92">
        <v>871.8</v>
      </c>
      <c r="CS28" s="293" t="s">
        <v>491</v>
      </c>
      <c r="CT28" s="292">
        <v>58</v>
      </c>
      <c r="CU28" s="407">
        <f t="shared" si="48"/>
        <v>50564.399999999994</v>
      </c>
      <c r="CX28" s="106"/>
      <c r="CY28" s="15">
        <v>21</v>
      </c>
      <c r="CZ28" s="92">
        <v>912.6</v>
      </c>
      <c r="DA28" s="246">
        <v>44847</v>
      </c>
      <c r="DB28" s="92">
        <v>912.6</v>
      </c>
      <c r="DC28" s="95" t="s">
        <v>487</v>
      </c>
      <c r="DD28" s="71">
        <v>58</v>
      </c>
      <c r="DE28" s="402">
        <f t="shared" si="15"/>
        <v>52930.8</v>
      </c>
      <c r="DH28" s="106"/>
      <c r="DI28" s="15">
        <v>21</v>
      </c>
      <c r="DJ28" s="768">
        <v>898.1</v>
      </c>
      <c r="DK28" s="796">
        <v>44848</v>
      </c>
      <c r="DL28" s="768">
        <v>898.1</v>
      </c>
      <c r="DM28" s="797" t="s">
        <v>492</v>
      </c>
      <c r="DN28" s="798">
        <v>58</v>
      </c>
      <c r="DO28" s="407">
        <f t="shared" si="16"/>
        <v>52089.8</v>
      </c>
      <c r="DR28" s="106"/>
      <c r="DS28" s="15">
        <v>21</v>
      </c>
      <c r="DT28" s="92">
        <v>913.5</v>
      </c>
      <c r="DU28" s="291">
        <v>44849</v>
      </c>
      <c r="DV28" s="92">
        <v>913.5</v>
      </c>
      <c r="DW28" s="293" t="s">
        <v>502</v>
      </c>
      <c r="DX28" s="292">
        <v>59</v>
      </c>
      <c r="DY28" s="402">
        <f t="shared" si="17"/>
        <v>53896.5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>
        <v>898.1</v>
      </c>
      <c r="EO28" s="254">
        <v>44853</v>
      </c>
      <c r="EP28" s="69">
        <v>898.1</v>
      </c>
      <c r="EQ28" s="70" t="s">
        <v>519</v>
      </c>
      <c r="ER28" s="71">
        <v>60</v>
      </c>
      <c r="ES28" s="402">
        <f t="shared" si="19"/>
        <v>53886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>
        <v>889.9</v>
      </c>
      <c r="FS28" s="246">
        <v>44854</v>
      </c>
      <c r="FT28" s="92">
        <v>889.9</v>
      </c>
      <c r="FU28" s="70" t="s">
        <v>522</v>
      </c>
      <c r="FV28" s="71">
        <v>60</v>
      </c>
      <c r="FW28" s="402">
        <f t="shared" si="22"/>
        <v>53394</v>
      </c>
      <c r="FX28" s="71"/>
      <c r="FZ28" s="106"/>
      <c r="GA28" s="15">
        <v>21</v>
      </c>
      <c r="GB28" s="69">
        <v>872.7</v>
      </c>
      <c r="GC28" s="254">
        <v>44854</v>
      </c>
      <c r="GD28" s="69">
        <v>872.7</v>
      </c>
      <c r="GE28" s="70" t="s">
        <v>526</v>
      </c>
      <c r="GF28" s="71">
        <v>60</v>
      </c>
      <c r="GG28" s="245">
        <f t="shared" si="23"/>
        <v>52362</v>
      </c>
      <c r="GJ28" s="106"/>
      <c r="GK28" s="15">
        <v>21</v>
      </c>
      <c r="GL28" s="359">
        <v>876.3</v>
      </c>
      <c r="GM28" s="246">
        <v>44855</v>
      </c>
      <c r="GN28" s="359">
        <v>876.3</v>
      </c>
      <c r="GO28" s="95" t="s">
        <v>537</v>
      </c>
      <c r="GP28" s="71">
        <v>60</v>
      </c>
      <c r="GQ28" s="402">
        <f t="shared" si="24"/>
        <v>52578</v>
      </c>
      <c r="GT28" s="106"/>
      <c r="GU28" s="15">
        <v>21</v>
      </c>
      <c r="GV28" s="92">
        <v>901.7</v>
      </c>
      <c r="GW28" s="246">
        <v>44858</v>
      </c>
      <c r="GX28" s="92">
        <v>901.7</v>
      </c>
      <c r="GY28" s="95" t="s">
        <v>543</v>
      </c>
      <c r="GZ28" s="71">
        <v>60</v>
      </c>
      <c r="HA28" s="402">
        <f t="shared" si="25"/>
        <v>54102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>
        <v>931.7</v>
      </c>
      <c r="HQ28" s="246">
        <v>44859</v>
      </c>
      <c r="HR28" s="92">
        <v>931.7</v>
      </c>
      <c r="HS28" s="294" t="s">
        <v>555</v>
      </c>
      <c r="HT28" s="71">
        <v>56</v>
      </c>
      <c r="HU28" s="402">
        <f t="shared" si="27"/>
        <v>52175.200000000004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>
        <v>911.7</v>
      </c>
      <c r="IK28" s="254">
        <v>44861</v>
      </c>
      <c r="IL28" s="69">
        <v>911.7</v>
      </c>
      <c r="IM28" s="70" t="s">
        <v>571</v>
      </c>
      <c r="IN28" s="71">
        <v>56</v>
      </c>
      <c r="IO28" s="402">
        <f t="shared" si="28"/>
        <v>51055.200000000004</v>
      </c>
      <c r="IR28" s="106"/>
      <c r="IS28" s="15">
        <v>21</v>
      </c>
      <c r="IT28" s="92">
        <v>924.4</v>
      </c>
      <c r="IU28" s="135">
        <v>44862</v>
      </c>
      <c r="IV28" s="92">
        <v>924.4</v>
      </c>
      <c r="IW28" s="370" t="s">
        <v>576</v>
      </c>
      <c r="IX28" s="71">
        <v>56</v>
      </c>
      <c r="IY28" s="245">
        <f t="shared" si="29"/>
        <v>51766.400000000001</v>
      </c>
      <c r="JA28" s="69"/>
      <c r="JB28" s="106"/>
      <c r="JC28" s="15">
        <v>21</v>
      </c>
      <c r="JD28" s="69">
        <v>889</v>
      </c>
      <c r="JE28" s="254">
        <v>44863</v>
      </c>
      <c r="JF28" s="69">
        <v>889</v>
      </c>
      <c r="JG28" s="70" t="s">
        <v>582</v>
      </c>
      <c r="JH28" s="71">
        <v>56</v>
      </c>
      <c r="JI28" s="402">
        <f t="shared" si="30"/>
        <v>49784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 xml:space="preserve">PED. </v>
      </c>
      <c r="E29" s="135">
        <f t="shared" si="67"/>
        <v>44863</v>
      </c>
      <c r="F29" s="86">
        <f t="shared" si="67"/>
        <v>18698.47</v>
      </c>
      <c r="G29" s="73">
        <f t="shared" si="67"/>
        <v>21</v>
      </c>
      <c r="H29" s="48">
        <f t="shared" si="67"/>
        <v>18840.7</v>
      </c>
      <c r="I29" s="105">
        <f t="shared" si="67"/>
        <v>-142.22999999999956</v>
      </c>
      <c r="L29" s="106"/>
      <c r="M29" s="15"/>
      <c r="N29" s="69"/>
      <c r="O29" s="254"/>
      <c r="P29" s="69"/>
      <c r="Q29" s="70"/>
      <c r="R29" s="71"/>
      <c r="S29" s="402">
        <f>SUM(S8:S28)</f>
        <v>1067614.56</v>
      </c>
      <c r="V29" s="106"/>
      <c r="W29" s="15"/>
      <c r="X29" s="69"/>
      <c r="Y29" s="254"/>
      <c r="Z29" s="69"/>
      <c r="AA29" s="70"/>
      <c r="AB29" s="71"/>
      <c r="AC29" s="402">
        <f>SUM(AC8:AC28)</f>
        <v>1076274.0000000002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1128298.3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1138122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1129542</v>
      </c>
      <c r="HD29" s="106"/>
      <c r="HE29" s="15"/>
      <c r="HF29" s="92"/>
      <c r="HG29" s="246"/>
      <c r="HH29" s="92"/>
      <c r="HI29" s="95"/>
      <c r="HJ29" s="71"/>
      <c r="HK29" s="402">
        <f>SUM(HK8:HK28)</f>
        <v>1034074.7199999999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1066504.2</v>
      </c>
      <c r="AP30" s="106"/>
      <c r="AQ30" s="15"/>
      <c r="AR30" s="92"/>
      <c r="AS30" s="246"/>
      <c r="AT30" s="92"/>
      <c r="AU30" s="95"/>
      <c r="AV30" s="71"/>
      <c r="AW30" s="402">
        <f>SUM(AW8:AW29)</f>
        <v>1052076.93</v>
      </c>
      <c r="AZ30" s="106"/>
      <c r="BA30" s="15"/>
      <c r="BB30" s="92"/>
      <c r="BC30" s="246"/>
      <c r="BD30" s="92"/>
      <c r="BE30" s="95"/>
      <c r="BF30" s="71"/>
      <c r="BG30" s="402">
        <f>SUM(BG8:BG29)</f>
        <v>1086722.0999999999</v>
      </c>
      <c r="BJ30" s="106"/>
      <c r="BK30" s="15"/>
      <c r="BL30" s="69"/>
      <c r="BM30" s="135"/>
      <c r="BN30" s="69"/>
      <c r="BO30" s="95"/>
      <c r="BP30" s="71"/>
      <c r="BQ30" s="402">
        <f>SUM(BQ8:BQ29)</f>
        <v>1062679.5</v>
      </c>
      <c r="BT30" s="106"/>
      <c r="BU30" s="15"/>
      <c r="BV30" s="69"/>
      <c r="BW30" s="79"/>
      <c r="BX30" s="69"/>
      <c r="BY30" s="95"/>
      <c r="BZ30" s="71"/>
      <c r="CA30" s="402">
        <f>SUM(CA8:CA29)</f>
        <v>1055333.3400000001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1096332.3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1100793.6000000001</v>
      </c>
      <c r="DH30" s="106"/>
      <c r="DI30" s="15"/>
      <c r="DJ30" s="69"/>
      <c r="DK30" s="246"/>
      <c r="DL30" s="69"/>
      <c r="DM30" s="95"/>
      <c r="DN30" s="71"/>
      <c r="DO30" s="402">
        <f>SUM(DO8:DO29)</f>
        <v>1120970.2000000002</v>
      </c>
      <c r="DR30" s="106"/>
      <c r="DS30" s="15"/>
      <c r="DT30" s="69"/>
      <c r="DU30" s="246"/>
      <c r="DV30" s="69"/>
      <c r="DW30" s="95"/>
      <c r="DX30" s="71"/>
      <c r="DY30" s="402">
        <f>SUM(DY8:DY29)</f>
        <v>1121312.7000000002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1123261.2000000002</v>
      </c>
      <c r="FF30" s="94"/>
      <c r="FG30" s="15"/>
      <c r="FH30" s="92"/>
      <c r="FI30" s="246"/>
      <c r="FJ30" s="105"/>
      <c r="FK30" s="70"/>
      <c r="FL30" s="71"/>
      <c r="FM30" s="402">
        <f>SUM(FM18:FM29)</f>
        <v>557261.99999999988</v>
      </c>
      <c r="FP30" s="106"/>
      <c r="FQ30" s="15"/>
      <c r="FR30" s="92"/>
      <c r="FS30" s="246"/>
      <c r="FT30" s="92"/>
      <c r="FU30" s="70"/>
      <c r="FV30" s="71"/>
      <c r="FW30" s="402">
        <f>SUM(FW8:FW29)</f>
        <v>1138308</v>
      </c>
      <c r="FZ30" s="106"/>
      <c r="GA30" s="15"/>
      <c r="GB30" s="69"/>
      <c r="GC30" s="254"/>
      <c r="GD30" s="105"/>
      <c r="GE30" s="70"/>
      <c r="GF30" s="71"/>
      <c r="GG30" s="402">
        <f>SUM(GG8:GG29)</f>
        <v>1122852</v>
      </c>
      <c r="GJ30" s="106"/>
      <c r="GK30" s="15"/>
      <c r="GL30" s="359"/>
      <c r="GM30" s="246"/>
      <c r="GN30" s="69"/>
      <c r="GO30" s="95"/>
      <c r="GP30" s="71"/>
      <c r="GQ30" s="402">
        <f>SUM(GQ8:GQ29)</f>
        <v>1148862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1073273.6000000001</v>
      </c>
      <c r="HX30" s="106"/>
      <c r="HY30" s="15"/>
      <c r="HZ30" s="69"/>
      <c r="IA30" s="254"/>
      <c r="IB30" s="105"/>
      <c r="IC30" s="70"/>
      <c r="ID30" s="71"/>
      <c r="IE30" s="402">
        <f>SUM(IE8:IE29)</f>
        <v>1019064.48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1048040</v>
      </c>
      <c r="IR30" s="106"/>
      <c r="IS30" s="15"/>
      <c r="IT30" s="69"/>
      <c r="IU30" s="79"/>
      <c r="IV30" s="69"/>
      <c r="IW30" s="95"/>
      <c r="IX30" s="71"/>
      <c r="IY30" s="402">
        <f>SUM(IY8:IY29)</f>
        <v>1071884.8</v>
      </c>
      <c r="JB30" s="106"/>
      <c r="JC30" s="15"/>
      <c r="JD30" s="69"/>
      <c r="JE30" s="254"/>
      <c r="JF30" s="105"/>
      <c r="JG30" s="70"/>
      <c r="JH30" s="71"/>
      <c r="JI30" s="402">
        <f>SUM(JI8:JI29)</f>
        <v>1055079.2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1079621.4000000001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18730.080000000005</v>
      </c>
      <c r="S32" s="402"/>
      <c r="X32" s="105">
        <f>SUM(X8:X31)</f>
        <v>18882</v>
      </c>
      <c r="Z32" s="105">
        <f>SUM(Z8:Z31)</f>
        <v>18882</v>
      </c>
      <c r="AH32" s="105">
        <f>SUM(AH8:AH31)</f>
        <v>18710.600000000002</v>
      </c>
      <c r="AJ32" s="105">
        <f>SUM(AJ8:AJ31)</f>
        <v>18710.600000000002</v>
      </c>
      <c r="AM32" s="402"/>
      <c r="AR32" s="86">
        <f>SUM(AR8:AR31)</f>
        <v>18457.490000000002</v>
      </c>
      <c r="AT32" s="105">
        <f>SUM(AT8:AT31)</f>
        <v>18457.490000000002</v>
      </c>
      <c r="AZ32" s="75"/>
      <c r="BB32" s="86">
        <f>SUM(BB8:BB31)</f>
        <v>19065.3</v>
      </c>
      <c r="BD32" s="105">
        <f>SUM(BD8:BD31)</f>
        <v>19065.3</v>
      </c>
      <c r="BL32" s="105">
        <f>SUM(BL8:BL31)</f>
        <v>18643.5</v>
      </c>
      <c r="BN32" s="105">
        <f>SUM(BN8:BN31)</f>
        <v>18643.5</v>
      </c>
      <c r="BV32" s="105">
        <f>SUM(BV8:BV31)</f>
        <v>18514.619999999995</v>
      </c>
      <c r="BX32" s="105">
        <f>SUM(BX8:BX31)</f>
        <v>18514.619999999995</v>
      </c>
      <c r="CE32" s="15"/>
      <c r="CF32" s="105">
        <f>SUM(CF8:CF31)</f>
        <v>19233.900000000001</v>
      </c>
      <c r="CH32" s="105">
        <f>SUM(CH8:CH31)</f>
        <v>19233.900000000001</v>
      </c>
      <c r="CP32" s="105">
        <f>SUM(CP8:CP31)</f>
        <v>18738.099999999999</v>
      </c>
      <c r="CR32" s="105">
        <f>SUM(CR8:CR31)</f>
        <v>18738.099999999999</v>
      </c>
      <c r="CZ32" s="105">
        <f>SUM(CZ8:CZ31)</f>
        <v>18979.199999999997</v>
      </c>
      <c r="DB32" s="105">
        <f>SUM(DB8:DB31)</f>
        <v>18979.199999999997</v>
      </c>
      <c r="DJ32" s="105">
        <f>SUM(DJ8:DJ31)</f>
        <v>19045.099999999999</v>
      </c>
      <c r="DL32" s="105">
        <f>SUM(DL8:DL31)</f>
        <v>19045.099999999999</v>
      </c>
      <c r="DT32" s="105">
        <f>SUM(DT8:DT31)</f>
        <v>19005.400000000001</v>
      </c>
      <c r="DV32" s="105">
        <f>SUM(DV8:DV31)</f>
        <v>19005.300000000003</v>
      </c>
      <c r="ED32" s="105">
        <f>SUM(ED8:ED31)</f>
        <v>19123.7</v>
      </c>
      <c r="EF32" s="105">
        <f>SUM(EF8:EF31)</f>
        <v>19123.7</v>
      </c>
      <c r="EN32" s="105">
        <f>SUM(EN8:EN31)</f>
        <v>18968.699999999997</v>
      </c>
      <c r="EP32" s="105">
        <f>SUM(EP8:EP31)</f>
        <v>18968.699999999997</v>
      </c>
      <c r="EX32" s="105">
        <f>SUM(EX8:EX31)</f>
        <v>18721.02</v>
      </c>
      <c r="EZ32" s="105">
        <f>SUM(EZ8:EZ31)</f>
        <v>18721.02</v>
      </c>
      <c r="FH32" s="132">
        <f>SUM(FH8:FH31)</f>
        <v>18468.36</v>
      </c>
      <c r="FJ32" s="105">
        <f>SUM(FJ8:FJ31)</f>
        <v>18468.36</v>
      </c>
      <c r="FR32" s="105">
        <f>SUM(FR8:FR31)</f>
        <v>18971.8</v>
      </c>
      <c r="FS32" s="105"/>
      <c r="FT32" s="105">
        <f>SUM(FT8:FT31)</f>
        <v>18971.8</v>
      </c>
      <c r="FU32" s="75" t="s">
        <v>36</v>
      </c>
      <c r="GB32" s="105">
        <f>SUM(GB8:GB31)</f>
        <v>18714.2</v>
      </c>
      <c r="GD32" s="105">
        <f>SUM(GD8:GD31)</f>
        <v>18714.2</v>
      </c>
      <c r="GL32" s="105">
        <f>SUM(GL8:GL31)</f>
        <v>19147.699999999997</v>
      </c>
      <c r="GN32" s="105">
        <f>SUM(GN8:GN31)</f>
        <v>19147.699999999997</v>
      </c>
      <c r="GV32" s="105">
        <f>SUM(GV8:GV31)</f>
        <v>18825.7</v>
      </c>
      <c r="GX32" s="105">
        <f>SUM(GX8:GX31)</f>
        <v>18825.7</v>
      </c>
      <c r="HF32" s="105">
        <f>SUM(HF8:HF31)</f>
        <v>18465.620000000003</v>
      </c>
      <c r="HH32" s="105">
        <f>SUM(HH8:HH31)</f>
        <v>18465.620000000003</v>
      </c>
      <c r="HP32" s="105">
        <f>SUM(HP8:HP31)</f>
        <v>19165.600000000002</v>
      </c>
      <c r="HR32" s="105">
        <f>SUM(HR8:HR31)</f>
        <v>19165.600000000002</v>
      </c>
      <c r="HZ32" s="105">
        <f>SUM(HZ8:HZ31)</f>
        <v>18197.579999999998</v>
      </c>
      <c r="IB32" s="105">
        <f>SUM(IB8:IB31)</f>
        <v>18197.579999999998</v>
      </c>
      <c r="IJ32" s="105">
        <f>SUM(IJ8:IJ31)</f>
        <v>18714.999999999996</v>
      </c>
      <c r="IL32" s="105">
        <f>SUM(IL8:IL31)</f>
        <v>18714.999999999996</v>
      </c>
      <c r="IT32" s="105">
        <f>SUM(IT8:IT31)</f>
        <v>19140.800000000003</v>
      </c>
      <c r="IV32" s="105">
        <f>SUM(IV8:IV31)</f>
        <v>19140.800000000003</v>
      </c>
      <c r="JD32" s="105">
        <f>SUM(JD8:JD31)</f>
        <v>18840.7</v>
      </c>
      <c r="JF32" s="105">
        <f>SUM(JF8:JF31)</f>
        <v>18840.7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0</v>
      </c>
      <c r="S33" s="402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2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0</v>
      </c>
      <c r="DT33" s="262" t="s">
        <v>21</v>
      </c>
      <c r="DU33" s="263"/>
      <c r="DV33" s="141">
        <f>DT32-DV32</f>
        <v>9.9999999998544808E-2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1059" t="s">
        <v>21</v>
      </c>
      <c r="RU33" s="1060"/>
      <c r="RV33" s="141">
        <f>SUM(RW5-RV32)</f>
        <v>0</v>
      </c>
      <c r="SC33" s="1059" t="s">
        <v>21</v>
      </c>
      <c r="SD33" s="1060"/>
      <c r="SE33" s="141">
        <f>SUM(SF5-SE32)</f>
        <v>0</v>
      </c>
      <c r="SL33" s="1059" t="s">
        <v>21</v>
      </c>
      <c r="SM33" s="1060"/>
      <c r="SN33" s="218">
        <f>SUM(SO5-SN32)</f>
        <v>0</v>
      </c>
      <c r="SU33" s="1059" t="s">
        <v>21</v>
      </c>
      <c r="SV33" s="1060"/>
      <c r="SW33" s="141">
        <f>SUM(SX5-SW32)</f>
        <v>0</v>
      </c>
      <c r="TD33" s="1059" t="s">
        <v>21</v>
      </c>
      <c r="TE33" s="1060"/>
      <c r="TF33" s="141">
        <f>SUM(TG5-TF32)</f>
        <v>0</v>
      </c>
      <c r="TM33" s="1059" t="s">
        <v>21</v>
      </c>
      <c r="TN33" s="1060"/>
      <c r="TO33" s="141">
        <f>SUM(TP5-TO32)</f>
        <v>0</v>
      </c>
      <c r="TV33" s="1059" t="s">
        <v>21</v>
      </c>
      <c r="TW33" s="1060"/>
      <c r="TX33" s="141">
        <f>SUM(TY5-TX32)</f>
        <v>0</v>
      </c>
      <c r="UE33" s="1059" t="s">
        <v>21</v>
      </c>
      <c r="UF33" s="1060"/>
      <c r="UG33" s="141">
        <f>SUM(UH5-UG32)</f>
        <v>0</v>
      </c>
      <c r="UN33" s="1059" t="s">
        <v>21</v>
      </c>
      <c r="UO33" s="1060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1059" t="s">
        <v>21</v>
      </c>
      <c r="VP33" s="1060"/>
      <c r="VQ33" s="141">
        <f>VR5-VQ32</f>
        <v>-22</v>
      </c>
      <c r="VX33" s="1059" t="s">
        <v>21</v>
      </c>
      <c r="VY33" s="1060"/>
      <c r="VZ33" s="141">
        <f>WA5-VZ32</f>
        <v>-22</v>
      </c>
      <c r="WG33" s="1059" t="s">
        <v>21</v>
      </c>
      <c r="WH33" s="1060"/>
      <c r="WI33" s="141">
        <f>WJ5-WI32</f>
        <v>-22</v>
      </c>
      <c r="WP33" s="1059" t="s">
        <v>21</v>
      </c>
      <c r="WQ33" s="1060"/>
      <c r="WR33" s="141">
        <f>WS5-WR32</f>
        <v>-22</v>
      </c>
      <c r="WY33" s="1059" t="s">
        <v>21</v>
      </c>
      <c r="WZ33" s="1060"/>
      <c r="XA33" s="141">
        <f>XB5-XA32</f>
        <v>-22</v>
      </c>
      <c r="XH33" s="1059" t="s">
        <v>21</v>
      </c>
      <c r="XI33" s="1060"/>
      <c r="XJ33" s="141">
        <f>XK5-XJ32</f>
        <v>-22</v>
      </c>
      <c r="XQ33" s="1059" t="s">
        <v>21</v>
      </c>
      <c r="XR33" s="1060"/>
      <c r="XS33" s="141">
        <f>XT5-XS32</f>
        <v>-22</v>
      </c>
      <c r="XZ33" s="1059" t="s">
        <v>21</v>
      </c>
      <c r="YA33" s="1060"/>
      <c r="YB33" s="141">
        <f>YC5-YB32</f>
        <v>-22</v>
      </c>
      <c r="YI33" s="1059" t="s">
        <v>21</v>
      </c>
      <c r="YJ33" s="1060"/>
      <c r="YK33" s="141">
        <f>YL5-YK32</f>
        <v>-22</v>
      </c>
      <c r="YR33" s="1059" t="s">
        <v>21</v>
      </c>
      <c r="YS33" s="1060"/>
      <c r="YT33" s="141">
        <f>YU5-YT32</f>
        <v>-22</v>
      </c>
      <c r="ZA33" s="1059" t="s">
        <v>21</v>
      </c>
      <c r="ZB33" s="1060"/>
      <c r="ZC33" s="141">
        <f>ZD5-ZC32</f>
        <v>-22</v>
      </c>
      <c r="ZJ33" s="1059" t="s">
        <v>21</v>
      </c>
      <c r="ZK33" s="1060"/>
      <c r="ZL33" s="141">
        <f>ZM5-ZL32</f>
        <v>-22</v>
      </c>
      <c r="ZS33" s="1059" t="s">
        <v>21</v>
      </c>
      <c r="ZT33" s="1060"/>
      <c r="ZU33" s="141">
        <f>ZV5-ZU32</f>
        <v>-22</v>
      </c>
      <c r="AAB33" s="1059" t="s">
        <v>21</v>
      </c>
      <c r="AAC33" s="1060"/>
      <c r="AAD33" s="141">
        <f>AAE5-AAD32</f>
        <v>-22</v>
      </c>
      <c r="AAK33" s="1059" t="s">
        <v>21</v>
      </c>
      <c r="AAL33" s="1060"/>
      <c r="AAM33" s="141">
        <f>AAN5-AAM32</f>
        <v>-22</v>
      </c>
      <c r="AAT33" s="1059" t="s">
        <v>21</v>
      </c>
      <c r="AAU33" s="1060"/>
      <c r="AAV33" s="141">
        <f>AAV32-AAT32</f>
        <v>22</v>
      </c>
      <c r="ABC33" s="1059" t="s">
        <v>21</v>
      </c>
      <c r="ABD33" s="1060"/>
      <c r="ABE33" s="141">
        <f>ABF5-ABE32</f>
        <v>-22</v>
      </c>
      <c r="ABL33" s="1059" t="s">
        <v>21</v>
      </c>
      <c r="ABM33" s="1060"/>
      <c r="ABN33" s="141">
        <f>ABO5-ABN32</f>
        <v>-22</v>
      </c>
      <c r="ABU33" s="1059" t="s">
        <v>21</v>
      </c>
      <c r="ABV33" s="1060"/>
      <c r="ABW33" s="141">
        <f>ABX5-ABW32</f>
        <v>-22</v>
      </c>
      <c r="ACD33" s="1059" t="s">
        <v>21</v>
      </c>
      <c r="ACE33" s="1060"/>
      <c r="ACF33" s="141">
        <f>ACG5-ACF32</f>
        <v>-22</v>
      </c>
      <c r="ACM33" s="1059" t="s">
        <v>21</v>
      </c>
      <c r="ACN33" s="1060"/>
      <c r="ACO33" s="141">
        <f>ACP5-ACO32</f>
        <v>-22</v>
      </c>
      <c r="ACV33" s="1059" t="s">
        <v>21</v>
      </c>
      <c r="ACW33" s="1060"/>
      <c r="ACX33" s="141">
        <f>ACY5-ACX32</f>
        <v>-22</v>
      </c>
      <c r="ADE33" s="1059" t="s">
        <v>21</v>
      </c>
      <c r="ADF33" s="1060"/>
      <c r="ADG33" s="141">
        <f>ADH5-ADG32</f>
        <v>-22</v>
      </c>
      <c r="ADN33" s="1059" t="s">
        <v>21</v>
      </c>
      <c r="ADO33" s="1060"/>
      <c r="ADP33" s="141">
        <f>ADQ5-ADP32</f>
        <v>-22</v>
      </c>
      <c r="ADW33" s="1059" t="s">
        <v>21</v>
      </c>
      <c r="ADX33" s="1060"/>
      <c r="ADY33" s="141">
        <f>ADZ5-ADY32</f>
        <v>-22</v>
      </c>
      <c r="AEF33" s="1059" t="s">
        <v>21</v>
      </c>
      <c r="AEG33" s="1060"/>
      <c r="AEH33" s="141">
        <f>AEI5-AEH32</f>
        <v>-22</v>
      </c>
      <c r="AEO33" s="1059" t="s">
        <v>21</v>
      </c>
      <c r="AEP33" s="106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1061" t="s">
        <v>4</v>
      </c>
      <c r="RU34" s="1062"/>
      <c r="RV34" s="49"/>
      <c r="SC34" s="1061" t="s">
        <v>4</v>
      </c>
      <c r="SD34" s="1062"/>
      <c r="SE34" s="49"/>
      <c r="SL34" s="1061" t="s">
        <v>4</v>
      </c>
      <c r="SM34" s="1062"/>
      <c r="SN34" s="49"/>
      <c r="SU34" s="1061" t="s">
        <v>4</v>
      </c>
      <c r="SV34" s="1062"/>
      <c r="SW34" s="49"/>
      <c r="TD34" s="1061" t="s">
        <v>4</v>
      </c>
      <c r="TE34" s="1062"/>
      <c r="TF34" s="49"/>
      <c r="TM34" s="1061" t="s">
        <v>4</v>
      </c>
      <c r="TN34" s="1062"/>
      <c r="TO34" s="49"/>
      <c r="TV34" s="1061" t="s">
        <v>4</v>
      </c>
      <c r="TW34" s="1062"/>
      <c r="TX34" s="49"/>
      <c r="UE34" s="1061" t="s">
        <v>4</v>
      </c>
      <c r="UF34" s="1062"/>
      <c r="UG34" s="49"/>
      <c r="UN34" s="1061" t="s">
        <v>4</v>
      </c>
      <c r="UO34" s="1062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1061" t="s">
        <v>4</v>
      </c>
      <c r="VP34" s="1062"/>
      <c r="VQ34" s="49"/>
      <c r="VX34" s="1061" t="s">
        <v>4</v>
      </c>
      <c r="VY34" s="1062"/>
      <c r="VZ34" s="49"/>
      <c r="WG34" s="1061" t="s">
        <v>4</v>
      </c>
      <c r="WH34" s="1062"/>
      <c r="WI34" s="49"/>
      <c r="WP34" s="1061" t="s">
        <v>4</v>
      </c>
      <c r="WQ34" s="1062"/>
      <c r="WR34" s="49"/>
      <c r="WY34" s="1061" t="s">
        <v>4</v>
      </c>
      <c r="WZ34" s="1062"/>
      <c r="XA34" s="49"/>
      <c r="XH34" s="1061" t="s">
        <v>4</v>
      </c>
      <c r="XI34" s="1062"/>
      <c r="XJ34" s="49"/>
      <c r="XQ34" s="1061" t="s">
        <v>4</v>
      </c>
      <c r="XR34" s="1062"/>
      <c r="XS34" s="49"/>
      <c r="XZ34" s="1061" t="s">
        <v>4</v>
      </c>
      <c r="YA34" s="1062"/>
      <c r="YB34" s="49"/>
      <c r="YI34" s="1061" t="s">
        <v>4</v>
      </c>
      <c r="YJ34" s="1062"/>
      <c r="YK34" s="49"/>
      <c r="YR34" s="1061" t="s">
        <v>4</v>
      </c>
      <c r="YS34" s="1062"/>
      <c r="YT34" s="49"/>
      <c r="ZA34" s="1061" t="s">
        <v>4</v>
      </c>
      <c r="ZB34" s="1062"/>
      <c r="ZC34" s="49"/>
      <c r="ZJ34" s="1061" t="s">
        <v>4</v>
      </c>
      <c r="ZK34" s="1062"/>
      <c r="ZL34" s="49"/>
      <c r="ZS34" s="1061" t="s">
        <v>4</v>
      </c>
      <c r="ZT34" s="1062"/>
      <c r="ZU34" s="49"/>
      <c r="AAB34" s="1061" t="s">
        <v>4</v>
      </c>
      <c r="AAC34" s="1062"/>
      <c r="AAD34" s="49"/>
      <c r="AAK34" s="1061" t="s">
        <v>4</v>
      </c>
      <c r="AAL34" s="1062"/>
      <c r="AAM34" s="49"/>
      <c r="AAT34" s="1061" t="s">
        <v>4</v>
      </c>
      <c r="AAU34" s="1062"/>
      <c r="AAV34" s="49"/>
      <c r="ABC34" s="1061" t="s">
        <v>4</v>
      </c>
      <c r="ABD34" s="1062"/>
      <c r="ABE34" s="49"/>
      <c r="ABL34" s="1061" t="s">
        <v>4</v>
      </c>
      <c r="ABM34" s="1062"/>
      <c r="ABN34" s="49"/>
      <c r="ABU34" s="1061" t="s">
        <v>4</v>
      </c>
      <c r="ABV34" s="1062"/>
      <c r="ABW34" s="49"/>
      <c r="ACD34" s="1061" t="s">
        <v>4</v>
      </c>
      <c r="ACE34" s="1062"/>
      <c r="ACF34" s="49"/>
      <c r="ACM34" s="1061" t="s">
        <v>4</v>
      </c>
      <c r="ACN34" s="1062"/>
      <c r="ACO34" s="49"/>
      <c r="ACV34" s="1061" t="s">
        <v>4</v>
      </c>
      <c r="ACW34" s="1062"/>
      <c r="ACX34" s="49"/>
      <c r="ADE34" s="1061" t="s">
        <v>4</v>
      </c>
      <c r="ADF34" s="1062"/>
      <c r="ADG34" s="49"/>
      <c r="ADN34" s="1061" t="s">
        <v>4</v>
      </c>
      <c r="ADO34" s="1062"/>
      <c r="ADP34" s="49"/>
      <c r="ADW34" s="1061" t="s">
        <v>4</v>
      </c>
      <c r="ADX34" s="1062"/>
      <c r="ADY34" s="49"/>
      <c r="AEF34" s="1061" t="s">
        <v>4</v>
      </c>
      <c r="AEG34" s="1062"/>
      <c r="AEH34" s="49"/>
      <c r="AEO34" s="1061" t="s">
        <v>4</v>
      </c>
      <c r="AEP34" s="106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3"/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1084"/>
      <c r="B5" s="1095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1084"/>
      <c r="B6" s="1095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059" t="s">
        <v>21</v>
      </c>
      <c r="E32" s="1060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59" t="s">
        <v>21</v>
      </c>
      <c r="E29" s="1060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0">
        <f t="shared" si="1"/>
        <v>0</v>
      </c>
      <c r="G12" s="769"/>
      <c r="H12" s="770"/>
      <c r="I12" s="761">
        <f t="shared" si="2"/>
        <v>0</v>
      </c>
      <c r="J12" s="806">
        <f t="shared" si="0"/>
        <v>0</v>
      </c>
    </row>
    <row r="13" spans="1:10" x14ac:dyDescent="0.25">
      <c r="B13" s="89"/>
      <c r="C13" s="338"/>
      <c r="D13" s="339"/>
      <c r="E13" s="356"/>
      <c r="F13" s="810">
        <f t="shared" si="1"/>
        <v>0</v>
      </c>
      <c r="G13" s="769"/>
      <c r="H13" s="770"/>
      <c r="I13" s="761">
        <f t="shared" si="2"/>
        <v>0</v>
      </c>
      <c r="J13" s="806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0">
        <f t="shared" si="1"/>
        <v>0</v>
      </c>
      <c r="G14" s="769"/>
      <c r="H14" s="770"/>
      <c r="I14" s="761">
        <f t="shared" si="2"/>
        <v>0</v>
      </c>
      <c r="J14" s="806">
        <f t="shared" si="0"/>
        <v>0</v>
      </c>
    </row>
    <row r="15" spans="1:10" x14ac:dyDescent="0.25">
      <c r="B15" s="89"/>
      <c r="C15" s="338"/>
      <c r="D15" s="339"/>
      <c r="E15" s="356"/>
      <c r="F15" s="810">
        <f t="shared" si="1"/>
        <v>0</v>
      </c>
      <c r="G15" s="769"/>
      <c r="H15" s="770"/>
      <c r="I15" s="761">
        <f t="shared" si="2"/>
        <v>0</v>
      </c>
      <c r="J15" s="806">
        <f t="shared" si="0"/>
        <v>0</v>
      </c>
    </row>
    <row r="16" spans="1:10" x14ac:dyDescent="0.25">
      <c r="B16" s="89"/>
      <c r="C16" s="338"/>
      <c r="D16" s="339"/>
      <c r="E16" s="356"/>
      <c r="F16" s="810">
        <f t="shared" si="1"/>
        <v>0</v>
      </c>
      <c r="G16" s="769"/>
      <c r="H16" s="770"/>
      <c r="I16" s="761">
        <f t="shared" si="2"/>
        <v>0</v>
      </c>
      <c r="J16" s="806">
        <f t="shared" si="0"/>
        <v>0</v>
      </c>
    </row>
    <row r="17" spans="1:10" x14ac:dyDescent="0.25">
      <c r="B17" s="89"/>
      <c r="C17" s="338"/>
      <c r="D17" s="339"/>
      <c r="E17" s="356"/>
      <c r="F17" s="810">
        <f t="shared" si="1"/>
        <v>0</v>
      </c>
      <c r="G17" s="769"/>
      <c r="H17" s="770"/>
      <c r="I17" s="761">
        <f t="shared" si="2"/>
        <v>0</v>
      </c>
      <c r="J17" s="806">
        <f t="shared" si="0"/>
        <v>0</v>
      </c>
    </row>
    <row r="18" spans="1:10" x14ac:dyDescent="0.25">
      <c r="B18" s="89"/>
      <c r="C18" s="338"/>
      <c r="D18" s="339"/>
      <c r="E18" s="356"/>
      <c r="F18" s="810">
        <f t="shared" si="1"/>
        <v>0</v>
      </c>
      <c r="G18" s="769"/>
      <c r="H18" s="770"/>
      <c r="I18" s="761">
        <f t="shared" si="2"/>
        <v>0</v>
      </c>
      <c r="J18" s="806">
        <f t="shared" si="0"/>
        <v>0</v>
      </c>
    </row>
    <row r="19" spans="1:10" x14ac:dyDescent="0.25">
      <c r="B19" s="89"/>
      <c r="C19" s="338"/>
      <c r="D19" s="339"/>
      <c r="E19" s="356"/>
      <c r="F19" s="810">
        <f t="shared" si="1"/>
        <v>0</v>
      </c>
      <c r="G19" s="769"/>
      <c r="H19" s="770"/>
      <c r="I19" s="761">
        <f t="shared" si="2"/>
        <v>0</v>
      </c>
      <c r="J19" s="806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9" t="s">
        <v>21</v>
      </c>
      <c r="E32" s="1060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70" t="s">
        <v>265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084" t="s">
        <v>99</v>
      </c>
      <c r="B5" s="1086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1084"/>
      <c r="B6" s="1086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178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205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207</v>
      </c>
      <c r="H14" s="387">
        <v>61</v>
      </c>
      <c r="I14" s="132">
        <f t="shared" si="1"/>
        <v>657.19999999999982</v>
      </c>
    </row>
    <row r="15" spans="1:9" x14ac:dyDescent="0.25">
      <c r="B15" s="988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211</v>
      </c>
      <c r="H15" s="387">
        <v>61</v>
      </c>
      <c r="I15" s="322">
        <f t="shared" si="1"/>
        <v>624.56999999999982</v>
      </c>
    </row>
    <row r="16" spans="1:9" x14ac:dyDescent="0.25">
      <c r="B16" s="425">
        <f t="shared" ref="B16:B26" si="3">B15-C16</f>
        <v>17</v>
      </c>
      <c r="C16" s="73">
        <v>3</v>
      </c>
      <c r="D16" s="549">
        <v>88.2</v>
      </c>
      <c r="E16" s="811">
        <v>44837</v>
      </c>
      <c r="F16" s="812">
        <f t="shared" si="0"/>
        <v>88.2</v>
      </c>
      <c r="G16" s="331" t="s">
        <v>412</v>
      </c>
      <c r="H16" s="332">
        <v>61</v>
      </c>
      <c r="I16" s="132">
        <f t="shared" si="1"/>
        <v>536.36999999999978</v>
      </c>
    </row>
    <row r="17" spans="1:9" x14ac:dyDescent="0.25">
      <c r="B17" s="425">
        <f t="shared" si="3"/>
        <v>16</v>
      </c>
      <c r="C17" s="73">
        <v>1</v>
      </c>
      <c r="D17" s="549">
        <v>32.49</v>
      </c>
      <c r="E17" s="811">
        <v>44844</v>
      </c>
      <c r="F17" s="812">
        <f t="shared" si="0"/>
        <v>32.49</v>
      </c>
      <c r="G17" s="331" t="s">
        <v>459</v>
      </c>
      <c r="H17" s="332">
        <v>61</v>
      </c>
      <c r="I17" s="132">
        <f t="shared" si="1"/>
        <v>503.87999999999977</v>
      </c>
    </row>
    <row r="18" spans="1:9" x14ac:dyDescent="0.25">
      <c r="B18" s="425">
        <f t="shared" si="3"/>
        <v>15</v>
      </c>
      <c r="C18" s="73">
        <v>1</v>
      </c>
      <c r="D18" s="549">
        <v>29.94</v>
      </c>
      <c r="E18" s="811">
        <v>44858</v>
      </c>
      <c r="F18" s="812">
        <f t="shared" si="0"/>
        <v>29.94</v>
      </c>
      <c r="G18" s="331" t="s">
        <v>545</v>
      </c>
      <c r="H18" s="332">
        <v>61</v>
      </c>
      <c r="I18" s="132">
        <f t="shared" si="1"/>
        <v>473.93999999999977</v>
      </c>
    </row>
    <row r="19" spans="1:9" x14ac:dyDescent="0.25">
      <c r="B19" s="425">
        <f t="shared" si="3"/>
        <v>15</v>
      </c>
      <c r="C19" s="73"/>
      <c r="D19" s="549">
        <v>0</v>
      </c>
      <c r="E19" s="811"/>
      <c r="F19" s="812">
        <f t="shared" si="0"/>
        <v>0</v>
      </c>
      <c r="G19" s="331"/>
      <c r="H19" s="332"/>
      <c r="I19" s="132">
        <f t="shared" si="1"/>
        <v>473.93999999999977</v>
      </c>
    </row>
    <row r="20" spans="1:9" x14ac:dyDescent="0.25">
      <c r="B20" s="425">
        <f t="shared" si="3"/>
        <v>15</v>
      </c>
      <c r="C20" s="73"/>
      <c r="D20" s="549">
        <v>0</v>
      </c>
      <c r="E20" s="811"/>
      <c r="F20" s="812">
        <f t="shared" si="0"/>
        <v>0</v>
      </c>
      <c r="G20" s="331"/>
      <c r="H20" s="332"/>
      <c r="I20" s="132">
        <f t="shared" si="1"/>
        <v>473.93999999999977</v>
      </c>
    </row>
    <row r="21" spans="1:9" x14ac:dyDescent="0.25">
      <c r="B21" s="425">
        <f t="shared" si="3"/>
        <v>15</v>
      </c>
      <c r="C21" s="73"/>
      <c r="D21" s="549">
        <v>0</v>
      </c>
      <c r="E21" s="811"/>
      <c r="F21" s="812">
        <f t="shared" si="0"/>
        <v>0</v>
      </c>
      <c r="G21" s="331"/>
      <c r="H21" s="332"/>
      <c r="I21" s="132">
        <f t="shared" si="1"/>
        <v>473.93999999999977</v>
      </c>
    </row>
    <row r="22" spans="1:9" x14ac:dyDescent="0.25">
      <c r="B22" s="425">
        <f t="shared" si="3"/>
        <v>15</v>
      </c>
      <c r="C22" s="73"/>
      <c r="D22" s="549">
        <v>0</v>
      </c>
      <c r="E22" s="811"/>
      <c r="F22" s="812">
        <f t="shared" si="0"/>
        <v>0</v>
      </c>
      <c r="G22" s="331"/>
      <c r="H22" s="332"/>
      <c r="I22" s="132">
        <f t="shared" si="1"/>
        <v>473.93999999999977</v>
      </c>
    </row>
    <row r="23" spans="1:9" x14ac:dyDescent="0.25">
      <c r="B23" s="425">
        <f t="shared" si="3"/>
        <v>15</v>
      </c>
      <c r="C23" s="15"/>
      <c r="D23" s="549">
        <v>0</v>
      </c>
      <c r="E23" s="811"/>
      <c r="F23" s="812">
        <f t="shared" si="0"/>
        <v>0</v>
      </c>
      <c r="G23" s="331"/>
      <c r="H23" s="332"/>
      <c r="I23" s="132">
        <f t="shared" si="1"/>
        <v>473.93999999999977</v>
      </c>
    </row>
    <row r="24" spans="1:9" x14ac:dyDescent="0.25">
      <c r="B24" s="425">
        <f t="shared" si="3"/>
        <v>15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473.93999999999977</v>
      </c>
    </row>
    <row r="25" spans="1:9" x14ac:dyDescent="0.25">
      <c r="B25" s="425">
        <f t="shared" si="3"/>
        <v>15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473.93999999999977</v>
      </c>
    </row>
    <row r="26" spans="1:9" ht="15.75" thickBot="1" x14ac:dyDescent="0.3">
      <c r="A26" s="121"/>
      <c r="B26" s="425">
        <f t="shared" si="3"/>
        <v>15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59" t="s">
        <v>21</v>
      </c>
      <c r="E29" s="1060"/>
      <c r="F29" s="141">
        <f>E5+E6-F27+E7+E4</f>
        <v>473.93999999999994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1078"/>
      <c r="B6" s="1096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1078"/>
      <c r="B7" s="1097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59" t="s">
        <v>21</v>
      </c>
      <c r="E30" s="1060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33" activePane="bottomLeft" state="frozen"/>
      <selection pane="bottomLeft" activeCell="F46" sqref="F4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98" t="s">
        <v>266</v>
      </c>
      <c r="B1" s="1098"/>
      <c r="C1" s="1098"/>
      <c r="D1" s="1098"/>
      <c r="E1" s="1098"/>
      <c r="F1" s="1098"/>
      <c r="G1" s="1098"/>
      <c r="H1" s="1098"/>
      <c r="I1" s="1098"/>
      <c r="J1" s="1098"/>
      <c r="K1" s="489">
        <v>1</v>
      </c>
      <c r="M1" s="1101" t="s">
        <v>260</v>
      </c>
      <c r="N1" s="1101"/>
      <c r="O1" s="1101"/>
      <c r="P1" s="1101"/>
      <c r="Q1" s="1101"/>
      <c r="R1" s="1101"/>
      <c r="S1" s="1101"/>
      <c r="T1" s="1101"/>
      <c r="U1" s="1101"/>
      <c r="V1" s="1101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1099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099" t="s">
        <v>287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1100"/>
      <c r="B6" s="710" t="s">
        <v>157</v>
      </c>
      <c r="C6" s="156">
        <v>77.5</v>
      </c>
      <c r="D6" s="135">
        <v>44824</v>
      </c>
      <c r="E6" s="78">
        <v>18509.599999999999</v>
      </c>
      <c r="F6" s="62">
        <v>680</v>
      </c>
      <c r="M6" s="1100"/>
      <c r="N6" s="710" t="s">
        <v>157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13" t="s">
        <v>60</v>
      </c>
      <c r="V8" s="913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254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82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257</v>
      </c>
      <c r="H10" s="71">
        <v>84</v>
      </c>
      <c r="I10" s="1007">
        <f>I9-F10-2.52</f>
        <v>16628.899999999998</v>
      </c>
      <c r="J10" s="1006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81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>
        <v>1</v>
      </c>
      <c r="D11" s="813">
        <f t="shared" ref="D11:D72" si="2">C11*B11</f>
        <v>27.22</v>
      </c>
      <c r="E11" s="811">
        <v>44837</v>
      </c>
      <c r="F11" s="549">
        <f t="shared" ref="F11:F72" si="3">D11</f>
        <v>27.22</v>
      </c>
      <c r="G11" s="331" t="s">
        <v>411</v>
      </c>
      <c r="H11" s="332">
        <v>79</v>
      </c>
      <c r="I11" s="446">
        <f t="shared" ref="I11:I74" si="4">I10-F11</f>
        <v>16601.679999999997</v>
      </c>
      <c r="J11" s="447">
        <f t="shared" ref="J11" si="5">J10-C11</f>
        <v>610</v>
      </c>
      <c r="K11" s="448">
        <f t="shared" si="0"/>
        <v>2150.38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>
        <v>24</v>
      </c>
      <c r="D12" s="813">
        <f t="shared" si="2"/>
        <v>653.28</v>
      </c>
      <c r="E12" s="811">
        <v>44839</v>
      </c>
      <c r="F12" s="549">
        <f t="shared" si="3"/>
        <v>653.28</v>
      </c>
      <c r="G12" s="331" t="s">
        <v>422</v>
      </c>
      <c r="H12" s="332">
        <v>79</v>
      </c>
      <c r="I12" s="446">
        <f t="shared" si="4"/>
        <v>15948.399999999996</v>
      </c>
      <c r="J12" s="447">
        <f>J11-C12</f>
        <v>586</v>
      </c>
      <c r="K12" s="448">
        <f t="shared" si="0"/>
        <v>51609.119999999995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>
        <v>24</v>
      </c>
      <c r="D13" s="813">
        <f t="shared" si="2"/>
        <v>653.28</v>
      </c>
      <c r="E13" s="811">
        <v>44840</v>
      </c>
      <c r="F13" s="549">
        <f t="shared" si="3"/>
        <v>653.28</v>
      </c>
      <c r="G13" s="331" t="s">
        <v>431</v>
      </c>
      <c r="H13" s="332">
        <v>79</v>
      </c>
      <c r="I13" s="446">
        <f t="shared" si="4"/>
        <v>15295.119999999995</v>
      </c>
      <c r="J13" s="447">
        <f t="shared" ref="J13:J76" si="10">J12-C13</f>
        <v>562</v>
      </c>
      <c r="K13" s="448">
        <f t="shared" si="0"/>
        <v>51609.119999999995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>
        <v>6</v>
      </c>
      <c r="D14" s="813">
        <f t="shared" si="2"/>
        <v>163.32</v>
      </c>
      <c r="E14" s="811">
        <v>44842</v>
      </c>
      <c r="F14" s="549">
        <f t="shared" si="3"/>
        <v>163.32</v>
      </c>
      <c r="G14" s="331" t="s">
        <v>444</v>
      </c>
      <c r="H14" s="332">
        <v>87</v>
      </c>
      <c r="I14" s="446">
        <f t="shared" si="4"/>
        <v>15131.799999999996</v>
      </c>
      <c r="J14" s="447">
        <f t="shared" si="10"/>
        <v>556</v>
      </c>
      <c r="K14" s="448">
        <f t="shared" si="0"/>
        <v>14208.84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>
        <v>1</v>
      </c>
      <c r="D15" s="813">
        <f t="shared" si="2"/>
        <v>27.22</v>
      </c>
      <c r="E15" s="811">
        <v>44842</v>
      </c>
      <c r="F15" s="549">
        <f t="shared" si="3"/>
        <v>27.22</v>
      </c>
      <c r="G15" s="331" t="s">
        <v>445</v>
      </c>
      <c r="H15" s="332">
        <v>87</v>
      </c>
      <c r="I15" s="446">
        <f t="shared" si="4"/>
        <v>15104.579999999996</v>
      </c>
      <c r="J15" s="447">
        <f t="shared" si="10"/>
        <v>555</v>
      </c>
      <c r="K15" s="448">
        <f t="shared" si="0"/>
        <v>2368.14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>
        <v>5</v>
      </c>
      <c r="D16" s="813">
        <f t="shared" si="2"/>
        <v>136.1</v>
      </c>
      <c r="E16" s="811">
        <v>44842</v>
      </c>
      <c r="F16" s="549">
        <f t="shared" si="3"/>
        <v>136.1</v>
      </c>
      <c r="G16" s="331" t="s">
        <v>454</v>
      </c>
      <c r="H16" s="332">
        <v>87</v>
      </c>
      <c r="I16" s="446">
        <f t="shared" si="4"/>
        <v>14968.479999999996</v>
      </c>
      <c r="J16" s="447">
        <f t="shared" si="10"/>
        <v>550</v>
      </c>
      <c r="K16" s="448">
        <f t="shared" si="0"/>
        <v>11840.699999999999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>
        <v>36</v>
      </c>
      <c r="D17" s="813">
        <f t="shared" si="2"/>
        <v>979.92</v>
      </c>
      <c r="E17" s="811">
        <v>44842</v>
      </c>
      <c r="F17" s="549">
        <f t="shared" si="3"/>
        <v>979.92</v>
      </c>
      <c r="G17" s="331" t="s">
        <v>453</v>
      </c>
      <c r="H17" s="332">
        <v>87</v>
      </c>
      <c r="I17" s="446">
        <f t="shared" si="4"/>
        <v>13988.559999999996</v>
      </c>
      <c r="J17" s="447">
        <f t="shared" si="10"/>
        <v>514</v>
      </c>
      <c r="K17" s="448">
        <f t="shared" si="0"/>
        <v>85253.04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>
        <v>10</v>
      </c>
      <c r="D18" s="813">
        <f t="shared" si="2"/>
        <v>272.2</v>
      </c>
      <c r="E18" s="811">
        <v>44844</v>
      </c>
      <c r="F18" s="549">
        <f t="shared" si="3"/>
        <v>272.2</v>
      </c>
      <c r="G18" s="331" t="s">
        <v>462</v>
      </c>
      <c r="H18" s="332">
        <v>87</v>
      </c>
      <c r="I18" s="446">
        <f t="shared" si="4"/>
        <v>13716.359999999995</v>
      </c>
      <c r="J18" s="447">
        <f t="shared" si="10"/>
        <v>504</v>
      </c>
      <c r="K18" s="448">
        <f t="shared" si="0"/>
        <v>23681.399999999998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>
        <v>36</v>
      </c>
      <c r="D19" s="813">
        <f t="shared" si="2"/>
        <v>979.92</v>
      </c>
      <c r="E19" s="811">
        <v>44845</v>
      </c>
      <c r="F19" s="549">
        <f t="shared" si="3"/>
        <v>979.92</v>
      </c>
      <c r="G19" s="331" t="s">
        <v>464</v>
      </c>
      <c r="H19" s="332">
        <v>87</v>
      </c>
      <c r="I19" s="446">
        <f t="shared" si="4"/>
        <v>12736.439999999995</v>
      </c>
      <c r="J19" s="447">
        <f t="shared" si="10"/>
        <v>468</v>
      </c>
      <c r="K19" s="448">
        <f t="shared" si="0"/>
        <v>85253.04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>
        <v>1</v>
      </c>
      <c r="D20" s="813">
        <f t="shared" si="2"/>
        <v>27.22</v>
      </c>
      <c r="E20" s="811">
        <v>44846</v>
      </c>
      <c r="F20" s="549">
        <f t="shared" si="3"/>
        <v>27.22</v>
      </c>
      <c r="G20" s="331" t="s">
        <v>470</v>
      </c>
      <c r="H20" s="332">
        <v>87</v>
      </c>
      <c r="I20" s="446">
        <f t="shared" si="4"/>
        <v>12709.219999999996</v>
      </c>
      <c r="J20" s="447">
        <f t="shared" si="10"/>
        <v>467</v>
      </c>
      <c r="K20" s="448">
        <f t="shared" si="0"/>
        <v>2368.14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>
        <v>36</v>
      </c>
      <c r="D21" s="813">
        <f t="shared" si="2"/>
        <v>979.92</v>
      </c>
      <c r="E21" s="811">
        <v>44847</v>
      </c>
      <c r="F21" s="549">
        <f t="shared" si="3"/>
        <v>979.92</v>
      </c>
      <c r="G21" s="331" t="s">
        <v>484</v>
      </c>
      <c r="H21" s="332">
        <v>87</v>
      </c>
      <c r="I21" s="446">
        <f t="shared" si="4"/>
        <v>11729.299999999996</v>
      </c>
      <c r="J21" s="447">
        <f t="shared" si="10"/>
        <v>431</v>
      </c>
      <c r="K21" s="448">
        <f t="shared" si="0"/>
        <v>85253.04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>
        <v>1</v>
      </c>
      <c r="D22" s="813">
        <f t="shared" si="2"/>
        <v>27.22</v>
      </c>
      <c r="E22" s="811">
        <v>44849</v>
      </c>
      <c r="F22" s="549">
        <f t="shared" si="3"/>
        <v>27.22</v>
      </c>
      <c r="G22" s="331" t="s">
        <v>498</v>
      </c>
      <c r="H22" s="332">
        <v>91</v>
      </c>
      <c r="I22" s="446">
        <f t="shared" si="4"/>
        <v>11702.079999999996</v>
      </c>
      <c r="J22" s="447">
        <f t="shared" si="10"/>
        <v>430</v>
      </c>
      <c r="K22" s="448">
        <f t="shared" si="0"/>
        <v>2477.02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>
        <v>40</v>
      </c>
      <c r="D23" s="813">
        <f t="shared" si="2"/>
        <v>1088.8</v>
      </c>
      <c r="E23" s="811">
        <v>44849</v>
      </c>
      <c r="F23" s="549">
        <f t="shared" si="3"/>
        <v>1088.8</v>
      </c>
      <c r="G23" s="331" t="s">
        <v>499</v>
      </c>
      <c r="H23" s="332">
        <v>91</v>
      </c>
      <c r="I23" s="446">
        <f t="shared" si="4"/>
        <v>10613.279999999997</v>
      </c>
      <c r="J23" s="447">
        <f t="shared" si="10"/>
        <v>390</v>
      </c>
      <c r="K23" s="448">
        <f t="shared" si="0"/>
        <v>99080.8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>
        <v>5</v>
      </c>
      <c r="D24" s="813">
        <f t="shared" si="2"/>
        <v>136.1</v>
      </c>
      <c r="E24" s="811">
        <v>44849</v>
      </c>
      <c r="F24" s="549">
        <f t="shared" si="3"/>
        <v>136.1</v>
      </c>
      <c r="G24" s="331" t="s">
        <v>502</v>
      </c>
      <c r="H24" s="332">
        <v>91</v>
      </c>
      <c r="I24" s="446">
        <f t="shared" si="4"/>
        <v>10477.179999999997</v>
      </c>
      <c r="J24" s="447">
        <f t="shared" si="10"/>
        <v>385</v>
      </c>
      <c r="K24" s="448">
        <f t="shared" si="0"/>
        <v>12385.1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>
        <v>1</v>
      </c>
      <c r="D25" s="813">
        <f t="shared" si="2"/>
        <v>27.22</v>
      </c>
      <c r="E25" s="811">
        <v>44852</v>
      </c>
      <c r="F25" s="549">
        <f t="shared" si="3"/>
        <v>27.22</v>
      </c>
      <c r="G25" s="331" t="s">
        <v>509</v>
      </c>
      <c r="H25" s="332">
        <v>91</v>
      </c>
      <c r="I25" s="446">
        <f t="shared" si="4"/>
        <v>10449.959999999997</v>
      </c>
      <c r="J25" s="447">
        <f t="shared" si="10"/>
        <v>384</v>
      </c>
      <c r="K25" s="448">
        <f t="shared" si="0"/>
        <v>2477.02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>
        <v>2</v>
      </c>
      <c r="D26" s="813">
        <f t="shared" si="2"/>
        <v>54.44</v>
      </c>
      <c r="E26" s="811">
        <v>44852</v>
      </c>
      <c r="F26" s="549">
        <f t="shared" si="3"/>
        <v>54.44</v>
      </c>
      <c r="G26" s="331" t="s">
        <v>510</v>
      </c>
      <c r="H26" s="332">
        <v>91</v>
      </c>
      <c r="I26" s="446">
        <f t="shared" si="4"/>
        <v>10395.519999999997</v>
      </c>
      <c r="J26" s="447">
        <f t="shared" si="10"/>
        <v>382</v>
      </c>
      <c r="K26" s="448">
        <f t="shared" si="0"/>
        <v>4954.04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>
        <v>36</v>
      </c>
      <c r="D27" s="813">
        <f t="shared" si="2"/>
        <v>979.92</v>
      </c>
      <c r="E27" s="811">
        <v>44852</v>
      </c>
      <c r="F27" s="549">
        <f t="shared" si="3"/>
        <v>979.92</v>
      </c>
      <c r="G27" s="331" t="s">
        <v>512</v>
      </c>
      <c r="H27" s="332">
        <v>91</v>
      </c>
      <c r="I27" s="446">
        <f t="shared" si="4"/>
        <v>9415.5999999999967</v>
      </c>
      <c r="J27" s="447">
        <f t="shared" si="10"/>
        <v>346</v>
      </c>
      <c r="K27" s="448">
        <f t="shared" si="0"/>
        <v>89172.72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>
        <v>1</v>
      </c>
      <c r="D28" s="813">
        <f t="shared" si="2"/>
        <v>27.22</v>
      </c>
      <c r="E28" s="811">
        <v>44853</v>
      </c>
      <c r="F28" s="549">
        <f t="shared" si="3"/>
        <v>27.22</v>
      </c>
      <c r="G28" s="331" t="s">
        <v>515</v>
      </c>
      <c r="H28" s="332">
        <v>91</v>
      </c>
      <c r="I28" s="446">
        <f t="shared" si="4"/>
        <v>9388.3799999999974</v>
      </c>
      <c r="J28" s="447">
        <f t="shared" si="10"/>
        <v>345</v>
      </c>
      <c r="K28" s="448">
        <f t="shared" si="0"/>
        <v>2477.02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>
        <v>5</v>
      </c>
      <c r="D29" s="813">
        <f t="shared" si="2"/>
        <v>136.1</v>
      </c>
      <c r="E29" s="811">
        <v>44853</v>
      </c>
      <c r="F29" s="549">
        <f t="shared" si="3"/>
        <v>136.1</v>
      </c>
      <c r="G29" s="331" t="s">
        <v>516</v>
      </c>
      <c r="H29" s="332">
        <v>91</v>
      </c>
      <c r="I29" s="446">
        <f t="shared" si="4"/>
        <v>9252.279999999997</v>
      </c>
      <c r="J29" s="447">
        <f t="shared" si="10"/>
        <v>340</v>
      </c>
      <c r="K29" s="448">
        <f t="shared" si="0"/>
        <v>12385.1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>
        <v>10</v>
      </c>
      <c r="D30" s="813">
        <f t="shared" si="2"/>
        <v>272.2</v>
      </c>
      <c r="E30" s="811">
        <v>44854</v>
      </c>
      <c r="F30" s="549">
        <f t="shared" si="3"/>
        <v>272.2</v>
      </c>
      <c r="G30" s="331" t="s">
        <v>527</v>
      </c>
      <c r="H30" s="332">
        <v>91</v>
      </c>
      <c r="I30" s="446">
        <f t="shared" si="4"/>
        <v>8980.0799999999963</v>
      </c>
      <c r="J30" s="447">
        <f t="shared" si="10"/>
        <v>330</v>
      </c>
      <c r="K30" s="448">
        <f t="shared" si="0"/>
        <v>24770.2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>
        <v>36</v>
      </c>
      <c r="D31" s="813">
        <f t="shared" si="2"/>
        <v>979.92</v>
      </c>
      <c r="E31" s="811">
        <v>44854</v>
      </c>
      <c r="F31" s="549">
        <f t="shared" si="3"/>
        <v>979.92</v>
      </c>
      <c r="G31" s="331" t="s">
        <v>528</v>
      </c>
      <c r="H31" s="332">
        <v>91</v>
      </c>
      <c r="I31" s="446">
        <f t="shared" si="4"/>
        <v>8000.1599999999962</v>
      </c>
      <c r="J31" s="447">
        <f t="shared" si="10"/>
        <v>294</v>
      </c>
      <c r="K31" s="448">
        <f t="shared" si="0"/>
        <v>89172.72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>
        <v>24</v>
      </c>
      <c r="D32" s="813">
        <f t="shared" si="2"/>
        <v>653.28</v>
      </c>
      <c r="E32" s="811">
        <v>44855</v>
      </c>
      <c r="F32" s="549">
        <f t="shared" si="3"/>
        <v>653.28</v>
      </c>
      <c r="G32" s="331" t="s">
        <v>534</v>
      </c>
      <c r="H32" s="332">
        <v>91</v>
      </c>
      <c r="I32" s="446">
        <f t="shared" si="4"/>
        <v>7346.8799999999965</v>
      </c>
      <c r="J32" s="447">
        <f t="shared" si="10"/>
        <v>270</v>
      </c>
      <c r="K32" s="448">
        <f t="shared" si="0"/>
        <v>59448.479999999996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>
        <v>15</v>
      </c>
      <c r="D33" s="813">
        <f t="shared" si="2"/>
        <v>408.29999999999995</v>
      </c>
      <c r="E33" s="811">
        <v>44856</v>
      </c>
      <c r="F33" s="549">
        <f t="shared" si="3"/>
        <v>408.29999999999995</v>
      </c>
      <c r="G33" s="331" t="s">
        <v>539</v>
      </c>
      <c r="H33" s="332">
        <v>91</v>
      </c>
      <c r="I33" s="446">
        <f t="shared" si="4"/>
        <v>6938.5799999999963</v>
      </c>
      <c r="J33" s="447">
        <f t="shared" si="10"/>
        <v>255</v>
      </c>
      <c r="K33" s="448">
        <f t="shared" si="0"/>
        <v>37155.299999999996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>
        <v>36</v>
      </c>
      <c r="D34" s="813">
        <f t="shared" si="2"/>
        <v>979.92</v>
      </c>
      <c r="E34" s="811">
        <v>44856</v>
      </c>
      <c r="F34" s="549">
        <f t="shared" si="3"/>
        <v>979.92</v>
      </c>
      <c r="G34" s="331" t="s">
        <v>542</v>
      </c>
      <c r="H34" s="332">
        <v>91</v>
      </c>
      <c r="I34" s="446">
        <f t="shared" si="4"/>
        <v>5958.6599999999962</v>
      </c>
      <c r="J34" s="447">
        <f t="shared" si="10"/>
        <v>219</v>
      </c>
      <c r="K34" s="448">
        <f t="shared" si="0"/>
        <v>89172.72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>
        <v>2</v>
      </c>
      <c r="D35" s="813">
        <f t="shared" si="2"/>
        <v>54.44</v>
      </c>
      <c r="E35" s="811">
        <v>44860</v>
      </c>
      <c r="F35" s="549">
        <f t="shared" si="3"/>
        <v>54.44</v>
      </c>
      <c r="G35" s="331" t="s">
        <v>557</v>
      </c>
      <c r="H35" s="332">
        <v>91</v>
      </c>
      <c r="I35" s="446">
        <f t="shared" si="4"/>
        <v>5904.2199999999966</v>
      </c>
      <c r="J35" s="447">
        <f t="shared" si="10"/>
        <v>217</v>
      </c>
      <c r="K35" s="448">
        <f t="shared" si="0"/>
        <v>4954.04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>
        <v>1</v>
      </c>
      <c r="D36" s="813">
        <f t="shared" si="2"/>
        <v>27.22</v>
      </c>
      <c r="E36" s="811">
        <v>44860</v>
      </c>
      <c r="F36" s="549">
        <f t="shared" si="3"/>
        <v>27.22</v>
      </c>
      <c r="G36" s="331" t="s">
        <v>560</v>
      </c>
      <c r="H36" s="332">
        <v>91</v>
      </c>
      <c r="I36" s="446">
        <f t="shared" si="4"/>
        <v>5876.9999999999964</v>
      </c>
      <c r="J36" s="447">
        <f t="shared" si="10"/>
        <v>216</v>
      </c>
      <c r="K36" s="448">
        <f t="shared" si="0"/>
        <v>2477.02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>
        <v>1</v>
      </c>
      <c r="D37" s="549">
        <f t="shared" si="2"/>
        <v>27.22</v>
      </c>
      <c r="E37" s="590">
        <v>44860</v>
      </c>
      <c r="F37" s="549">
        <f t="shared" si="3"/>
        <v>27.22</v>
      </c>
      <c r="G37" s="331" t="s">
        <v>561</v>
      </c>
      <c r="H37" s="332">
        <v>91</v>
      </c>
      <c r="I37" s="446">
        <f t="shared" si="4"/>
        <v>5849.7799999999961</v>
      </c>
      <c r="J37" s="447">
        <f t="shared" si="10"/>
        <v>215</v>
      </c>
      <c r="K37" s="448">
        <f t="shared" si="0"/>
        <v>2477.02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>
        <v>3</v>
      </c>
      <c r="D38" s="549">
        <f t="shared" si="2"/>
        <v>81.66</v>
      </c>
      <c r="E38" s="590">
        <v>44860</v>
      </c>
      <c r="F38" s="549">
        <f t="shared" si="3"/>
        <v>81.66</v>
      </c>
      <c r="G38" s="331" t="s">
        <v>562</v>
      </c>
      <c r="H38" s="332">
        <v>91</v>
      </c>
      <c r="I38" s="446">
        <f t="shared" si="4"/>
        <v>5768.1199999999963</v>
      </c>
      <c r="J38" s="447">
        <f t="shared" si="10"/>
        <v>212</v>
      </c>
      <c r="K38" s="448">
        <f t="shared" si="0"/>
        <v>7431.0599999999995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>
        <v>24</v>
      </c>
      <c r="D39" s="549">
        <f t="shared" si="2"/>
        <v>653.28</v>
      </c>
      <c r="E39" s="590">
        <v>44860</v>
      </c>
      <c r="F39" s="549">
        <f t="shared" si="3"/>
        <v>653.28</v>
      </c>
      <c r="G39" s="331" t="s">
        <v>563</v>
      </c>
      <c r="H39" s="332">
        <v>91</v>
      </c>
      <c r="I39" s="446">
        <f t="shared" si="4"/>
        <v>5114.8399999999965</v>
      </c>
      <c r="J39" s="447">
        <f t="shared" si="10"/>
        <v>188</v>
      </c>
      <c r="K39" s="448">
        <f t="shared" si="0"/>
        <v>59448.479999999996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>
        <v>36</v>
      </c>
      <c r="D40" s="549">
        <f t="shared" si="2"/>
        <v>979.92</v>
      </c>
      <c r="E40" s="590">
        <v>44861</v>
      </c>
      <c r="F40" s="549">
        <f t="shared" si="3"/>
        <v>979.92</v>
      </c>
      <c r="G40" s="331" t="s">
        <v>570</v>
      </c>
      <c r="H40" s="332">
        <v>91</v>
      </c>
      <c r="I40" s="446">
        <f t="shared" si="4"/>
        <v>4134.9199999999964</v>
      </c>
      <c r="J40" s="447">
        <f t="shared" si="10"/>
        <v>152</v>
      </c>
      <c r="K40" s="448">
        <f t="shared" si="0"/>
        <v>89172.72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>
        <v>15</v>
      </c>
      <c r="D41" s="549">
        <f t="shared" si="2"/>
        <v>408.29999999999995</v>
      </c>
      <c r="E41" s="590">
        <v>44863</v>
      </c>
      <c r="F41" s="549">
        <f t="shared" si="3"/>
        <v>408.29999999999995</v>
      </c>
      <c r="G41" s="331" t="s">
        <v>578</v>
      </c>
      <c r="H41" s="332">
        <v>91</v>
      </c>
      <c r="I41" s="446">
        <f t="shared" si="4"/>
        <v>3726.6199999999963</v>
      </c>
      <c r="J41" s="447">
        <f t="shared" si="10"/>
        <v>137</v>
      </c>
      <c r="K41" s="448">
        <f t="shared" si="0"/>
        <v>37155.299999999996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>
        <v>40</v>
      </c>
      <c r="D42" s="549">
        <f t="shared" si="2"/>
        <v>1088.8</v>
      </c>
      <c r="E42" s="590">
        <v>44863</v>
      </c>
      <c r="F42" s="549">
        <f t="shared" si="3"/>
        <v>1088.8</v>
      </c>
      <c r="G42" s="331" t="s">
        <v>580</v>
      </c>
      <c r="H42" s="332">
        <v>91</v>
      </c>
      <c r="I42" s="446">
        <f t="shared" si="4"/>
        <v>2637.8199999999961</v>
      </c>
      <c r="J42" s="447">
        <f t="shared" si="10"/>
        <v>97</v>
      </c>
      <c r="K42" s="448">
        <f t="shared" si="0"/>
        <v>99080.8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2637.8199999999961</v>
      </c>
      <c r="J43" s="447">
        <f t="shared" si="10"/>
        <v>97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2637.8199999999961</v>
      </c>
      <c r="J44" s="447">
        <f t="shared" si="10"/>
        <v>97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2637.8199999999961</v>
      </c>
      <c r="J45" s="447">
        <f t="shared" si="10"/>
        <v>97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2637.8199999999961</v>
      </c>
      <c r="J46" s="447">
        <f t="shared" si="10"/>
        <v>97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2637.8199999999961</v>
      </c>
      <c r="J47" s="447">
        <f t="shared" si="10"/>
        <v>97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2637.8199999999961</v>
      </c>
      <c r="J48" s="447">
        <f t="shared" si="10"/>
        <v>97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2637.8199999999961</v>
      </c>
      <c r="J49" s="447">
        <f t="shared" si="10"/>
        <v>97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2637.8199999999961</v>
      </c>
      <c r="J50" s="447">
        <f t="shared" si="10"/>
        <v>97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2637.8199999999961</v>
      </c>
      <c r="J51" s="447">
        <f t="shared" si="10"/>
        <v>97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2637.8199999999961</v>
      </c>
      <c r="J52" s="447">
        <f t="shared" si="10"/>
        <v>97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2637.8199999999961</v>
      </c>
      <c r="J53" s="447">
        <f t="shared" si="10"/>
        <v>97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2637.8199999999961</v>
      </c>
      <c r="J54" s="447">
        <f t="shared" si="10"/>
        <v>97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2637.8199999999961</v>
      </c>
      <c r="J55" s="447">
        <f t="shared" si="10"/>
        <v>97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2637.8199999999961</v>
      </c>
      <c r="J56" s="447">
        <f t="shared" si="10"/>
        <v>97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2637.8199999999961</v>
      </c>
      <c r="J57" s="447">
        <f t="shared" si="10"/>
        <v>97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2637.8199999999961</v>
      </c>
      <c r="J58" s="447">
        <f t="shared" si="10"/>
        <v>97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2637.8199999999961</v>
      </c>
      <c r="J59" s="447">
        <f t="shared" si="10"/>
        <v>97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2637.8199999999961</v>
      </c>
      <c r="J60" s="447">
        <f t="shared" si="10"/>
        <v>97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2637.8199999999961</v>
      </c>
      <c r="J61" s="447">
        <f t="shared" si="10"/>
        <v>97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2637.8199999999961</v>
      </c>
      <c r="J62" s="447">
        <f t="shared" si="10"/>
        <v>97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2637.8199999999961</v>
      </c>
      <c r="J63" s="447">
        <f t="shared" si="10"/>
        <v>97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2637.8199999999961</v>
      </c>
      <c r="J64" s="447">
        <f t="shared" si="10"/>
        <v>97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2637.8199999999961</v>
      </c>
      <c r="J65" s="447">
        <f t="shared" si="10"/>
        <v>97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2637.8199999999961</v>
      </c>
      <c r="J66" s="447">
        <f t="shared" si="10"/>
        <v>97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2637.8199999999961</v>
      </c>
      <c r="J67" s="447">
        <f t="shared" si="10"/>
        <v>97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2637.8199999999961</v>
      </c>
      <c r="J68" s="447">
        <f t="shared" si="10"/>
        <v>97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2637.8199999999961</v>
      </c>
      <c r="J69" s="447">
        <f t="shared" si="10"/>
        <v>97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2637.8199999999961</v>
      </c>
      <c r="J70" s="447">
        <f t="shared" si="10"/>
        <v>97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2637.8199999999961</v>
      </c>
      <c r="J71" s="447">
        <f t="shared" si="10"/>
        <v>97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2637.8199999999961</v>
      </c>
      <c r="J72" s="447">
        <f t="shared" si="10"/>
        <v>97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2637.8199999999961</v>
      </c>
      <c r="J73" s="447">
        <f t="shared" si="10"/>
        <v>97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2637.8199999999961</v>
      </c>
      <c r="J74" s="447">
        <f t="shared" si="10"/>
        <v>97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2637.8199999999961</v>
      </c>
      <c r="J75" s="447">
        <f t="shared" si="10"/>
        <v>97</v>
      </c>
      <c r="K75" s="448">
        <f t="shared" si="14"/>
        <v>0</v>
      </c>
      <c r="N75">
        <v>27.22</v>
      </c>
      <c r="O75" s="15"/>
      <c r="P75" s="69">
        <f t="shared" ref="P75:P114" si="17">O75*N75</f>
        <v>0</v>
      </c>
      <c r="Q75" s="247"/>
      <c r="R75" s="69">
        <f t="shared" ref="R75:R114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2637.8199999999961</v>
      </c>
      <c r="J76" s="447">
        <f t="shared" si="10"/>
        <v>97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2637.8199999999961</v>
      </c>
      <c r="J77" s="447">
        <f t="shared" ref="J77:J113" si="20">J76-C77</f>
        <v>97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2637.8199999999961</v>
      </c>
      <c r="J78" s="447">
        <f t="shared" si="20"/>
        <v>97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2637.8199999999961</v>
      </c>
      <c r="J79" s="447">
        <f t="shared" si="20"/>
        <v>97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2637.8199999999961</v>
      </c>
      <c r="J80" s="447">
        <f t="shared" si="20"/>
        <v>97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2637.8199999999961</v>
      </c>
      <c r="J81" s="447">
        <f t="shared" si="20"/>
        <v>97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2637.8199999999961</v>
      </c>
      <c r="J82" s="447">
        <f t="shared" si="20"/>
        <v>97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2637.8199999999961</v>
      </c>
      <c r="J83" s="447">
        <f t="shared" si="20"/>
        <v>97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2637.8199999999961</v>
      </c>
      <c r="J84" s="447">
        <f t="shared" si="20"/>
        <v>97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2637.8199999999961</v>
      </c>
      <c r="J85" s="447">
        <f t="shared" si="20"/>
        <v>97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2637.8199999999961</v>
      </c>
      <c r="J86" s="447">
        <f t="shared" si="20"/>
        <v>97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2637.8199999999961</v>
      </c>
      <c r="J87" s="447">
        <f t="shared" si="20"/>
        <v>97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2637.8199999999961</v>
      </c>
      <c r="J88" s="447">
        <f t="shared" si="20"/>
        <v>97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2637.8199999999961</v>
      </c>
      <c r="J89" s="447">
        <f t="shared" si="20"/>
        <v>97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2637.8199999999961</v>
      </c>
      <c r="J90" s="447">
        <f t="shared" si="20"/>
        <v>97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2637.8199999999961</v>
      </c>
      <c r="J91" s="447">
        <f t="shared" si="20"/>
        <v>97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2637.8199999999961</v>
      </c>
      <c r="J92" s="447">
        <f t="shared" si="20"/>
        <v>97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2637.8199999999961</v>
      </c>
      <c r="J93" s="447">
        <f t="shared" si="20"/>
        <v>97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2637.8199999999961</v>
      </c>
      <c r="J94" s="447">
        <f t="shared" si="20"/>
        <v>97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2637.8199999999961</v>
      </c>
      <c r="J95" s="447">
        <f t="shared" si="20"/>
        <v>97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2637.8199999999961</v>
      </c>
      <c r="J96" s="447">
        <f t="shared" si="20"/>
        <v>97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2637.8199999999961</v>
      </c>
      <c r="J97" s="447">
        <f t="shared" si="20"/>
        <v>97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2637.8199999999961</v>
      </c>
      <c r="J98" s="447">
        <f t="shared" si="20"/>
        <v>97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2637.8199999999961</v>
      </c>
      <c r="J99" s="447">
        <f t="shared" si="20"/>
        <v>97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2637.8199999999961</v>
      </c>
      <c r="J100" s="447">
        <f t="shared" si="20"/>
        <v>97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2637.8199999999961</v>
      </c>
      <c r="J101" s="447">
        <f t="shared" si="20"/>
        <v>97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2637.8199999999961</v>
      </c>
      <c r="J102" s="447">
        <f t="shared" si="20"/>
        <v>97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2637.8199999999961</v>
      </c>
      <c r="J103" s="447">
        <f t="shared" si="20"/>
        <v>97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2637.8199999999961</v>
      </c>
      <c r="J104" s="447">
        <f t="shared" si="20"/>
        <v>97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2637.8199999999961</v>
      </c>
      <c r="J105" s="447">
        <f t="shared" si="20"/>
        <v>97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2637.8199999999961</v>
      </c>
      <c r="J106" s="447">
        <f t="shared" si="20"/>
        <v>97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2637.8199999999961</v>
      </c>
      <c r="J107" s="447">
        <f t="shared" si="20"/>
        <v>97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2637.8199999999961</v>
      </c>
      <c r="J108" s="447">
        <f t="shared" si="20"/>
        <v>97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2637.8199999999961</v>
      </c>
      <c r="J109" s="447">
        <f t="shared" si="20"/>
        <v>97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2637.8199999999961</v>
      </c>
      <c r="J110" s="447">
        <f t="shared" si="20"/>
        <v>97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2637.8199999999961</v>
      </c>
      <c r="J111" s="447">
        <f t="shared" si="20"/>
        <v>97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2637.8199999999961</v>
      </c>
      <c r="J112" s="447">
        <f t="shared" si="20"/>
        <v>97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2637.8199999999961</v>
      </c>
      <c r="J113" s="447">
        <f t="shared" si="20"/>
        <v>97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5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5"/>
      <c r="U114" s="24"/>
      <c r="V114" s="24"/>
      <c r="W114" s="199">
        <f t="shared" si="15"/>
        <v>0</v>
      </c>
    </row>
    <row r="115" spans="1:23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1072" t="s">
        <v>11</v>
      </c>
      <c r="D120" s="1073"/>
      <c r="E120" s="57">
        <f>E4+E5+E6-F115</f>
        <v>2640.3399999999983</v>
      </c>
      <c r="G120" s="47"/>
      <c r="H120" s="91"/>
      <c r="O120" s="1072" t="s">
        <v>11</v>
      </c>
      <c r="P120" s="1073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D25" sqref="D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0" t="s">
        <v>267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thickBot="1" x14ac:dyDescent="0.3">
      <c r="A5" s="1078" t="s">
        <v>164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</row>
    <row r="6" spans="1:9" ht="15" customHeight="1" x14ac:dyDescent="0.25">
      <c r="A6" s="1078"/>
      <c r="B6" s="588" t="s">
        <v>68</v>
      </c>
      <c r="C6" s="1102" t="s">
        <v>590</v>
      </c>
      <c r="D6" s="1103"/>
      <c r="E6" s="1104"/>
      <c r="F6" s="62">
        <v>1</v>
      </c>
    </row>
    <row r="7" spans="1:9" ht="15.75" thickBot="1" x14ac:dyDescent="0.3">
      <c r="B7" s="73"/>
      <c r="C7" s="1105"/>
      <c r="D7" s="1106"/>
      <c r="E7" s="1107"/>
      <c r="F7" s="73"/>
    </row>
    <row r="8" spans="1:9" ht="16.5" thickTop="1" thickBot="1" x14ac:dyDescent="0.3">
      <c r="B8" s="64" t="s">
        <v>7</v>
      </c>
      <c r="C8" s="998" t="s">
        <v>8</v>
      </c>
      <c r="D8" s="999" t="s">
        <v>3</v>
      </c>
      <c r="E8" s="1000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425">
        <f>F4+F5+F6+F7-C9</f>
        <v>43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252</v>
      </c>
      <c r="H9" s="71">
        <v>148</v>
      </c>
      <c r="I9" s="997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>
        <v>1</v>
      </c>
      <c r="D10" s="549">
        <v>17.809999999999999</v>
      </c>
      <c r="E10" s="590">
        <v>44837</v>
      </c>
      <c r="F10" s="549">
        <f t="shared" si="0"/>
        <v>17.809999999999999</v>
      </c>
      <c r="G10" s="331" t="s">
        <v>411</v>
      </c>
      <c r="H10" s="332">
        <v>148</v>
      </c>
      <c r="I10" s="78">
        <f t="shared" ref="I10:I52" si="2">I9-F10</f>
        <v>863.68000000000006</v>
      </c>
    </row>
    <row r="11" spans="1:9" x14ac:dyDescent="0.25">
      <c r="A11" s="12"/>
      <c r="B11" s="183">
        <f t="shared" si="1"/>
        <v>34</v>
      </c>
      <c r="C11" s="53">
        <v>8</v>
      </c>
      <c r="D11" s="549">
        <v>163.62</v>
      </c>
      <c r="E11" s="590">
        <v>44837</v>
      </c>
      <c r="F11" s="549">
        <f t="shared" si="0"/>
        <v>163.62</v>
      </c>
      <c r="G11" s="331" t="s">
        <v>414</v>
      </c>
      <c r="H11" s="332">
        <v>148</v>
      </c>
      <c r="I11" s="78">
        <f t="shared" si="2"/>
        <v>700.06000000000006</v>
      </c>
    </row>
    <row r="12" spans="1:9" x14ac:dyDescent="0.25">
      <c r="A12" s="55" t="s">
        <v>33</v>
      </c>
      <c r="B12" s="183">
        <f t="shared" si="1"/>
        <v>32</v>
      </c>
      <c r="C12" s="53">
        <v>2</v>
      </c>
      <c r="D12" s="549">
        <v>39.270000000000003</v>
      </c>
      <c r="E12" s="590">
        <v>44839</v>
      </c>
      <c r="F12" s="549">
        <f t="shared" si="0"/>
        <v>39.270000000000003</v>
      </c>
      <c r="G12" s="331" t="s">
        <v>427</v>
      </c>
      <c r="H12" s="332">
        <v>148</v>
      </c>
      <c r="I12" s="78">
        <f t="shared" si="2"/>
        <v>660.79000000000008</v>
      </c>
    </row>
    <row r="13" spans="1:9" x14ac:dyDescent="0.25">
      <c r="A13" s="77"/>
      <c r="B13" s="183">
        <f t="shared" si="1"/>
        <v>31</v>
      </c>
      <c r="C13" s="53">
        <v>1</v>
      </c>
      <c r="D13" s="549">
        <v>17.87</v>
      </c>
      <c r="E13" s="590">
        <v>44844</v>
      </c>
      <c r="F13" s="549">
        <f t="shared" si="0"/>
        <v>17.87</v>
      </c>
      <c r="G13" s="331" t="s">
        <v>462</v>
      </c>
      <c r="H13" s="332">
        <v>148</v>
      </c>
      <c r="I13" s="78">
        <f t="shared" si="2"/>
        <v>642.92000000000007</v>
      </c>
    </row>
    <row r="14" spans="1:9" x14ac:dyDescent="0.25">
      <c r="A14" s="12"/>
      <c r="B14" s="183">
        <f t="shared" si="1"/>
        <v>23</v>
      </c>
      <c r="C14" s="53">
        <v>8</v>
      </c>
      <c r="D14" s="549">
        <v>166.53</v>
      </c>
      <c r="E14" s="590">
        <v>44847</v>
      </c>
      <c r="F14" s="549">
        <f t="shared" si="0"/>
        <v>166.53</v>
      </c>
      <c r="G14" s="331" t="s">
        <v>484</v>
      </c>
      <c r="H14" s="332">
        <v>148</v>
      </c>
      <c r="I14" s="78">
        <f t="shared" si="2"/>
        <v>476.3900000000001</v>
      </c>
    </row>
    <row r="15" spans="1:9" x14ac:dyDescent="0.25">
      <c r="B15" s="183">
        <f t="shared" si="1"/>
        <v>22</v>
      </c>
      <c r="C15" s="53">
        <v>1</v>
      </c>
      <c r="D15" s="549">
        <v>19.489999999999998</v>
      </c>
      <c r="E15" s="590">
        <v>44848</v>
      </c>
      <c r="F15" s="549">
        <f t="shared" si="0"/>
        <v>19.489999999999998</v>
      </c>
      <c r="G15" s="331" t="s">
        <v>436</v>
      </c>
      <c r="H15" s="332">
        <v>148</v>
      </c>
      <c r="I15" s="78">
        <f t="shared" si="2"/>
        <v>456.90000000000009</v>
      </c>
    </row>
    <row r="16" spans="1:9" x14ac:dyDescent="0.25">
      <c r="B16" s="183">
        <f t="shared" si="1"/>
        <v>17</v>
      </c>
      <c r="C16" s="53">
        <v>5</v>
      </c>
      <c r="D16" s="549">
        <v>97.69</v>
      </c>
      <c r="E16" s="590">
        <v>44849</v>
      </c>
      <c r="F16" s="549">
        <f t="shared" si="0"/>
        <v>97.69</v>
      </c>
      <c r="G16" s="331" t="s">
        <v>498</v>
      </c>
      <c r="H16" s="332">
        <v>148</v>
      </c>
      <c r="I16" s="78">
        <f t="shared" si="2"/>
        <v>359.21000000000009</v>
      </c>
    </row>
    <row r="17" spans="2:9" x14ac:dyDescent="0.25">
      <c r="B17" s="183">
        <f t="shared" si="1"/>
        <v>16</v>
      </c>
      <c r="C17" s="53">
        <v>1</v>
      </c>
      <c r="D17" s="549">
        <v>20.68</v>
      </c>
      <c r="E17" s="590">
        <v>44855</v>
      </c>
      <c r="F17" s="549">
        <f t="shared" si="0"/>
        <v>20.68</v>
      </c>
      <c r="G17" s="331" t="s">
        <v>535</v>
      </c>
      <c r="H17" s="332">
        <v>148</v>
      </c>
      <c r="I17" s="78">
        <f t="shared" si="2"/>
        <v>338.53000000000009</v>
      </c>
    </row>
    <row r="18" spans="2:9" x14ac:dyDescent="0.25">
      <c r="B18" s="183">
        <f t="shared" si="1"/>
        <v>15</v>
      </c>
      <c r="C18" s="53">
        <v>1</v>
      </c>
      <c r="D18" s="549">
        <v>23.18</v>
      </c>
      <c r="E18" s="590">
        <v>44858</v>
      </c>
      <c r="F18" s="549">
        <f t="shared" si="0"/>
        <v>23.18</v>
      </c>
      <c r="G18" s="331" t="s">
        <v>545</v>
      </c>
      <c r="H18" s="332">
        <v>148</v>
      </c>
      <c r="I18" s="78">
        <f t="shared" si="2"/>
        <v>315.35000000000008</v>
      </c>
    </row>
    <row r="19" spans="2:9" x14ac:dyDescent="0.25">
      <c r="B19" s="183">
        <f t="shared" si="1"/>
        <v>11</v>
      </c>
      <c r="C19" s="53">
        <v>4</v>
      </c>
      <c r="D19" s="549">
        <v>78.67</v>
      </c>
      <c r="E19" s="590">
        <v>44860</v>
      </c>
      <c r="F19" s="549">
        <f t="shared" si="0"/>
        <v>78.67</v>
      </c>
      <c r="G19" s="331" t="s">
        <v>556</v>
      </c>
      <c r="H19" s="332">
        <v>148</v>
      </c>
      <c r="I19" s="78">
        <f t="shared" si="2"/>
        <v>236.68000000000006</v>
      </c>
    </row>
    <row r="20" spans="2:9" x14ac:dyDescent="0.25">
      <c r="B20" s="183">
        <f t="shared" si="1"/>
        <v>3</v>
      </c>
      <c r="C20" s="53">
        <v>8</v>
      </c>
      <c r="D20" s="549">
        <v>173.41</v>
      </c>
      <c r="E20" s="590">
        <v>44862</v>
      </c>
      <c r="F20" s="549">
        <f t="shared" si="0"/>
        <v>173.41</v>
      </c>
      <c r="G20" s="331" t="s">
        <v>573</v>
      </c>
      <c r="H20" s="332">
        <v>148</v>
      </c>
      <c r="I20" s="78">
        <f t="shared" si="2"/>
        <v>63.270000000000067</v>
      </c>
    </row>
    <row r="21" spans="2:9" x14ac:dyDescent="0.25">
      <c r="B21" s="183">
        <f t="shared" si="1"/>
        <v>3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63.270000000000067</v>
      </c>
    </row>
    <row r="22" spans="2:9" x14ac:dyDescent="0.25">
      <c r="B22" s="183">
        <f t="shared" si="1"/>
        <v>3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63.270000000000067</v>
      </c>
    </row>
    <row r="23" spans="2:9" x14ac:dyDescent="0.25">
      <c r="B23" s="183">
        <f t="shared" si="1"/>
        <v>3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63.270000000000067</v>
      </c>
    </row>
    <row r="24" spans="2:9" x14ac:dyDescent="0.25">
      <c r="B24" s="183">
        <f t="shared" si="1"/>
        <v>3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63.270000000000067</v>
      </c>
    </row>
    <row r="25" spans="2:9" x14ac:dyDescent="0.25">
      <c r="B25" s="183">
        <f t="shared" si="1"/>
        <v>3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63.270000000000067</v>
      </c>
    </row>
    <row r="26" spans="2:9" x14ac:dyDescent="0.25">
      <c r="B26" s="183">
        <f t="shared" si="1"/>
        <v>3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63.270000000000067</v>
      </c>
    </row>
    <row r="27" spans="2:9" x14ac:dyDescent="0.25">
      <c r="B27" s="183">
        <f t="shared" si="1"/>
        <v>3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63.270000000000067</v>
      </c>
    </row>
    <row r="28" spans="2:9" x14ac:dyDescent="0.25">
      <c r="B28" s="183">
        <f t="shared" si="1"/>
        <v>3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63.270000000000067</v>
      </c>
    </row>
    <row r="29" spans="2:9" x14ac:dyDescent="0.25">
      <c r="B29" s="183">
        <f t="shared" si="1"/>
        <v>3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63.270000000000067</v>
      </c>
    </row>
    <row r="30" spans="2:9" x14ac:dyDescent="0.25">
      <c r="B30" s="183">
        <f t="shared" si="1"/>
        <v>3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63.270000000000067</v>
      </c>
    </row>
    <row r="31" spans="2:9" x14ac:dyDescent="0.25">
      <c r="B31" s="183">
        <f t="shared" si="1"/>
        <v>3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63.270000000000067</v>
      </c>
    </row>
    <row r="32" spans="2:9" x14ac:dyDescent="0.25">
      <c r="B32" s="183">
        <f t="shared" si="1"/>
        <v>3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63.270000000000067</v>
      </c>
    </row>
    <row r="33" spans="2:9" x14ac:dyDescent="0.25">
      <c r="B33" s="183">
        <f t="shared" si="1"/>
        <v>3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63.270000000000067</v>
      </c>
    </row>
    <row r="34" spans="2:9" x14ac:dyDescent="0.25">
      <c r="B34" s="183">
        <f t="shared" si="1"/>
        <v>3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63.270000000000067</v>
      </c>
    </row>
    <row r="35" spans="2:9" x14ac:dyDescent="0.25">
      <c r="B35" s="183">
        <f t="shared" si="1"/>
        <v>3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63.270000000000067</v>
      </c>
    </row>
    <row r="36" spans="2:9" x14ac:dyDescent="0.25">
      <c r="B36" s="183">
        <f t="shared" si="1"/>
        <v>3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63.270000000000067</v>
      </c>
    </row>
    <row r="37" spans="2:9" x14ac:dyDescent="0.25">
      <c r="B37" s="183">
        <f t="shared" si="1"/>
        <v>3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63.270000000000067</v>
      </c>
    </row>
    <row r="38" spans="2:9" x14ac:dyDescent="0.25">
      <c r="B38" s="183">
        <f t="shared" si="1"/>
        <v>3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63.270000000000067</v>
      </c>
    </row>
    <row r="39" spans="2:9" x14ac:dyDescent="0.25">
      <c r="B39" s="183">
        <f t="shared" si="1"/>
        <v>3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63.270000000000067</v>
      </c>
    </row>
    <row r="40" spans="2:9" x14ac:dyDescent="0.25">
      <c r="B40" s="183">
        <f t="shared" si="1"/>
        <v>3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63.270000000000067</v>
      </c>
    </row>
    <row r="41" spans="2:9" x14ac:dyDescent="0.25">
      <c r="B41" s="183">
        <f t="shared" si="1"/>
        <v>3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63.270000000000067</v>
      </c>
    </row>
    <row r="42" spans="2:9" x14ac:dyDescent="0.25">
      <c r="B42" s="183">
        <f t="shared" si="1"/>
        <v>3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63.270000000000067</v>
      </c>
    </row>
    <row r="43" spans="2:9" x14ac:dyDescent="0.25">
      <c r="B43" s="183">
        <f t="shared" si="1"/>
        <v>3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63.270000000000067</v>
      </c>
    </row>
    <row r="44" spans="2:9" x14ac:dyDescent="0.25">
      <c r="B44" s="183">
        <f t="shared" si="1"/>
        <v>3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63.270000000000067</v>
      </c>
    </row>
    <row r="45" spans="2:9" x14ac:dyDescent="0.25">
      <c r="B45" s="183">
        <f t="shared" si="1"/>
        <v>3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63.270000000000067</v>
      </c>
    </row>
    <row r="46" spans="2:9" x14ac:dyDescent="0.25">
      <c r="B46" s="183">
        <f t="shared" si="1"/>
        <v>3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63.270000000000067</v>
      </c>
    </row>
    <row r="47" spans="2:9" x14ac:dyDescent="0.25">
      <c r="B47" s="183">
        <f t="shared" si="1"/>
        <v>3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63.270000000000067</v>
      </c>
    </row>
    <row r="48" spans="2:9" x14ac:dyDescent="0.25">
      <c r="B48" s="183">
        <f t="shared" si="1"/>
        <v>3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63.270000000000067</v>
      </c>
    </row>
    <row r="49" spans="2:9" x14ac:dyDescent="0.25">
      <c r="B49" s="183">
        <f t="shared" si="1"/>
        <v>3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63.270000000000067</v>
      </c>
    </row>
    <row r="50" spans="2:9" x14ac:dyDescent="0.25">
      <c r="B50" s="183">
        <f t="shared" si="1"/>
        <v>3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63.270000000000067</v>
      </c>
    </row>
    <row r="51" spans="2:9" x14ac:dyDescent="0.25">
      <c r="B51" s="183">
        <f t="shared" si="1"/>
        <v>3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63.270000000000067</v>
      </c>
    </row>
    <row r="52" spans="2:9" x14ac:dyDescent="0.25">
      <c r="B52" s="183">
        <f t="shared" si="1"/>
        <v>3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63.270000000000067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63.270000000000067</v>
      </c>
    </row>
    <row r="68" spans="2: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</v>
      </c>
    </row>
    <row r="72" spans="2:9" ht="15.75" thickBot="1" x14ac:dyDescent="0.3">
      <c r="B72" s="125"/>
    </row>
    <row r="73" spans="2:9" ht="15.75" thickBot="1" x14ac:dyDescent="0.3">
      <c r="B73" s="91"/>
      <c r="C73" s="1072" t="s">
        <v>11</v>
      </c>
      <c r="D73" s="1073"/>
      <c r="E73" s="57">
        <f>E5-F68+E4+E6+E7</f>
        <v>63.270000000000287</v>
      </c>
    </row>
  </sheetData>
  <mergeCells count="4">
    <mergeCell ref="A1:G1"/>
    <mergeCell ref="A5:A6"/>
    <mergeCell ref="C73:D73"/>
    <mergeCell ref="C6:E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1078"/>
      <c r="B5" s="1108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78"/>
      <c r="B6" s="1108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72" t="s">
        <v>11</v>
      </c>
      <c r="D60" s="107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17" sqref="D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0" t="s">
        <v>268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78"/>
      <c r="B4" s="1109" t="s">
        <v>93</v>
      </c>
      <c r="C4" s="128"/>
      <c r="D4" s="134"/>
      <c r="E4" s="124"/>
      <c r="F4" s="73"/>
      <c r="G4" s="47">
        <f>F56</f>
        <v>1309.6500000000001</v>
      </c>
      <c r="H4" s="7">
        <f>E4-G4+E5+E6+E7+E8</f>
        <v>0</v>
      </c>
    </row>
    <row r="5" spans="1:9" ht="15" customHeight="1" x14ac:dyDescent="0.25">
      <c r="A5" s="1078"/>
      <c r="B5" s="1110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1110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41</v>
      </c>
      <c r="C10" s="53">
        <v>10</v>
      </c>
      <c r="D10" s="69">
        <v>247</v>
      </c>
      <c r="E10" s="247">
        <v>44849</v>
      </c>
      <c r="F10" s="69">
        <f t="shared" ref="F10:F55" si="0">D10</f>
        <v>247</v>
      </c>
      <c r="G10" s="70" t="s">
        <v>498</v>
      </c>
      <c r="H10" s="71">
        <v>72</v>
      </c>
      <c r="I10" s="78">
        <f>E5+E4-F10+E6+E7+E8</f>
        <v>1062.6500000000001</v>
      </c>
    </row>
    <row r="11" spans="1:9" x14ac:dyDescent="0.25">
      <c r="A11" s="77"/>
      <c r="B11" s="183">
        <f t="shared" ref="B11:B54" si="1">B10-C11</f>
        <v>31</v>
      </c>
      <c r="C11" s="53">
        <v>10</v>
      </c>
      <c r="D11" s="69">
        <v>250.6</v>
      </c>
      <c r="E11" s="247">
        <v>44851</v>
      </c>
      <c r="F11" s="69">
        <f t="shared" si="0"/>
        <v>250.6</v>
      </c>
      <c r="G11" s="70" t="s">
        <v>507</v>
      </c>
      <c r="H11" s="71">
        <v>72</v>
      </c>
      <c r="I11" s="78">
        <f>I10-F11</f>
        <v>812.05000000000007</v>
      </c>
    </row>
    <row r="12" spans="1:9" x14ac:dyDescent="0.25">
      <c r="A12" s="12"/>
      <c r="B12" s="183">
        <f t="shared" si="1"/>
        <v>16</v>
      </c>
      <c r="C12" s="15">
        <v>15</v>
      </c>
      <c r="D12" s="69">
        <v>401.3</v>
      </c>
      <c r="E12" s="247">
        <v>44851</v>
      </c>
      <c r="F12" s="69">
        <f t="shared" si="0"/>
        <v>401.3</v>
      </c>
      <c r="G12" s="70" t="s">
        <v>508</v>
      </c>
      <c r="H12" s="71">
        <v>72</v>
      </c>
      <c r="I12" s="78">
        <f t="shared" ref="I12:I55" si="2">I11-F12</f>
        <v>410.75000000000006</v>
      </c>
    </row>
    <row r="13" spans="1:9" x14ac:dyDescent="0.25">
      <c r="A13" s="55" t="s">
        <v>33</v>
      </c>
      <c r="B13" s="183">
        <f t="shared" si="1"/>
        <v>13</v>
      </c>
      <c r="C13" s="15">
        <v>3</v>
      </c>
      <c r="D13" s="69">
        <v>79.73</v>
      </c>
      <c r="E13" s="247">
        <v>44853</v>
      </c>
      <c r="F13" s="69">
        <f t="shared" si="0"/>
        <v>79.73</v>
      </c>
      <c r="G13" s="70" t="s">
        <v>516</v>
      </c>
      <c r="H13" s="71">
        <v>72</v>
      </c>
      <c r="I13" s="78">
        <f t="shared" si="2"/>
        <v>331.02000000000004</v>
      </c>
    </row>
    <row r="14" spans="1:9" x14ac:dyDescent="0.25">
      <c r="A14" s="77"/>
      <c r="B14" s="183">
        <f t="shared" si="1"/>
        <v>10</v>
      </c>
      <c r="C14" s="15">
        <v>3</v>
      </c>
      <c r="D14" s="69">
        <v>71.540000000000006</v>
      </c>
      <c r="E14" s="247">
        <v>44855</v>
      </c>
      <c r="F14" s="69">
        <f t="shared" si="0"/>
        <v>71.540000000000006</v>
      </c>
      <c r="G14" s="70" t="s">
        <v>535</v>
      </c>
      <c r="H14" s="71">
        <v>72</v>
      </c>
      <c r="I14" s="78">
        <f t="shared" si="2"/>
        <v>259.48</v>
      </c>
    </row>
    <row r="15" spans="1:9" x14ac:dyDescent="0.25">
      <c r="A15" s="12"/>
      <c r="B15" s="183">
        <f t="shared" si="1"/>
        <v>0</v>
      </c>
      <c r="C15" s="15">
        <v>10</v>
      </c>
      <c r="D15" s="69">
        <v>259.48</v>
      </c>
      <c r="E15" s="247">
        <v>44856</v>
      </c>
      <c r="F15" s="69">
        <f t="shared" si="0"/>
        <v>259.48</v>
      </c>
      <c r="G15" s="70" t="s">
        <v>541</v>
      </c>
      <c r="H15" s="71">
        <v>72</v>
      </c>
      <c r="I15" s="78">
        <f t="shared" si="2"/>
        <v>0</v>
      </c>
    </row>
    <row r="16" spans="1:9" x14ac:dyDescent="0.25">
      <c r="B16" s="183">
        <f t="shared" si="1"/>
        <v>0</v>
      </c>
      <c r="C16" s="15"/>
      <c r="D16" s="69"/>
      <c r="E16" s="247"/>
      <c r="F16" s="979">
        <f t="shared" si="0"/>
        <v>0</v>
      </c>
      <c r="G16" s="981"/>
      <c r="H16" s="982"/>
      <c r="I16" s="983">
        <f t="shared" si="2"/>
        <v>0</v>
      </c>
    </row>
    <row r="17" spans="2:9" x14ac:dyDescent="0.25">
      <c r="B17" s="183">
        <f t="shared" si="1"/>
        <v>0</v>
      </c>
      <c r="C17" s="15"/>
      <c r="D17" s="69"/>
      <c r="E17" s="247"/>
      <c r="F17" s="979">
        <f t="shared" si="0"/>
        <v>0</v>
      </c>
      <c r="G17" s="981"/>
      <c r="H17" s="982"/>
      <c r="I17" s="983">
        <f t="shared" si="2"/>
        <v>0</v>
      </c>
    </row>
    <row r="18" spans="2:9" x14ac:dyDescent="0.25">
      <c r="B18" s="183">
        <f t="shared" si="1"/>
        <v>0</v>
      </c>
      <c r="C18" s="15"/>
      <c r="D18" s="69"/>
      <c r="E18" s="247"/>
      <c r="F18" s="979">
        <f t="shared" si="0"/>
        <v>0</v>
      </c>
      <c r="G18" s="981"/>
      <c r="H18" s="982"/>
      <c r="I18" s="983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979">
        <f t="shared" si="0"/>
        <v>0</v>
      </c>
      <c r="G19" s="981"/>
      <c r="H19" s="982"/>
      <c r="I19" s="983">
        <f t="shared" si="2"/>
        <v>0</v>
      </c>
    </row>
    <row r="20" spans="2:9" x14ac:dyDescent="0.25">
      <c r="B20" s="183">
        <f t="shared" si="1"/>
        <v>0</v>
      </c>
      <c r="C20" s="15"/>
      <c r="D20" s="69"/>
      <c r="E20" s="247"/>
      <c r="F20" s="979">
        <f t="shared" si="0"/>
        <v>0</v>
      </c>
      <c r="G20" s="981"/>
      <c r="H20" s="982"/>
      <c r="I20" s="983">
        <f t="shared" si="2"/>
        <v>0</v>
      </c>
    </row>
    <row r="21" spans="2:9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0</v>
      </c>
    </row>
    <row r="56" spans="2:9" x14ac:dyDescent="0.25">
      <c r="C56" s="53">
        <f>SUM(C10:C55)</f>
        <v>51</v>
      </c>
      <c r="D56" s="124">
        <f>SUM(D10:D55)</f>
        <v>1309.6500000000001</v>
      </c>
      <c r="E56" s="165"/>
      <c r="F56" s="124">
        <f>SUM(F10:F55)</f>
        <v>1309.6500000000001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5"/>
    </row>
    <row r="61" spans="2:9" ht="15.75" thickBot="1" x14ac:dyDescent="0.3">
      <c r="B61" s="91"/>
      <c r="C61" s="1072" t="s">
        <v>11</v>
      </c>
      <c r="D61" s="1073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111"/>
      <c r="B5" s="1113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112"/>
      <c r="B6" s="1114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15" t="s">
        <v>11</v>
      </c>
      <c r="D56" s="111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70" t="s">
        <v>109</v>
      </c>
      <c r="B1" s="1070"/>
      <c r="C1" s="1070"/>
      <c r="D1" s="1070"/>
      <c r="E1" s="1070"/>
      <c r="F1" s="1070"/>
      <c r="G1" s="107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1071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1071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2" t="s">
        <v>11</v>
      </c>
      <c r="D83" s="107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3"/>
      <c r="B1" s="1063"/>
      <c r="C1" s="1063"/>
      <c r="D1" s="1063"/>
      <c r="E1" s="1063"/>
      <c r="F1" s="1063"/>
      <c r="G1" s="106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17"/>
      <c r="C4" s="17"/>
      <c r="E4" s="255"/>
      <c r="F4" s="241"/>
    </row>
    <row r="5" spans="1:10" ht="15" customHeight="1" x14ac:dyDescent="0.25">
      <c r="A5" s="1111"/>
      <c r="B5" s="1118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112"/>
      <c r="B6" s="1119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15" t="s">
        <v>11</v>
      </c>
      <c r="D55" s="111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46" activePane="bottomLeft" state="frozen"/>
      <selection activeCell="M1" sqref="M1"/>
      <selection pane="bottomLeft" activeCell="R58" sqref="R5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0" t="s">
        <v>269</v>
      </c>
      <c r="B1" s="1070"/>
      <c r="C1" s="1070"/>
      <c r="D1" s="1070"/>
      <c r="E1" s="1070"/>
      <c r="F1" s="1070"/>
      <c r="G1" s="1070"/>
      <c r="H1" s="1070"/>
      <c r="I1" s="1070"/>
      <c r="J1" s="11">
        <v>1</v>
      </c>
      <c r="M1" s="1074" t="s">
        <v>260</v>
      </c>
      <c r="N1" s="1074"/>
      <c r="O1" s="1074"/>
      <c r="P1" s="1074"/>
      <c r="Q1" s="1074"/>
      <c r="R1" s="1074"/>
      <c r="S1" s="1074"/>
      <c r="T1" s="1074"/>
      <c r="U1" s="1074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120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2687.68</v>
      </c>
      <c r="H5" s="7">
        <f>E4+E5-G5+E6+E7</f>
        <v>0</v>
      </c>
      <c r="I5" s="191"/>
      <c r="J5" s="73"/>
      <c r="M5" s="1084" t="s">
        <v>274</v>
      </c>
      <c r="N5" s="1120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3286.9599999999991</v>
      </c>
      <c r="T5" s="7">
        <f>Q4+Q5-S5+Q6+Q7</f>
        <v>1239.4200000000012</v>
      </c>
      <c r="U5" s="191"/>
      <c r="V5" s="73"/>
    </row>
    <row r="6" spans="1:23" x14ac:dyDescent="0.25">
      <c r="B6" s="1120"/>
      <c r="C6" s="200"/>
      <c r="D6" s="149"/>
      <c r="E6" s="78"/>
      <c r="F6" s="62"/>
      <c r="I6" s="192"/>
      <c r="J6" s="73"/>
      <c r="M6" s="1084"/>
      <c r="N6" s="1120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>
        <v>48</v>
      </c>
      <c r="P7" s="149">
        <v>44862</v>
      </c>
      <c r="Q7" s="105">
        <v>1520.9</v>
      </c>
      <c r="R7" s="73">
        <v>335</v>
      </c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1003" t="s">
        <v>4</v>
      </c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176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44838</v>
      </c>
      <c r="R9" s="69">
        <f t="shared" ref="R9:R31" si="3">P9</f>
        <v>181.6</v>
      </c>
      <c r="S9" s="70" t="s">
        <v>417</v>
      </c>
      <c r="T9" s="71">
        <v>55</v>
      </c>
      <c r="U9" s="191">
        <f>Q5+Q4+Q6+Q7-R9</f>
        <v>4344.78</v>
      </c>
      <c r="V9" s="73">
        <f>R5-O9+R6+R4+R7</f>
        <v>957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184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>
        <v>10</v>
      </c>
      <c r="P10" s="69">
        <f t="shared" si="2"/>
        <v>45.4</v>
      </c>
      <c r="Q10" s="196">
        <v>44838</v>
      </c>
      <c r="R10" s="69">
        <f t="shared" si="3"/>
        <v>45.4</v>
      </c>
      <c r="S10" s="70" t="s">
        <v>421</v>
      </c>
      <c r="T10" s="71">
        <v>55</v>
      </c>
      <c r="U10" s="191">
        <f>U9-R10</f>
        <v>4299.38</v>
      </c>
      <c r="V10" s="73">
        <f>V9-O10</f>
        <v>947</v>
      </c>
      <c r="W10" s="60">
        <f t="shared" ref="W10:W83" si="5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181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>
        <v>30</v>
      </c>
      <c r="P11" s="69">
        <f t="shared" si="2"/>
        <v>136.19999999999999</v>
      </c>
      <c r="Q11" s="196">
        <v>44839</v>
      </c>
      <c r="R11" s="69">
        <f t="shared" si="3"/>
        <v>136.19999999999999</v>
      </c>
      <c r="S11" s="70" t="s">
        <v>422</v>
      </c>
      <c r="T11" s="71">
        <v>55</v>
      </c>
      <c r="U11" s="191">
        <f t="shared" ref="U11:U74" si="8">U10-R11</f>
        <v>4163.18</v>
      </c>
      <c r="V11" s="73">
        <f t="shared" ref="V11:V74" si="9">V10-O11</f>
        <v>917</v>
      </c>
      <c r="W11" s="60">
        <f t="shared" si="5"/>
        <v>7490.9999999999991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185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>
        <v>6</v>
      </c>
      <c r="P12" s="69">
        <f t="shared" si="2"/>
        <v>27.240000000000002</v>
      </c>
      <c r="Q12" s="196">
        <v>44840</v>
      </c>
      <c r="R12" s="69">
        <f t="shared" si="3"/>
        <v>27.240000000000002</v>
      </c>
      <c r="S12" s="70" t="s">
        <v>428</v>
      </c>
      <c r="T12" s="71">
        <v>55</v>
      </c>
      <c r="U12" s="191">
        <f t="shared" si="8"/>
        <v>4135.9400000000005</v>
      </c>
      <c r="V12" s="73">
        <f t="shared" si="9"/>
        <v>911</v>
      </c>
      <c r="W12" s="60">
        <f t="shared" si="5"/>
        <v>1498.2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186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>
        <v>1</v>
      </c>
      <c r="P13" s="69">
        <f t="shared" si="2"/>
        <v>4.54</v>
      </c>
      <c r="Q13" s="196">
        <v>44840</v>
      </c>
      <c r="R13" s="69">
        <f t="shared" si="3"/>
        <v>4.54</v>
      </c>
      <c r="S13" s="70" t="s">
        <v>429</v>
      </c>
      <c r="T13" s="71">
        <v>55</v>
      </c>
      <c r="U13" s="191">
        <f t="shared" si="8"/>
        <v>4131.4000000000005</v>
      </c>
      <c r="V13" s="73">
        <f t="shared" si="9"/>
        <v>910</v>
      </c>
      <c r="W13" s="60">
        <f t="shared" si="5"/>
        <v>249.7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182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>
        <v>20</v>
      </c>
      <c r="P14" s="69">
        <f t="shared" si="2"/>
        <v>90.8</v>
      </c>
      <c r="Q14" s="196">
        <v>44841</v>
      </c>
      <c r="R14" s="69">
        <f t="shared" si="3"/>
        <v>90.8</v>
      </c>
      <c r="S14" s="70" t="s">
        <v>433</v>
      </c>
      <c r="T14" s="71">
        <v>55</v>
      </c>
      <c r="U14" s="191">
        <f t="shared" si="8"/>
        <v>4040.6000000000004</v>
      </c>
      <c r="V14" s="73">
        <f t="shared" si="9"/>
        <v>890</v>
      </c>
      <c r="W14" s="60">
        <f t="shared" si="5"/>
        <v>4994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187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>
        <v>20</v>
      </c>
      <c r="P15" s="69">
        <f t="shared" si="2"/>
        <v>90.8</v>
      </c>
      <c r="Q15" s="134">
        <v>44841</v>
      </c>
      <c r="R15" s="69">
        <f t="shared" si="3"/>
        <v>90.8</v>
      </c>
      <c r="S15" s="70" t="s">
        <v>440</v>
      </c>
      <c r="T15" s="71">
        <v>55</v>
      </c>
      <c r="U15" s="191">
        <f t="shared" si="8"/>
        <v>3949.8</v>
      </c>
      <c r="V15" s="73">
        <f t="shared" si="9"/>
        <v>870</v>
      </c>
      <c r="W15" s="60">
        <f t="shared" si="5"/>
        <v>4994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194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>
        <v>40</v>
      </c>
      <c r="P16" s="69">
        <f t="shared" si="2"/>
        <v>181.6</v>
      </c>
      <c r="Q16" s="196">
        <v>44842</v>
      </c>
      <c r="R16" s="69">
        <f t="shared" si="3"/>
        <v>181.6</v>
      </c>
      <c r="S16" s="70" t="s">
        <v>451</v>
      </c>
      <c r="T16" s="71">
        <v>55</v>
      </c>
      <c r="U16" s="191">
        <f t="shared" si="8"/>
        <v>3768.2000000000003</v>
      </c>
      <c r="V16" s="73">
        <f t="shared" si="9"/>
        <v>830</v>
      </c>
      <c r="W16" s="60">
        <f t="shared" si="5"/>
        <v>9988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195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>
        <v>40</v>
      </c>
      <c r="P17" s="69">
        <f t="shared" si="2"/>
        <v>181.6</v>
      </c>
      <c r="Q17" s="196">
        <v>44845</v>
      </c>
      <c r="R17" s="69">
        <f t="shared" si="3"/>
        <v>181.6</v>
      </c>
      <c r="S17" s="70" t="s">
        <v>465</v>
      </c>
      <c r="T17" s="71">
        <v>55</v>
      </c>
      <c r="U17" s="191">
        <f t="shared" si="8"/>
        <v>3586.6000000000004</v>
      </c>
      <c r="V17" s="73">
        <f t="shared" si="9"/>
        <v>790</v>
      </c>
      <c r="W17" s="60">
        <f t="shared" si="5"/>
        <v>9988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196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6">
        <v>44845</v>
      </c>
      <c r="R18" s="69">
        <f t="shared" si="3"/>
        <v>45.4</v>
      </c>
      <c r="S18" s="70" t="s">
        <v>466</v>
      </c>
      <c r="T18" s="71">
        <v>55</v>
      </c>
      <c r="U18" s="191">
        <f t="shared" si="8"/>
        <v>3541.2000000000003</v>
      </c>
      <c r="V18" s="73">
        <f t="shared" si="9"/>
        <v>780</v>
      </c>
      <c r="W18" s="60">
        <f t="shared" si="5"/>
        <v>2497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197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>
        <v>4</v>
      </c>
      <c r="P19" s="69">
        <f t="shared" si="2"/>
        <v>18.16</v>
      </c>
      <c r="Q19" s="196">
        <v>44845</v>
      </c>
      <c r="R19" s="69">
        <f t="shared" si="3"/>
        <v>18.16</v>
      </c>
      <c r="S19" s="70" t="s">
        <v>435</v>
      </c>
      <c r="T19" s="71">
        <v>55</v>
      </c>
      <c r="U19" s="191">
        <f t="shared" si="8"/>
        <v>3523.0400000000004</v>
      </c>
      <c r="V19" s="73">
        <f t="shared" si="9"/>
        <v>776</v>
      </c>
      <c r="W19" s="60">
        <f t="shared" si="5"/>
        <v>998.8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198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>
        <v>1</v>
      </c>
      <c r="P20" s="69">
        <f t="shared" si="2"/>
        <v>4.54</v>
      </c>
      <c r="Q20" s="196">
        <v>44846</v>
      </c>
      <c r="R20" s="69">
        <f t="shared" si="3"/>
        <v>4.54</v>
      </c>
      <c r="S20" s="70" t="s">
        <v>471</v>
      </c>
      <c r="T20" s="71">
        <v>55</v>
      </c>
      <c r="U20" s="191">
        <f t="shared" si="8"/>
        <v>3518.5000000000005</v>
      </c>
      <c r="V20" s="73">
        <f t="shared" si="9"/>
        <v>775</v>
      </c>
      <c r="W20" s="60">
        <f t="shared" si="5"/>
        <v>249.7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199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>
        <v>20</v>
      </c>
      <c r="P21" s="69">
        <f t="shared" si="2"/>
        <v>90.8</v>
      </c>
      <c r="Q21" s="196">
        <v>44846</v>
      </c>
      <c r="R21" s="69">
        <f t="shared" si="3"/>
        <v>90.8</v>
      </c>
      <c r="S21" s="70" t="s">
        <v>472</v>
      </c>
      <c r="T21" s="71">
        <v>55</v>
      </c>
      <c r="U21" s="191">
        <f t="shared" si="8"/>
        <v>3427.7000000000003</v>
      </c>
      <c r="V21" s="73">
        <f t="shared" si="9"/>
        <v>755</v>
      </c>
      <c r="W21" s="60">
        <f t="shared" si="5"/>
        <v>4994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201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>
        <v>5</v>
      </c>
      <c r="P22" s="69">
        <f t="shared" si="2"/>
        <v>22.7</v>
      </c>
      <c r="Q22" s="196">
        <v>44846</v>
      </c>
      <c r="R22" s="69">
        <f t="shared" si="3"/>
        <v>22.7</v>
      </c>
      <c r="S22" s="70" t="s">
        <v>473</v>
      </c>
      <c r="T22" s="71">
        <v>55</v>
      </c>
      <c r="U22" s="191">
        <f t="shared" si="8"/>
        <v>3405.0000000000005</v>
      </c>
      <c r="V22" s="73">
        <f t="shared" si="9"/>
        <v>750</v>
      </c>
      <c r="W22" s="60">
        <f t="shared" si="5"/>
        <v>1248.5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203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>
        <v>1</v>
      </c>
      <c r="P23" s="69">
        <f t="shared" si="2"/>
        <v>4.54</v>
      </c>
      <c r="Q23" s="196">
        <v>44846</v>
      </c>
      <c r="R23" s="69">
        <f t="shared" si="3"/>
        <v>4.54</v>
      </c>
      <c r="S23" s="70" t="s">
        <v>477</v>
      </c>
      <c r="T23" s="71">
        <v>55</v>
      </c>
      <c r="U23" s="191">
        <f t="shared" si="8"/>
        <v>3400.4600000000005</v>
      </c>
      <c r="V23" s="73">
        <f t="shared" si="9"/>
        <v>749</v>
      </c>
      <c r="W23" s="60">
        <f t="shared" si="5"/>
        <v>249.7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207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>
        <v>10</v>
      </c>
      <c r="P24" s="69">
        <f t="shared" si="2"/>
        <v>45.4</v>
      </c>
      <c r="Q24" s="196">
        <v>44847</v>
      </c>
      <c r="R24" s="69">
        <f t="shared" si="3"/>
        <v>45.4</v>
      </c>
      <c r="S24" s="70" t="s">
        <v>486</v>
      </c>
      <c r="T24" s="71">
        <v>55</v>
      </c>
      <c r="U24" s="191">
        <f t="shared" si="8"/>
        <v>3355.0600000000004</v>
      </c>
      <c r="V24" s="73">
        <f t="shared" si="9"/>
        <v>739</v>
      </c>
      <c r="W24" s="60">
        <f t="shared" si="5"/>
        <v>2497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220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>
        <v>7</v>
      </c>
      <c r="P25" s="69">
        <f t="shared" si="2"/>
        <v>31.78</v>
      </c>
      <c r="Q25" s="196">
        <v>44848</v>
      </c>
      <c r="R25" s="69">
        <f t="shared" si="3"/>
        <v>31.78</v>
      </c>
      <c r="S25" s="70" t="s">
        <v>493</v>
      </c>
      <c r="T25" s="71">
        <v>55</v>
      </c>
      <c r="U25" s="191">
        <f t="shared" si="8"/>
        <v>3323.28</v>
      </c>
      <c r="V25" s="73">
        <f t="shared" si="9"/>
        <v>732</v>
      </c>
      <c r="W25" s="60">
        <f t="shared" si="5"/>
        <v>1747.9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217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>
        <v>30</v>
      </c>
      <c r="P26" s="69">
        <f t="shared" si="2"/>
        <v>136.19999999999999</v>
      </c>
      <c r="Q26" s="196">
        <v>44848</v>
      </c>
      <c r="R26" s="69">
        <f t="shared" si="3"/>
        <v>136.19999999999999</v>
      </c>
      <c r="S26" s="70" t="s">
        <v>494</v>
      </c>
      <c r="T26" s="71">
        <v>55</v>
      </c>
      <c r="U26" s="191">
        <f t="shared" si="8"/>
        <v>3187.0800000000004</v>
      </c>
      <c r="V26" s="73">
        <f t="shared" si="9"/>
        <v>702</v>
      </c>
      <c r="W26" s="60">
        <f t="shared" si="5"/>
        <v>7490.9999999999991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222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>
        <v>5</v>
      </c>
      <c r="P27" s="69">
        <f t="shared" si="2"/>
        <v>22.7</v>
      </c>
      <c r="Q27" s="196">
        <v>44848</v>
      </c>
      <c r="R27" s="69">
        <f t="shared" si="3"/>
        <v>22.7</v>
      </c>
      <c r="S27" s="70" t="s">
        <v>436</v>
      </c>
      <c r="T27" s="71">
        <v>55</v>
      </c>
      <c r="U27" s="191">
        <f t="shared" si="8"/>
        <v>3164.3800000000006</v>
      </c>
      <c r="V27" s="73">
        <f t="shared" si="9"/>
        <v>697</v>
      </c>
      <c r="W27" s="60">
        <f t="shared" si="5"/>
        <v>1248.5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223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>
        <v>30</v>
      </c>
      <c r="P28" s="69">
        <f t="shared" si="2"/>
        <v>136.19999999999999</v>
      </c>
      <c r="Q28" s="196">
        <v>44848</v>
      </c>
      <c r="R28" s="69">
        <f t="shared" si="3"/>
        <v>136.19999999999999</v>
      </c>
      <c r="S28" s="70" t="s">
        <v>496</v>
      </c>
      <c r="T28" s="71">
        <v>55</v>
      </c>
      <c r="U28" s="191">
        <f t="shared" si="8"/>
        <v>3028.1800000000007</v>
      </c>
      <c r="V28" s="73">
        <f t="shared" si="9"/>
        <v>667</v>
      </c>
      <c r="W28" s="60">
        <f t="shared" si="5"/>
        <v>7490.9999999999991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224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>
        <v>2</v>
      </c>
      <c r="P29" s="69">
        <f t="shared" si="2"/>
        <v>9.08</v>
      </c>
      <c r="Q29" s="196">
        <v>44849</v>
      </c>
      <c r="R29" s="69">
        <f t="shared" si="3"/>
        <v>9.08</v>
      </c>
      <c r="S29" s="70" t="s">
        <v>498</v>
      </c>
      <c r="T29" s="71">
        <v>55</v>
      </c>
      <c r="U29" s="191">
        <f t="shared" si="8"/>
        <v>3019.1000000000008</v>
      </c>
      <c r="V29" s="73">
        <f t="shared" si="9"/>
        <v>665</v>
      </c>
      <c r="W29" s="60">
        <f t="shared" si="5"/>
        <v>499.4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229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>
        <v>10</v>
      </c>
      <c r="P30" s="69">
        <f t="shared" si="2"/>
        <v>45.4</v>
      </c>
      <c r="Q30" s="196">
        <v>44849</v>
      </c>
      <c r="R30" s="69">
        <f t="shared" si="3"/>
        <v>45.4</v>
      </c>
      <c r="S30" s="70" t="s">
        <v>498</v>
      </c>
      <c r="T30" s="71">
        <v>55</v>
      </c>
      <c r="U30" s="191">
        <f t="shared" si="8"/>
        <v>2973.7000000000007</v>
      </c>
      <c r="V30" s="73">
        <f t="shared" si="9"/>
        <v>655</v>
      </c>
      <c r="W30" s="60">
        <f t="shared" si="5"/>
        <v>2497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235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>
        <v>30</v>
      </c>
      <c r="P31" s="69">
        <f t="shared" si="2"/>
        <v>136.19999999999999</v>
      </c>
      <c r="Q31" s="196">
        <v>44849</v>
      </c>
      <c r="R31" s="69">
        <f t="shared" si="3"/>
        <v>136.19999999999999</v>
      </c>
      <c r="S31" s="70" t="s">
        <v>505</v>
      </c>
      <c r="T31" s="71">
        <v>55</v>
      </c>
      <c r="U31" s="191">
        <f t="shared" si="8"/>
        <v>2837.5000000000009</v>
      </c>
      <c r="V31" s="73">
        <f t="shared" si="9"/>
        <v>625</v>
      </c>
      <c r="W31" s="60">
        <f t="shared" si="5"/>
        <v>7490.9999999999991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235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>
        <v>5</v>
      </c>
      <c r="P32" s="69">
        <f t="shared" si="2"/>
        <v>22.7</v>
      </c>
      <c r="Q32" s="196">
        <v>44851</v>
      </c>
      <c r="R32" s="69">
        <f>P32</f>
        <v>22.7</v>
      </c>
      <c r="S32" s="70" t="s">
        <v>506</v>
      </c>
      <c r="T32" s="71">
        <v>55</v>
      </c>
      <c r="U32" s="191">
        <f t="shared" si="8"/>
        <v>2814.8000000000011</v>
      </c>
      <c r="V32" s="73">
        <f t="shared" si="9"/>
        <v>620</v>
      </c>
      <c r="W32" s="60">
        <f t="shared" si="5"/>
        <v>1248.5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236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>
        <v>5</v>
      </c>
      <c r="P33" s="69">
        <f t="shared" si="2"/>
        <v>22.7</v>
      </c>
      <c r="Q33" s="134">
        <v>44851</v>
      </c>
      <c r="R33" s="69">
        <f>P33</f>
        <v>22.7</v>
      </c>
      <c r="S33" s="70" t="s">
        <v>506</v>
      </c>
      <c r="T33" s="71">
        <v>55</v>
      </c>
      <c r="U33" s="191">
        <f t="shared" si="8"/>
        <v>2792.1000000000013</v>
      </c>
      <c r="V33" s="73">
        <f t="shared" si="9"/>
        <v>615</v>
      </c>
      <c r="W33" s="60">
        <f t="shared" si="5"/>
        <v>1248.5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238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>
        <v>40</v>
      </c>
      <c r="P34" s="69">
        <f t="shared" si="2"/>
        <v>181.6</v>
      </c>
      <c r="Q34" s="134">
        <v>44851</v>
      </c>
      <c r="R34" s="69">
        <f t="shared" ref="R34:R108" si="11">P34</f>
        <v>181.6</v>
      </c>
      <c r="S34" s="70" t="s">
        <v>507</v>
      </c>
      <c r="T34" s="71">
        <v>55</v>
      </c>
      <c r="U34" s="191">
        <f t="shared" si="8"/>
        <v>2610.5000000000014</v>
      </c>
      <c r="V34" s="73">
        <f t="shared" si="9"/>
        <v>575</v>
      </c>
      <c r="W34" s="60">
        <f t="shared" si="5"/>
        <v>9988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241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>
        <v>4</v>
      </c>
      <c r="P35" s="69">
        <f t="shared" si="2"/>
        <v>18.16</v>
      </c>
      <c r="Q35" s="134">
        <v>44853</v>
      </c>
      <c r="R35" s="69">
        <f t="shared" si="11"/>
        <v>18.16</v>
      </c>
      <c r="S35" s="70" t="s">
        <v>515</v>
      </c>
      <c r="T35" s="71">
        <v>55</v>
      </c>
      <c r="U35" s="191">
        <f t="shared" si="8"/>
        <v>2592.3400000000015</v>
      </c>
      <c r="V35" s="73">
        <f t="shared" si="9"/>
        <v>571</v>
      </c>
      <c r="W35" s="60">
        <f t="shared" si="5"/>
        <v>998.8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242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>
        <v>30</v>
      </c>
      <c r="P36" s="69">
        <f t="shared" si="2"/>
        <v>136.19999999999999</v>
      </c>
      <c r="Q36" s="134">
        <v>44853</v>
      </c>
      <c r="R36" s="69">
        <f t="shared" si="11"/>
        <v>136.19999999999999</v>
      </c>
      <c r="S36" s="70" t="s">
        <v>516</v>
      </c>
      <c r="T36" s="71">
        <v>55</v>
      </c>
      <c r="U36" s="191">
        <f t="shared" si="8"/>
        <v>2456.1400000000017</v>
      </c>
      <c r="V36" s="73">
        <f t="shared" si="9"/>
        <v>541</v>
      </c>
      <c r="W36" s="60">
        <f t="shared" si="5"/>
        <v>7490.9999999999991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244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>
        <v>20</v>
      </c>
      <c r="P37" s="69">
        <f t="shared" si="2"/>
        <v>90.8</v>
      </c>
      <c r="Q37" s="134">
        <v>44853</v>
      </c>
      <c r="R37" s="69">
        <f t="shared" si="11"/>
        <v>90.8</v>
      </c>
      <c r="S37" s="70" t="s">
        <v>517</v>
      </c>
      <c r="T37" s="71">
        <v>55</v>
      </c>
      <c r="U37" s="191">
        <f t="shared" si="8"/>
        <v>2365.3400000000015</v>
      </c>
      <c r="V37" s="73">
        <f t="shared" si="9"/>
        <v>521</v>
      </c>
      <c r="W37" s="60">
        <f t="shared" si="5"/>
        <v>4994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245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>
        <v>1</v>
      </c>
      <c r="P38" s="69">
        <f t="shared" si="2"/>
        <v>4.54</v>
      </c>
      <c r="Q38" s="196">
        <v>44853</v>
      </c>
      <c r="R38" s="69">
        <f t="shared" si="11"/>
        <v>4.54</v>
      </c>
      <c r="S38" s="70" t="s">
        <v>520</v>
      </c>
      <c r="T38" s="71">
        <v>55</v>
      </c>
      <c r="U38" s="191">
        <f t="shared" si="8"/>
        <v>2360.8000000000015</v>
      </c>
      <c r="V38" s="73">
        <f t="shared" si="9"/>
        <v>520</v>
      </c>
      <c r="W38" s="60">
        <f t="shared" si="5"/>
        <v>249.7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246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>
        <v>10</v>
      </c>
      <c r="P39" s="69">
        <f t="shared" si="2"/>
        <v>45.4</v>
      </c>
      <c r="Q39" s="196">
        <v>44855</v>
      </c>
      <c r="R39" s="69">
        <f t="shared" si="11"/>
        <v>45.4</v>
      </c>
      <c r="S39" s="70" t="s">
        <v>535</v>
      </c>
      <c r="T39" s="71">
        <v>55</v>
      </c>
      <c r="U39" s="191">
        <f t="shared" si="8"/>
        <v>2315.4000000000015</v>
      </c>
      <c r="V39" s="73">
        <f t="shared" si="9"/>
        <v>510</v>
      </c>
      <c r="W39" s="60">
        <f t="shared" si="5"/>
        <v>2497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251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>
        <v>5</v>
      </c>
      <c r="P40" s="69">
        <f t="shared" si="2"/>
        <v>22.7</v>
      </c>
      <c r="Q40" s="196">
        <v>44855</v>
      </c>
      <c r="R40" s="69">
        <f t="shared" si="11"/>
        <v>22.7</v>
      </c>
      <c r="S40" s="70" t="s">
        <v>535</v>
      </c>
      <c r="T40" s="71">
        <v>55</v>
      </c>
      <c r="U40" s="191">
        <f t="shared" si="8"/>
        <v>2292.7000000000016</v>
      </c>
      <c r="V40" s="73">
        <f t="shared" si="9"/>
        <v>505</v>
      </c>
      <c r="W40" s="60">
        <f t="shared" si="5"/>
        <v>1248.5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254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>
        <v>30</v>
      </c>
      <c r="P41" s="69">
        <f t="shared" si="2"/>
        <v>136.19999999999999</v>
      </c>
      <c r="Q41" s="196">
        <v>44855</v>
      </c>
      <c r="R41" s="69">
        <f t="shared" si="11"/>
        <v>136.19999999999999</v>
      </c>
      <c r="S41" s="70" t="s">
        <v>536</v>
      </c>
      <c r="T41" s="71">
        <v>55</v>
      </c>
      <c r="U41" s="191">
        <f t="shared" si="8"/>
        <v>2156.5000000000018</v>
      </c>
      <c r="V41" s="73">
        <f t="shared" si="9"/>
        <v>475</v>
      </c>
      <c r="W41" s="60">
        <f t="shared" si="5"/>
        <v>7490.9999999999991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255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>
        <v>10</v>
      </c>
      <c r="P42" s="69">
        <f t="shared" si="2"/>
        <v>45.4</v>
      </c>
      <c r="Q42" s="196">
        <v>44856</v>
      </c>
      <c r="R42" s="69">
        <f t="shared" si="11"/>
        <v>45.4</v>
      </c>
      <c r="S42" s="70" t="s">
        <v>539</v>
      </c>
      <c r="T42" s="71">
        <v>55</v>
      </c>
      <c r="U42" s="191">
        <f t="shared" si="8"/>
        <v>2111.1000000000017</v>
      </c>
      <c r="V42" s="73">
        <f t="shared" si="9"/>
        <v>465</v>
      </c>
      <c r="W42" s="60">
        <f t="shared" si="5"/>
        <v>2497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258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>
        <v>30</v>
      </c>
      <c r="P43" s="69">
        <f t="shared" si="2"/>
        <v>136.19999999999999</v>
      </c>
      <c r="Q43" s="196">
        <v>44856</v>
      </c>
      <c r="R43" s="69">
        <f t="shared" si="11"/>
        <v>136.19999999999999</v>
      </c>
      <c r="S43" s="70" t="s">
        <v>542</v>
      </c>
      <c r="T43" s="71">
        <v>55</v>
      </c>
      <c r="U43" s="191">
        <f t="shared" si="8"/>
        <v>1974.9000000000017</v>
      </c>
      <c r="V43" s="73">
        <f t="shared" si="9"/>
        <v>435</v>
      </c>
      <c r="W43" s="60">
        <f t="shared" si="5"/>
        <v>7490.9999999999991</v>
      </c>
    </row>
    <row r="44" spans="1:23" x14ac:dyDescent="0.25">
      <c r="B44" s="133">
        <v>4.54</v>
      </c>
      <c r="C44" s="978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259</v>
      </c>
      <c r="H44" s="71">
        <v>55</v>
      </c>
      <c r="I44" s="1001">
        <f t="shared" si="6"/>
        <v>86.259999999999977</v>
      </c>
      <c r="J44" s="1002">
        <f t="shared" si="7"/>
        <v>19</v>
      </c>
      <c r="K44" s="60">
        <f t="shared" si="4"/>
        <v>4994</v>
      </c>
      <c r="N44" s="133">
        <v>4.54</v>
      </c>
      <c r="O44" s="15">
        <v>1</v>
      </c>
      <c r="P44" s="69">
        <f t="shared" si="2"/>
        <v>4.54</v>
      </c>
      <c r="Q44" s="196">
        <v>44858</v>
      </c>
      <c r="R44" s="69">
        <f t="shared" si="11"/>
        <v>4.54</v>
      </c>
      <c r="S44" s="70" t="s">
        <v>544</v>
      </c>
      <c r="T44" s="71">
        <v>55</v>
      </c>
      <c r="U44" s="191">
        <f t="shared" si="8"/>
        <v>1970.3600000000017</v>
      </c>
      <c r="V44" s="73">
        <f t="shared" si="9"/>
        <v>434</v>
      </c>
      <c r="W44" s="60">
        <f t="shared" si="5"/>
        <v>249.7</v>
      </c>
    </row>
    <row r="45" spans="1:23" x14ac:dyDescent="0.25">
      <c r="B45" s="133">
        <v>4.54</v>
      </c>
      <c r="C45" s="15">
        <v>5</v>
      </c>
      <c r="D45" s="549">
        <f t="shared" si="0"/>
        <v>22.7</v>
      </c>
      <c r="E45" s="814">
        <v>44837</v>
      </c>
      <c r="F45" s="549">
        <f t="shared" si="10"/>
        <v>22.7</v>
      </c>
      <c r="G45" s="331" t="s">
        <v>411</v>
      </c>
      <c r="H45" s="332">
        <v>55</v>
      </c>
      <c r="I45" s="815">
        <f t="shared" si="6"/>
        <v>63.559999999999974</v>
      </c>
      <c r="J45" s="73">
        <f t="shared" si="7"/>
        <v>14</v>
      </c>
      <c r="K45" s="60">
        <f t="shared" si="4"/>
        <v>1248.5</v>
      </c>
      <c r="N45" s="133">
        <v>4.54</v>
      </c>
      <c r="O45" s="15">
        <v>30</v>
      </c>
      <c r="P45" s="69">
        <f t="shared" si="2"/>
        <v>136.19999999999999</v>
      </c>
      <c r="Q45" s="196">
        <v>44858</v>
      </c>
      <c r="R45" s="69">
        <f t="shared" si="11"/>
        <v>136.19999999999999</v>
      </c>
      <c r="S45" s="70" t="s">
        <v>549</v>
      </c>
      <c r="T45" s="71">
        <v>55</v>
      </c>
      <c r="U45" s="191">
        <f t="shared" si="8"/>
        <v>1834.1600000000017</v>
      </c>
      <c r="V45" s="73">
        <f t="shared" si="9"/>
        <v>404</v>
      </c>
      <c r="W45" s="60">
        <f t="shared" si="5"/>
        <v>7490.9999999999991</v>
      </c>
    </row>
    <row r="46" spans="1:23" x14ac:dyDescent="0.25">
      <c r="B46" s="133">
        <v>4.54</v>
      </c>
      <c r="C46" s="15">
        <v>14</v>
      </c>
      <c r="D46" s="549">
        <f t="shared" si="0"/>
        <v>63.56</v>
      </c>
      <c r="E46" s="814">
        <v>44837</v>
      </c>
      <c r="F46" s="549">
        <f t="shared" si="10"/>
        <v>63.56</v>
      </c>
      <c r="G46" s="331" t="s">
        <v>414</v>
      </c>
      <c r="H46" s="332">
        <v>55</v>
      </c>
      <c r="I46" s="815">
        <f t="shared" si="6"/>
        <v>0</v>
      </c>
      <c r="J46" s="73">
        <f t="shared" si="7"/>
        <v>0</v>
      </c>
      <c r="K46" s="60">
        <f t="shared" si="4"/>
        <v>3495.8</v>
      </c>
      <c r="N46" s="133">
        <v>4.54</v>
      </c>
      <c r="O46" s="15">
        <v>5</v>
      </c>
      <c r="P46" s="69">
        <f t="shared" si="2"/>
        <v>22.7</v>
      </c>
      <c r="Q46" s="196">
        <v>44859</v>
      </c>
      <c r="R46" s="69">
        <f t="shared" si="11"/>
        <v>22.7</v>
      </c>
      <c r="S46" s="70" t="s">
        <v>551</v>
      </c>
      <c r="T46" s="71">
        <v>55</v>
      </c>
      <c r="U46" s="191">
        <f t="shared" si="8"/>
        <v>1811.4600000000016</v>
      </c>
      <c r="V46" s="73">
        <f t="shared" si="9"/>
        <v>399</v>
      </c>
      <c r="W46" s="60">
        <f t="shared" si="5"/>
        <v>1248.5</v>
      </c>
    </row>
    <row r="47" spans="1:23" x14ac:dyDescent="0.25">
      <c r="B47" s="133">
        <v>4.54</v>
      </c>
      <c r="C47" s="15"/>
      <c r="D47" s="549">
        <f t="shared" si="0"/>
        <v>0</v>
      </c>
      <c r="E47" s="814"/>
      <c r="F47" s="549">
        <f t="shared" si="10"/>
        <v>0</v>
      </c>
      <c r="G47" s="957"/>
      <c r="H47" s="958"/>
      <c r="I47" s="959">
        <f t="shared" si="6"/>
        <v>0</v>
      </c>
      <c r="J47" s="960">
        <f t="shared" si="7"/>
        <v>0</v>
      </c>
      <c r="K47" s="961">
        <f t="shared" si="4"/>
        <v>0</v>
      </c>
      <c r="N47" s="133">
        <v>4.54</v>
      </c>
      <c r="O47" s="15">
        <v>30</v>
      </c>
      <c r="P47" s="69">
        <f t="shared" si="2"/>
        <v>136.19999999999999</v>
      </c>
      <c r="Q47" s="196">
        <v>44859</v>
      </c>
      <c r="R47" s="69">
        <f t="shared" si="11"/>
        <v>136.19999999999999</v>
      </c>
      <c r="S47" s="70" t="s">
        <v>551</v>
      </c>
      <c r="T47" s="71">
        <v>55</v>
      </c>
      <c r="U47" s="191">
        <f t="shared" si="8"/>
        <v>1675.2600000000016</v>
      </c>
      <c r="V47" s="73">
        <f t="shared" si="9"/>
        <v>369</v>
      </c>
      <c r="W47" s="60">
        <f t="shared" si="5"/>
        <v>7490.9999999999991</v>
      </c>
    </row>
    <row r="48" spans="1:23" x14ac:dyDescent="0.25">
      <c r="B48" s="133">
        <v>4.54</v>
      </c>
      <c r="C48" s="15"/>
      <c r="D48" s="549">
        <f t="shared" si="0"/>
        <v>0</v>
      </c>
      <c r="E48" s="814"/>
      <c r="F48" s="549">
        <f t="shared" si="10"/>
        <v>0</v>
      </c>
      <c r="G48" s="957"/>
      <c r="H48" s="958"/>
      <c r="I48" s="959">
        <f t="shared" si="6"/>
        <v>0</v>
      </c>
      <c r="J48" s="960">
        <f t="shared" si="7"/>
        <v>0</v>
      </c>
      <c r="K48" s="961">
        <f t="shared" si="4"/>
        <v>0</v>
      </c>
      <c r="N48" s="133">
        <v>4.54</v>
      </c>
      <c r="O48" s="15">
        <v>15</v>
      </c>
      <c r="P48" s="69">
        <f t="shared" si="2"/>
        <v>68.099999999999994</v>
      </c>
      <c r="Q48" s="196">
        <v>44860</v>
      </c>
      <c r="R48" s="69">
        <f t="shared" si="11"/>
        <v>68.099999999999994</v>
      </c>
      <c r="S48" s="70" t="s">
        <v>556</v>
      </c>
      <c r="T48" s="71">
        <v>55</v>
      </c>
      <c r="U48" s="191">
        <f t="shared" si="8"/>
        <v>1607.1600000000017</v>
      </c>
      <c r="V48" s="73">
        <f t="shared" si="9"/>
        <v>354</v>
      </c>
      <c r="W48" s="60">
        <f t="shared" si="5"/>
        <v>3745.4999999999995</v>
      </c>
    </row>
    <row r="49" spans="2:23" x14ac:dyDescent="0.25">
      <c r="B49" s="133">
        <v>4.54</v>
      </c>
      <c r="C49" s="15"/>
      <c r="D49" s="549">
        <f t="shared" si="0"/>
        <v>0</v>
      </c>
      <c r="E49" s="814"/>
      <c r="F49" s="549">
        <f t="shared" si="10"/>
        <v>0</v>
      </c>
      <c r="G49" s="957"/>
      <c r="H49" s="958"/>
      <c r="I49" s="959">
        <f t="shared" si="6"/>
        <v>0</v>
      </c>
      <c r="J49" s="960">
        <f t="shared" si="7"/>
        <v>0</v>
      </c>
      <c r="K49" s="961">
        <f t="shared" si="4"/>
        <v>0</v>
      </c>
      <c r="N49" s="133">
        <v>4.54</v>
      </c>
      <c r="O49" s="15">
        <v>1</v>
      </c>
      <c r="P49" s="69">
        <f t="shared" si="2"/>
        <v>4.54</v>
      </c>
      <c r="Q49" s="196">
        <v>44861</v>
      </c>
      <c r="R49" s="69">
        <f t="shared" si="11"/>
        <v>4.54</v>
      </c>
      <c r="S49" s="70" t="s">
        <v>568</v>
      </c>
      <c r="T49" s="71">
        <v>55</v>
      </c>
      <c r="U49" s="191">
        <f t="shared" si="8"/>
        <v>1602.6200000000017</v>
      </c>
      <c r="V49" s="73">
        <f t="shared" si="9"/>
        <v>353</v>
      </c>
      <c r="W49" s="60">
        <f t="shared" si="5"/>
        <v>249.7</v>
      </c>
    </row>
    <row r="50" spans="2:23" x14ac:dyDescent="0.25">
      <c r="B50" s="133">
        <v>4.54</v>
      </c>
      <c r="C50" s="15"/>
      <c r="D50" s="549">
        <f t="shared" si="0"/>
        <v>0</v>
      </c>
      <c r="E50" s="814"/>
      <c r="F50" s="549">
        <f t="shared" si="10"/>
        <v>0</v>
      </c>
      <c r="G50" s="331"/>
      <c r="H50" s="332"/>
      <c r="I50" s="815">
        <f t="shared" si="6"/>
        <v>0</v>
      </c>
      <c r="J50" s="73">
        <f t="shared" si="7"/>
        <v>0</v>
      </c>
      <c r="K50" s="60">
        <f t="shared" si="4"/>
        <v>0</v>
      </c>
      <c r="N50" s="133">
        <v>4.54</v>
      </c>
      <c r="O50" s="15">
        <v>13</v>
      </c>
      <c r="P50" s="69">
        <f t="shared" si="2"/>
        <v>59.02</v>
      </c>
      <c r="Q50" s="196">
        <v>44861</v>
      </c>
      <c r="R50" s="69">
        <f t="shared" si="11"/>
        <v>59.02</v>
      </c>
      <c r="S50" s="70" t="s">
        <v>570</v>
      </c>
      <c r="T50" s="71">
        <v>55</v>
      </c>
      <c r="U50" s="191">
        <f t="shared" si="8"/>
        <v>1543.6000000000017</v>
      </c>
      <c r="V50" s="73">
        <f t="shared" si="9"/>
        <v>340</v>
      </c>
      <c r="W50" s="60">
        <f t="shared" si="5"/>
        <v>3246.1000000000004</v>
      </c>
    </row>
    <row r="51" spans="2:23" x14ac:dyDescent="0.25">
      <c r="B51" s="133">
        <v>4.54</v>
      </c>
      <c r="C51" s="15"/>
      <c r="D51" s="549">
        <f t="shared" si="0"/>
        <v>0</v>
      </c>
      <c r="E51" s="814"/>
      <c r="F51" s="549">
        <f t="shared" si="10"/>
        <v>0</v>
      </c>
      <c r="G51" s="331"/>
      <c r="H51" s="332"/>
      <c r="I51" s="815">
        <f t="shared" si="6"/>
        <v>0</v>
      </c>
      <c r="J51" s="73">
        <f t="shared" si="7"/>
        <v>0</v>
      </c>
      <c r="K51" s="60">
        <f t="shared" si="4"/>
        <v>0</v>
      </c>
      <c r="N51" s="133">
        <v>4.54</v>
      </c>
      <c r="O51" s="15">
        <v>5</v>
      </c>
      <c r="P51" s="69">
        <f t="shared" si="2"/>
        <v>22.7</v>
      </c>
      <c r="Q51" s="196">
        <v>44861</v>
      </c>
      <c r="R51" s="69">
        <f t="shared" si="11"/>
        <v>22.7</v>
      </c>
      <c r="S51" s="70" t="s">
        <v>571</v>
      </c>
      <c r="T51" s="71">
        <v>55</v>
      </c>
      <c r="U51" s="191">
        <f t="shared" si="8"/>
        <v>1520.9000000000017</v>
      </c>
      <c r="V51" s="73">
        <f t="shared" si="9"/>
        <v>335</v>
      </c>
      <c r="W51" s="60">
        <f t="shared" si="5"/>
        <v>1248.5</v>
      </c>
    </row>
    <row r="52" spans="2:23" x14ac:dyDescent="0.25">
      <c r="B52" s="133">
        <v>4.54</v>
      </c>
      <c r="C52" s="15"/>
      <c r="D52" s="549">
        <f t="shared" si="0"/>
        <v>0</v>
      </c>
      <c r="E52" s="814"/>
      <c r="F52" s="549">
        <f t="shared" si="10"/>
        <v>0</v>
      </c>
      <c r="G52" s="331"/>
      <c r="H52" s="332"/>
      <c r="I52" s="815">
        <f t="shared" si="6"/>
        <v>0</v>
      </c>
      <c r="J52" s="73">
        <f t="shared" si="7"/>
        <v>0</v>
      </c>
      <c r="K52" s="60">
        <f t="shared" si="4"/>
        <v>0</v>
      </c>
      <c r="N52" s="133">
        <v>4.54</v>
      </c>
      <c r="O52" s="15">
        <v>15</v>
      </c>
      <c r="P52" s="69">
        <f t="shared" si="2"/>
        <v>68.099999999999994</v>
      </c>
      <c r="Q52" s="196">
        <v>44862</v>
      </c>
      <c r="R52" s="69">
        <f t="shared" si="11"/>
        <v>68.099999999999994</v>
      </c>
      <c r="S52" s="70" t="s">
        <v>575</v>
      </c>
      <c r="T52" s="71">
        <v>55</v>
      </c>
      <c r="U52" s="191">
        <f t="shared" si="8"/>
        <v>1452.8000000000018</v>
      </c>
      <c r="V52" s="73">
        <f t="shared" si="9"/>
        <v>320</v>
      </c>
      <c r="W52" s="60">
        <f t="shared" si="5"/>
        <v>3745.4999999999995</v>
      </c>
    </row>
    <row r="53" spans="2:23" x14ac:dyDescent="0.25">
      <c r="B53" s="133">
        <v>4.54</v>
      </c>
      <c r="C53" s="15"/>
      <c r="D53" s="549">
        <f t="shared" si="0"/>
        <v>0</v>
      </c>
      <c r="E53" s="814"/>
      <c r="F53" s="549">
        <f t="shared" si="10"/>
        <v>0</v>
      </c>
      <c r="G53" s="331"/>
      <c r="H53" s="332"/>
      <c r="I53" s="815">
        <f t="shared" si="6"/>
        <v>0</v>
      </c>
      <c r="J53" s="73">
        <f t="shared" si="7"/>
        <v>0</v>
      </c>
      <c r="K53" s="60">
        <f t="shared" si="4"/>
        <v>0</v>
      </c>
      <c r="N53" s="133">
        <v>4.54</v>
      </c>
      <c r="O53" s="15">
        <v>7</v>
      </c>
      <c r="P53" s="69">
        <f t="shared" si="2"/>
        <v>31.78</v>
      </c>
      <c r="Q53" s="196">
        <v>44863</v>
      </c>
      <c r="R53" s="69">
        <f t="shared" si="11"/>
        <v>31.78</v>
      </c>
      <c r="S53" s="70" t="s">
        <v>586</v>
      </c>
      <c r="T53" s="71">
        <v>55</v>
      </c>
      <c r="U53" s="191">
        <f t="shared" si="8"/>
        <v>1421.0200000000018</v>
      </c>
      <c r="V53" s="73">
        <f t="shared" si="9"/>
        <v>313</v>
      </c>
      <c r="W53" s="60">
        <f t="shared" si="5"/>
        <v>1747.9</v>
      </c>
    </row>
    <row r="54" spans="2:23" x14ac:dyDescent="0.25">
      <c r="B54" s="133">
        <v>4.54</v>
      </c>
      <c r="C54" s="15"/>
      <c r="D54" s="549">
        <f t="shared" si="0"/>
        <v>0</v>
      </c>
      <c r="E54" s="814"/>
      <c r="F54" s="549">
        <f t="shared" si="10"/>
        <v>0</v>
      </c>
      <c r="G54" s="331"/>
      <c r="H54" s="332"/>
      <c r="I54" s="815">
        <f t="shared" si="6"/>
        <v>0</v>
      </c>
      <c r="J54" s="73">
        <f t="shared" si="7"/>
        <v>0</v>
      </c>
      <c r="K54" s="60">
        <f t="shared" si="4"/>
        <v>0</v>
      </c>
      <c r="M54" s="1004" t="s">
        <v>591</v>
      </c>
      <c r="N54" s="133">
        <v>4.54</v>
      </c>
      <c r="O54" s="15">
        <v>40</v>
      </c>
      <c r="P54" s="69">
        <f t="shared" si="2"/>
        <v>181.6</v>
      </c>
      <c r="Q54" s="196">
        <v>44864</v>
      </c>
      <c r="R54" s="69">
        <f t="shared" si="11"/>
        <v>181.6</v>
      </c>
      <c r="S54" s="70" t="s">
        <v>589</v>
      </c>
      <c r="T54" s="71">
        <v>55</v>
      </c>
      <c r="U54" s="1001">
        <f t="shared" si="8"/>
        <v>1239.4200000000019</v>
      </c>
      <c r="V54" s="1002">
        <f t="shared" si="9"/>
        <v>273</v>
      </c>
      <c r="W54" s="60">
        <f t="shared" si="5"/>
        <v>9988</v>
      </c>
    </row>
    <row r="55" spans="2:23" x14ac:dyDescent="0.25">
      <c r="B55" s="133">
        <v>4.54</v>
      </c>
      <c r="C55" s="15"/>
      <c r="D55" s="549">
        <f t="shared" si="0"/>
        <v>0</v>
      </c>
      <c r="E55" s="814"/>
      <c r="F55" s="549">
        <f t="shared" si="10"/>
        <v>0</v>
      </c>
      <c r="G55" s="331"/>
      <c r="H55" s="332"/>
      <c r="I55" s="815">
        <f t="shared" si="6"/>
        <v>0</v>
      </c>
      <c r="J55" s="73">
        <f t="shared" si="7"/>
        <v>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196"/>
      <c r="R55" s="69">
        <f t="shared" si="11"/>
        <v>0</v>
      </c>
      <c r="S55" s="70"/>
      <c r="T55" s="71"/>
      <c r="U55" s="191">
        <f t="shared" si="8"/>
        <v>1239.4200000000019</v>
      </c>
      <c r="V55" s="73">
        <f t="shared" si="9"/>
        <v>273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4"/>
      <c r="F56" s="549">
        <f t="shared" si="10"/>
        <v>0</v>
      </c>
      <c r="G56" s="331"/>
      <c r="H56" s="332"/>
      <c r="I56" s="815">
        <f t="shared" si="6"/>
        <v>0</v>
      </c>
      <c r="J56" s="73">
        <f t="shared" si="7"/>
        <v>0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6"/>
      <c r="R56" s="69">
        <f t="shared" si="11"/>
        <v>0</v>
      </c>
      <c r="S56" s="70"/>
      <c r="T56" s="71"/>
      <c r="U56" s="191">
        <f t="shared" si="8"/>
        <v>1239.4200000000019</v>
      </c>
      <c r="V56" s="73">
        <f t="shared" si="9"/>
        <v>273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4"/>
      <c r="F57" s="549">
        <f t="shared" si="10"/>
        <v>0</v>
      </c>
      <c r="G57" s="331"/>
      <c r="H57" s="332"/>
      <c r="I57" s="815">
        <f t="shared" si="6"/>
        <v>0</v>
      </c>
      <c r="J57" s="73">
        <f t="shared" si="7"/>
        <v>0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6"/>
      <c r="R57" s="69">
        <f t="shared" si="11"/>
        <v>0</v>
      </c>
      <c r="S57" s="70"/>
      <c r="T57" s="71"/>
      <c r="U57" s="191">
        <f t="shared" si="8"/>
        <v>1239.4200000000019</v>
      </c>
      <c r="V57" s="73">
        <f t="shared" si="9"/>
        <v>273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4"/>
      <c r="F58" s="549">
        <f t="shared" si="10"/>
        <v>0</v>
      </c>
      <c r="G58" s="331"/>
      <c r="H58" s="332"/>
      <c r="I58" s="815">
        <f t="shared" si="6"/>
        <v>0</v>
      </c>
      <c r="J58" s="73">
        <f t="shared" si="7"/>
        <v>0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6"/>
      <c r="R58" s="69">
        <f t="shared" si="11"/>
        <v>0</v>
      </c>
      <c r="S58" s="70"/>
      <c r="T58" s="71"/>
      <c r="U58" s="191">
        <f t="shared" si="8"/>
        <v>1239.4200000000019</v>
      </c>
      <c r="V58" s="73">
        <f t="shared" si="9"/>
        <v>273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4"/>
      <c r="F59" s="549">
        <f t="shared" si="10"/>
        <v>0</v>
      </c>
      <c r="G59" s="331"/>
      <c r="H59" s="332"/>
      <c r="I59" s="815">
        <f t="shared" si="6"/>
        <v>0</v>
      </c>
      <c r="J59" s="73">
        <f t="shared" si="7"/>
        <v>0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4"/>
      <c r="R59" s="549">
        <f t="shared" si="11"/>
        <v>0</v>
      </c>
      <c r="S59" s="331"/>
      <c r="T59" s="332"/>
      <c r="U59" s="815">
        <f t="shared" si="8"/>
        <v>1239.4200000000019</v>
      </c>
      <c r="V59" s="73">
        <f t="shared" si="9"/>
        <v>273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4"/>
      <c r="F60" s="549">
        <f t="shared" si="10"/>
        <v>0</v>
      </c>
      <c r="G60" s="331"/>
      <c r="H60" s="332"/>
      <c r="I60" s="815">
        <f t="shared" si="6"/>
        <v>0</v>
      </c>
      <c r="J60" s="73">
        <f t="shared" si="7"/>
        <v>0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4"/>
      <c r="R60" s="549">
        <f t="shared" si="11"/>
        <v>0</v>
      </c>
      <c r="S60" s="331"/>
      <c r="T60" s="332"/>
      <c r="U60" s="815">
        <f t="shared" si="8"/>
        <v>1239.4200000000019</v>
      </c>
      <c r="V60" s="73">
        <f t="shared" si="9"/>
        <v>273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4"/>
      <c r="F61" s="549">
        <f t="shared" si="10"/>
        <v>0</v>
      </c>
      <c r="G61" s="331"/>
      <c r="H61" s="332"/>
      <c r="I61" s="815">
        <f t="shared" si="6"/>
        <v>0</v>
      </c>
      <c r="J61" s="73">
        <f t="shared" si="7"/>
        <v>0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4"/>
      <c r="R61" s="549">
        <f t="shared" si="11"/>
        <v>0</v>
      </c>
      <c r="S61" s="331"/>
      <c r="T61" s="332"/>
      <c r="U61" s="815">
        <f t="shared" si="8"/>
        <v>1239.4200000000019</v>
      </c>
      <c r="V61" s="73">
        <f t="shared" si="9"/>
        <v>273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4"/>
      <c r="F62" s="549">
        <f t="shared" si="10"/>
        <v>0</v>
      </c>
      <c r="G62" s="331"/>
      <c r="H62" s="332"/>
      <c r="I62" s="815">
        <f t="shared" si="6"/>
        <v>0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4"/>
      <c r="R62" s="549">
        <f t="shared" si="11"/>
        <v>0</v>
      </c>
      <c r="S62" s="331"/>
      <c r="T62" s="332"/>
      <c r="U62" s="815">
        <f t="shared" si="8"/>
        <v>1239.4200000000019</v>
      </c>
      <c r="V62" s="73">
        <f t="shared" si="9"/>
        <v>273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4"/>
      <c r="F63" s="549">
        <f t="shared" si="10"/>
        <v>0</v>
      </c>
      <c r="G63" s="331"/>
      <c r="H63" s="332"/>
      <c r="I63" s="815">
        <f t="shared" si="6"/>
        <v>0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4"/>
      <c r="R63" s="549">
        <f t="shared" si="11"/>
        <v>0</v>
      </c>
      <c r="S63" s="331"/>
      <c r="T63" s="332"/>
      <c r="U63" s="815">
        <f t="shared" si="8"/>
        <v>1239.4200000000019</v>
      </c>
      <c r="V63" s="73">
        <f t="shared" si="9"/>
        <v>273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4"/>
      <c r="F64" s="549">
        <f t="shared" si="10"/>
        <v>0</v>
      </c>
      <c r="G64" s="331"/>
      <c r="H64" s="332"/>
      <c r="I64" s="815">
        <f t="shared" si="6"/>
        <v>0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4"/>
      <c r="R64" s="549">
        <f t="shared" si="11"/>
        <v>0</v>
      </c>
      <c r="S64" s="331"/>
      <c r="T64" s="332"/>
      <c r="U64" s="815">
        <f t="shared" si="8"/>
        <v>1239.4200000000019</v>
      </c>
      <c r="V64" s="73">
        <f t="shared" si="9"/>
        <v>273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4"/>
      <c r="F65" s="549">
        <f t="shared" si="10"/>
        <v>0</v>
      </c>
      <c r="G65" s="331"/>
      <c r="H65" s="332"/>
      <c r="I65" s="815">
        <f t="shared" si="6"/>
        <v>0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4"/>
      <c r="R65" s="549">
        <f t="shared" si="11"/>
        <v>0</v>
      </c>
      <c r="S65" s="331"/>
      <c r="T65" s="332"/>
      <c r="U65" s="815">
        <f t="shared" si="8"/>
        <v>1239.4200000000019</v>
      </c>
      <c r="V65" s="73">
        <f t="shared" si="9"/>
        <v>273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4"/>
      <c r="F66" s="549">
        <f t="shared" si="10"/>
        <v>0</v>
      </c>
      <c r="G66" s="331"/>
      <c r="H66" s="332"/>
      <c r="I66" s="815">
        <f t="shared" si="6"/>
        <v>0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4"/>
      <c r="R66" s="549">
        <f t="shared" si="11"/>
        <v>0</v>
      </c>
      <c r="S66" s="331"/>
      <c r="T66" s="332"/>
      <c r="U66" s="815">
        <f t="shared" si="8"/>
        <v>1239.4200000000019</v>
      </c>
      <c r="V66" s="73">
        <f t="shared" si="9"/>
        <v>273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4"/>
      <c r="F67" s="549">
        <f t="shared" si="10"/>
        <v>0</v>
      </c>
      <c r="G67" s="331"/>
      <c r="H67" s="332"/>
      <c r="I67" s="815">
        <f t="shared" si="6"/>
        <v>0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4"/>
      <c r="R67" s="549">
        <f t="shared" si="11"/>
        <v>0</v>
      </c>
      <c r="S67" s="331"/>
      <c r="T67" s="332"/>
      <c r="U67" s="815">
        <f t="shared" si="8"/>
        <v>1239.4200000000019</v>
      </c>
      <c r="V67" s="73">
        <f t="shared" si="9"/>
        <v>273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4"/>
      <c r="F68" s="549">
        <f t="shared" si="10"/>
        <v>0</v>
      </c>
      <c r="G68" s="331"/>
      <c r="H68" s="332"/>
      <c r="I68" s="815">
        <f t="shared" si="6"/>
        <v>0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4"/>
      <c r="R68" s="549">
        <f t="shared" si="11"/>
        <v>0</v>
      </c>
      <c r="S68" s="331"/>
      <c r="T68" s="332"/>
      <c r="U68" s="815">
        <f t="shared" si="8"/>
        <v>1239.4200000000019</v>
      </c>
      <c r="V68" s="73">
        <f t="shared" si="9"/>
        <v>273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4"/>
      <c r="F69" s="549">
        <f t="shared" si="10"/>
        <v>0</v>
      </c>
      <c r="G69" s="331"/>
      <c r="H69" s="332"/>
      <c r="I69" s="815">
        <f t="shared" si="6"/>
        <v>0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4"/>
      <c r="R69" s="549">
        <f t="shared" si="11"/>
        <v>0</v>
      </c>
      <c r="S69" s="331"/>
      <c r="T69" s="332"/>
      <c r="U69" s="815">
        <f t="shared" si="8"/>
        <v>1239.4200000000019</v>
      </c>
      <c r="V69" s="73">
        <f t="shared" si="9"/>
        <v>273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0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1239.4200000000019</v>
      </c>
      <c r="V70" s="73">
        <f t="shared" si="9"/>
        <v>273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0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1239.4200000000019</v>
      </c>
      <c r="V71" s="73">
        <f t="shared" si="9"/>
        <v>273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0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1239.4200000000019</v>
      </c>
      <c r="V72" s="73">
        <f t="shared" si="9"/>
        <v>273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0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1239.4200000000019</v>
      </c>
      <c r="V73" s="73">
        <f t="shared" si="9"/>
        <v>273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0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1239.4200000000019</v>
      </c>
      <c r="V74" s="73">
        <f t="shared" si="9"/>
        <v>273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0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1239.4200000000019</v>
      </c>
      <c r="V75" s="73">
        <f t="shared" ref="V75:V106" si="17">V74-O75</f>
        <v>273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0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1239.4200000000019</v>
      </c>
      <c r="V76" s="73">
        <f t="shared" si="17"/>
        <v>273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0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1239.4200000000019</v>
      </c>
      <c r="V77" s="73">
        <f t="shared" si="17"/>
        <v>273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0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1239.4200000000019</v>
      </c>
      <c r="V78" s="73">
        <f t="shared" si="17"/>
        <v>273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0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1239.4200000000019</v>
      </c>
      <c r="V79" s="73">
        <f t="shared" si="17"/>
        <v>273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0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1239.4200000000019</v>
      </c>
      <c r="V80" s="73">
        <f t="shared" si="17"/>
        <v>273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0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1239.4200000000019</v>
      </c>
      <c r="V81" s="73">
        <f t="shared" si="17"/>
        <v>273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0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1239.4200000000019</v>
      </c>
      <c r="V82" s="73">
        <f t="shared" si="17"/>
        <v>273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0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1239.4200000000019</v>
      </c>
      <c r="V83" s="73">
        <f t="shared" si="17"/>
        <v>273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0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1239.4200000000019</v>
      </c>
      <c r="V84" s="73">
        <f t="shared" si="17"/>
        <v>273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0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1239.4200000000019</v>
      </c>
      <c r="V85" s="73">
        <f t="shared" si="17"/>
        <v>273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0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1239.4200000000019</v>
      </c>
      <c r="V86" s="73">
        <f t="shared" si="17"/>
        <v>273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0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1239.4200000000019</v>
      </c>
      <c r="V87" s="73">
        <f t="shared" si="17"/>
        <v>273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0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1239.4200000000019</v>
      </c>
      <c r="V88" s="73">
        <f t="shared" si="17"/>
        <v>273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0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1239.4200000000019</v>
      </c>
      <c r="V89" s="73">
        <f t="shared" si="17"/>
        <v>273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0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1239.4200000000019</v>
      </c>
      <c r="V90" s="73">
        <f t="shared" si="17"/>
        <v>273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0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1239.4200000000019</v>
      </c>
      <c r="V91" s="73">
        <f t="shared" si="17"/>
        <v>273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0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1239.4200000000019</v>
      </c>
      <c r="V92" s="73">
        <f t="shared" si="17"/>
        <v>273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0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1239.4200000000019</v>
      </c>
      <c r="V93" s="73">
        <f t="shared" si="17"/>
        <v>273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0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1239.4200000000019</v>
      </c>
      <c r="V94" s="73">
        <f t="shared" si="17"/>
        <v>273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0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1239.4200000000019</v>
      </c>
      <c r="V95" s="73">
        <f t="shared" si="17"/>
        <v>273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0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1239.4200000000019</v>
      </c>
      <c r="V96" s="73">
        <f t="shared" si="17"/>
        <v>273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0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1239.4200000000019</v>
      </c>
      <c r="V97" s="73">
        <f t="shared" si="17"/>
        <v>273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0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1239.4200000000019</v>
      </c>
      <c r="V98" s="73">
        <f t="shared" si="17"/>
        <v>273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0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1239.4200000000019</v>
      </c>
      <c r="V99" s="73">
        <f t="shared" si="17"/>
        <v>273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0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1239.4200000000019</v>
      </c>
      <c r="V100" s="73">
        <f t="shared" si="17"/>
        <v>273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0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1239.4200000000019</v>
      </c>
      <c r="V101" s="73">
        <f t="shared" si="17"/>
        <v>273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0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1239.4200000000019</v>
      </c>
      <c r="V102" s="73">
        <f t="shared" si="17"/>
        <v>273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0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1239.4200000000019</v>
      </c>
      <c r="V103" s="73">
        <f t="shared" si="17"/>
        <v>273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0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1239.4200000000019</v>
      </c>
      <c r="V104" s="73">
        <f t="shared" si="17"/>
        <v>273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0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1239.4200000000019</v>
      </c>
      <c r="V105" s="73">
        <f t="shared" si="17"/>
        <v>273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0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1239.4200000000019</v>
      </c>
      <c r="V106" s="73">
        <f t="shared" si="17"/>
        <v>273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0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1239.4200000000019</v>
      </c>
      <c r="V107" s="73">
        <f>V83-O107</f>
        <v>273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592</v>
      </c>
      <c r="D109" s="6">
        <f>SUM(D9:D108)</f>
        <v>2687.68</v>
      </c>
      <c r="E109" s="13"/>
      <c r="F109" s="6">
        <f>SUM(F9:F108)</f>
        <v>2687.68</v>
      </c>
      <c r="G109" s="31"/>
      <c r="H109" s="17"/>
      <c r="I109" s="132"/>
      <c r="J109" s="73"/>
      <c r="O109" s="15">
        <f>SUM(O9:O108)</f>
        <v>724</v>
      </c>
      <c r="P109" s="6">
        <f>SUM(P9:P108)</f>
        <v>3286.9599999999991</v>
      </c>
      <c r="Q109" s="13"/>
      <c r="R109" s="6">
        <f>SUM(R9:R108)</f>
        <v>3286.9599999999991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273</v>
      </c>
      <c r="Q111" s="40"/>
      <c r="R111" s="6"/>
      <c r="S111" s="31"/>
      <c r="T111" s="17"/>
      <c r="U111" s="132"/>
      <c r="V111" s="73"/>
    </row>
    <row r="112" spans="2:23" x14ac:dyDescent="0.25">
      <c r="C112" s="1121" t="s">
        <v>19</v>
      </c>
      <c r="D112" s="1122"/>
      <c r="E112" s="39">
        <f>E4+E5-F109+E6+E7</f>
        <v>0</v>
      </c>
      <c r="F112" s="6"/>
      <c r="G112" s="6"/>
      <c r="H112" s="17"/>
      <c r="I112" s="132"/>
      <c r="J112" s="73"/>
      <c r="O112" s="1121" t="s">
        <v>19</v>
      </c>
      <c r="P112" s="1122"/>
      <c r="Q112" s="39">
        <f>Q4+Q5-R109+Q6+Q7</f>
        <v>1239.4200000000012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1" sqref="D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70" t="s">
        <v>270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078" t="s">
        <v>52</v>
      </c>
      <c r="B5" s="1123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4805.5</v>
      </c>
      <c r="H5" s="138">
        <f>E4+E5-G5+E6+E7</f>
        <v>243.18000000000029</v>
      </c>
    </row>
    <row r="6" spans="1:9" ht="15.75" thickBot="1" x14ac:dyDescent="0.3">
      <c r="A6" s="1078"/>
      <c r="B6" s="1123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12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5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172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183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218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989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250</v>
      </c>
      <c r="H14" s="206">
        <v>78</v>
      </c>
      <c r="I14" s="326">
        <f t="shared" si="2"/>
        <v>1339.680000000001</v>
      </c>
    </row>
    <row r="15" spans="1:9" x14ac:dyDescent="0.25">
      <c r="B15" s="577">
        <f t="shared" si="1"/>
        <v>45</v>
      </c>
      <c r="C15" s="15">
        <v>7</v>
      </c>
      <c r="D15" s="816">
        <v>190.87</v>
      </c>
      <c r="E15" s="814">
        <v>44842</v>
      </c>
      <c r="F15" s="549">
        <f t="shared" si="0"/>
        <v>190.87</v>
      </c>
      <c r="G15" s="331" t="s">
        <v>451</v>
      </c>
      <c r="H15" s="332">
        <v>78</v>
      </c>
      <c r="I15" s="105">
        <f t="shared" si="2"/>
        <v>1148.8100000000009</v>
      </c>
    </row>
    <row r="16" spans="1:9" x14ac:dyDescent="0.25">
      <c r="B16" s="577">
        <f t="shared" si="1"/>
        <v>37</v>
      </c>
      <c r="C16" s="15">
        <v>8</v>
      </c>
      <c r="D16" s="816">
        <v>206.47</v>
      </c>
      <c r="E16" s="814">
        <v>44844</v>
      </c>
      <c r="F16" s="549">
        <f t="shared" si="0"/>
        <v>206.47</v>
      </c>
      <c r="G16" s="331" t="s">
        <v>461</v>
      </c>
      <c r="H16" s="332">
        <v>78</v>
      </c>
      <c r="I16" s="105">
        <f t="shared" si="2"/>
        <v>942.34000000000083</v>
      </c>
    </row>
    <row r="17" spans="2:9" x14ac:dyDescent="0.25">
      <c r="B17" s="577">
        <f t="shared" si="1"/>
        <v>29</v>
      </c>
      <c r="C17" s="15">
        <v>8</v>
      </c>
      <c r="D17" s="816">
        <v>215.7</v>
      </c>
      <c r="E17" s="814">
        <v>44851</v>
      </c>
      <c r="F17" s="549">
        <f t="shared" si="0"/>
        <v>215.7</v>
      </c>
      <c r="G17" s="331" t="s">
        <v>507</v>
      </c>
      <c r="H17" s="332">
        <v>78</v>
      </c>
      <c r="I17" s="105">
        <f t="shared" si="2"/>
        <v>726.64000000000078</v>
      </c>
    </row>
    <row r="18" spans="2:9" x14ac:dyDescent="0.25">
      <c r="B18" s="577">
        <f t="shared" si="1"/>
        <v>24</v>
      </c>
      <c r="C18" s="15">
        <v>5</v>
      </c>
      <c r="D18" s="816">
        <v>130.44999999999999</v>
      </c>
      <c r="E18" s="814">
        <v>44854</v>
      </c>
      <c r="F18" s="549">
        <f t="shared" si="0"/>
        <v>130.44999999999999</v>
      </c>
      <c r="G18" s="331" t="s">
        <v>528</v>
      </c>
      <c r="H18" s="332">
        <v>78</v>
      </c>
      <c r="I18" s="105">
        <f t="shared" si="2"/>
        <v>596.19000000000074</v>
      </c>
    </row>
    <row r="19" spans="2:9" x14ac:dyDescent="0.25">
      <c r="B19" s="577">
        <f t="shared" si="1"/>
        <v>18</v>
      </c>
      <c r="C19" s="15">
        <v>6</v>
      </c>
      <c r="D19" s="816">
        <v>149.19999999999999</v>
      </c>
      <c r="E19" s="814">
        <v>44856</v>
      </c>
      <c r="F19" s="549">
        <f t="shared" si="0"/>
        <v>149.19999999999999</v>
      </c>
      <c r="G19" s="331" t="s">
        <v>542</v>
      </c>
      <c r="H19" s="332">
        <v>78</v>
      </c>
      <c r="I19" s="105">
        <f t="shared" si="2"/>
        <v>446.99000000000075</v>
      </c>
    </row>
    <row r="20" spans="2:9" x14ac:dyDescent="0.25">
      <c r="B20" s="990">
        <f t="shared" si="1"/>
        <v>10</v>
      </c>
      <c r="C20" s="15">
        <v>8</v>
      </c>
      <c r="D20" s="816">
        <v>203.81</v>
      </c>
      <c r="E20" s="814">
        <v>44862</v>
      </c>
      <c r="F20" s="549">
        <f t="shared" si="0"/>
        <v>203.81</v>
      </c>
      <c r="G20" s="331" t="s">
        <v>573</v>
      </c>
      <c r="H20" s="332">
        <v>78</v>
      </c>
      <c r="I20" s="991">
        <f t="shared" si="2"/>
        <v>243.18000000000075</v>
      </c>
    </row>
    <row r="21" spans="2:9" x14ac:dyDescent="0.25">
      <c r="B21" s="577">
        <f t="shared" si="1"/>
        <v>10</v>
      </c>
      <c r="C21" s="15"/>
      <c r="D21" s="816"/>
      <c r="E21" s="814"/>
      <c r="F21" s="549">
        <f t="shared" si="0"/>
        <v>0</v>
      </c>
      <c r="G21" s="331"/>
      <c r="H21" s="332"/>
      <c r="I21" s="105">
        <f t="shared" si="2"/>
        <v>243.18000000000075</v>
      </c>
    </row>
    <row r="22" spans="2:9" x14ac:dyDescent="0.25">
      <c r="B22" s="577">
        <f t="shared" si="1"/>
        <v>10</v>
      </c>
      <c r="C22" s="15"/>
      <c r="D22" s="816"/>
      <c r="E22" s="814"/>
      <c r="F22" s="549">
        <f t="shared" si="0"/>
        <v>0</v>
      </c>
      <c r="G22" s="331"/>
      <c r="H22" s="332"/>
      <c r="I22" s="105">
        <f t="shared" si="2"/>
        <v>243.18000000000075</v>
      </c>
    </row>
    <row r="23" spans="2:9" x14ac:dyDescent="0.25">
      <c r="B23" s="577">
        <f t="shared" si="1"/>
        <v>10</v>
      </c>
      <c r="C23" s="15"/>
      <c r="D23" s="816"/>
      <c r="E23" s="814"/>
      <c r="F23" s="549">
        <f t="shared" si="0"/>
        <v>0</v>
      </c>
      <c r="G23" s="331"/>
      <c r="H23" s="332"/>
      <c r="I23" s="105">
        <f t="shared" si="2"/>
        <v>243.18000000000075</v>
      </c>
    </row>
    <row r="24" spans="2:9" x14ac:dyDescent="0.25">
      <c r="B24" s="577">
        <f t="shared" si="1"/>
        <v>10</v>
      </c>
      <c r="C24" s="15"/>
      <c r="D24" s="816"/>
      <c r="E24" s="814"/>
      <c r="F24" s="549">
        <f t="shared" si="0"/>
        <v>0</v>
      </c>
      <c r="G24" s="331"/>
      <c r="H24" s="332"/>
      <c r="I24" s="105">
        <f t="shared" si="2"/>
        <v>243.18000000000075</v>
      </c>
    </row>
    <row r="25" spans="2:9" x14ac:dyDescent="0.25">
      <c r="B25" s="577">
        <f t="shared" si="1"/>
        <v>10</v>
      </c>
      <c r="C25" s="15"/>
      <c r="D25" s="816"/>
      <c r="E25" s="814"/>
      <c r="F25" s="549">
        <f t="shared" si="0"/>
        <v>0</v>
      </c>
      <c r="G25" s="331"/>
      <c r="H25" s="332"/>
      <c r="I25" s="105">
        <f t="shared" si="2"/>
        <v>243.18000000000075</v>
      </c>
    </row>
    <row r="26" spans="2:9" x14ac:dyDescent="0.25">
      <c r="B26" s="577">
        <f t="shared" si="1"/>
        <v>10</v>
      </c>
      <c r="C26" s="15"/>
      <c r="D26" s="816"/>
      <c r="E26" s="814"/>
      <c r="F26" s="549">
        <f t="shared" si="0"/>
        <v>0</v>
      </c>
      <c r="G26" s="331"/>
      <c r="H26" s="332"/>
      <c r="I26" s="105">
        <f t="shared" si="2"/>
        <v>243.18000000000075</v>
      </c>
    </row>
    <row r="27" spans="2:9" x14ac:dyDescent="0.25">
      <c r="B27" s="577">
        <f t="shared" si="1"/>
        <v>10</v>
      </c>
      <c r="C27" s="15"/>
      <c r="D27" s="816"/>
      <c r="E27" s="814"/>
      <c r="F27" s="549">
        <f t="shared" si="0"/>
        <v>0</v>
      </c>
      <c r="G27" s="331"/>
      <c r="H27" s="332"/>
      <c r="I27" s="105">
        <f t="shared" si="2"/>
        <v>243.18000000000075</v>
      </c>
    </row>
    <row r="28" spans="2:9" x14ac:dyDescent="0.25">
      <c r="B28" s="577">
        <f t="shared" si="1"/>
        <v>10</v>
      </c>
      <c r="C28" s="15"/>
      <c r="D28" s="549"/>
      <c r="E28" s="814"/>
      <c r="F28" s="549">
        <f t="shared" si="0"/>
        <v>0</v>
      </c>
      <c r="G28" s="331"/>
      <c r="H28" s="332"/>
      <c r="I28" s="105">
        <f t="shared" si="2"/>
        <v>243.18000000000075</v>
      </c>
    </row>
    <row r="29" spans="2:9" x14ac:dyDescent="0.25">
      <c r="B29" s="577">
        <f t="shared" si="1"/>
        <v>10</v>
      </c>
      <c r="C29" s="15"/>
      <c r="D29" s="549"/>
      <c r="E29" s="814"/>
      <c r="F29" s="549">
        <f t="shared" si="0"/>
        <v>0</v>
      </c>
      <c r="G29" s="331"/>
      <c r="H29" s="332"/>
      <c r="I29" s="105">
        <f t="shared" si="2"/>
        <v>243.18000000000075</v>
      </c>
    </row>
    <row r="30" spans="2:9" ht="15.75" thickBot="1" x14ac:dyDescent="0.3">
      <c r="B30" s="577">
        <f t="shared" si="1"/>
        <v>10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21" t="s">
        <v>19</v>
      </c>
      <c r="D34" s="112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xSplit="1" ySplit="8" topLeftCell="AC9" activePane="bottomRight" state="frozen"/>
      <selection pane="topRight" activeCell="B1" sqref="B1"/>
      <selection pane="bottomLeft" activeCell="A9" sqref="A9"/>
      <selection pane="bottomRight" activeCell="AG12" sqref="AG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70" t="s">
        <v>265</v>
      </c>
      <c r="B1" s="1070"/>
      <c r="C1" s="1070"/>
      <c r="D1" s="1070"/>
      <c r="E1" s="1070"/>
      <c r="F1" s="1070"/>
      <c r="G1" s="1070"/>
      <c r="H1" s="11">
        <v>1</v>
      </c>
      <c r="K1" s="1074" t="s">
        <v>260</v>
      </c>
      <c r="L1" s="1074"/>
      <c r="M1" s="1074"/>
      <c r="N1" s="1074"/>
      <c r="O1" s="1074"/>
      <c r="P1" s="1074"/>
      <c r="Q1" s="1074"/>
      <c r="R1" s="11">
        <v>2</v>
      </c>
      <c r="U1" s="1070" t="str">
        <f>A1</f>
        <v>INVENTARIO    DEL MES DE   SEPTIEMBRE    2022</v>
      </c>
      <c r="V1" s="1070"/>
      <c r="W1" s="1070"/>
      <c r="X1" s="1070"/>
      <c r="Y1" s="1070"/>
      <c r="Z1" s="1070"/>
      <c r="AA1" s="1070"/>
      <c r="AB1" s="11">
        <v>3</v>
      </c>
      <c r="AE1" s="1074" t="s">
        <v>260</v>
      </c>
      <c r="AF1" s="1074"/>
      <c r="AG1" s="1074"/>
      <c r="AH1" s="1074"/>
      <c r="AI1" s="1074"/>
      <c r="AJ1" s="1074"/>
      <c r="AK1" s="107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424"/>
      <c r="N4" s="134"/>
      <c r="O4" s="78"/>
      <c r="P4" s="62"/>
      <c r="Q4" s="155"/>
      <c r="R4" s="155"/>
      <c r="U4" s="12"/>
      <c r="V4" s="12"/>
      <c r="W4" s="587"/>
      <c r="X4" s="134"/>
      <c r="Y4" s="78">
        <v>20</v>
      </c>
      <c r="Z4" s="62">
        <v>2</v>
      </c>
      <c r="AA4" s="155"/>
      <c r="AB4" s="155"/>
      <c r="AE4" s="12"/>
      <c r="AF4" s="12"/>
      <c r="AG4" s="587"/>
      <c r="AH4" s="134"/>
      <c r="AI4" s="78"/>
      <c r="AJ4" s="62"/>
      <c r="AK4" s="155"/>
      <c r="AL4" s="155"/>
    </row>
    <row r="5" spans="1:39" ht="22.5" customHeight="1" x14ac:dyDescent="0.25">
      <c r="A5" s="1084" t="s">
        <v>65</v>
      </c>
      <c r="B5" s="1128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1084" t="s">
        <v>65</v>
      </c>
      <c r="L5" s="1128" t="s">
        <v>70</v>
      </c>
      <c r="M5" s="400">
        <v>85</v>
      </c>
      <c r="N5" s="134">
        <v>44862</v>
      </c>
      <c r="O5" s="209">
        <v>150</v>
      </c>
      <c r="P5" s="62">
        <v>15</v>
      </c>
      <c r="Q5" s="5"/>
      <c r="U5" s="563" t="s">
        <v>65</v>
      </c>
      <c r="V5" s="1126" t="s">
        <v>69</v>
      </c>
      <c r="W5" s="400">
        <v>100</v>
      </c>
      <c r="X5" s="134">
        <v>44809</v>
      </c>
      <c r="Y5" s="209">
        <v>150</v>
      </c>
      <c r="Z5" s="62">
        <v>15</v>
      </c>
      <c r="AA5" s="5"/>
      <c r="AE5" s="1111" t="s">
        <v>275</v>
      </c>
      <c r="AF5" s="1126" t="s">
        <v>69</v>
      </c>
      <c r="AG5" s="400">
        <v>100</v>
      </c>
      <c r="AH5" s="134">
        <v>44837</v>
      </c>
      <c r="AI5" s="209">
        <v>150</v>
      </c>
      <c r="AJ5" s="62">
        <v>15</v>
      </c>
      <c r="AK5" s="5"/>
    </row>
    <row r="6" spans="1:39" ht="22.5" customHeight="1" thickBot="1" x14ac:dyDescent="0.3">
      <c r="A6" s="1084"/>
      <c r="B6" s="1128"/>
      <c r="C6" s="12"/>
      <c r="D6" s="12"/>
      <c r="E6" s="573">
        <v>90</v>
      </c>
      <c r="F6" s="144">
        <v>9</v>
      </c>
      <c r="G6" s="47">
        <f>F78</f>
        <v>320</v>
      </c>
      <c r="H6" s="7">
        <f>E6-G6+E7+E5-G5+E4</f>
        <v>20</v>
      </c>
      <c r="K6" s="1084"/>
      <c r="L6" s="1128"/>
      <c r="M6" s="12"/>
      <c r="N6" s="12"/>
      <c r="O6" s="573"/>
      <c r="P6" s="144"/>
      <c r="Q6" s="47">
        <f>P78</f>
        <v>0</v>
      </c>
      <c r="R6" s="7">
        <f>O6-Q6+O7+O5-Q5+O4</f>
        <v>150</v>
      </c>
      <c r="U6" s="227"/>
      <c r="V6" s="1127"/>
      <c r="W6" s="400"/>
      <c r="X6" s="134"/>
      <c r="Y6" s="209"/>
      <c r="Z6" s="62"/>
      <c r="AA6" s="47">
        <f>Z78</f>
        <v>170</v>
      </c>
      <c r="AB6" s="7">
        <f>Y6-AA6+Y7+Y5-AA5+Y4</f>
        <v>0</v>
      </c>
      <c r="AE6" s="1111"/>
      <c r="AF6" s="1127"/>
      <c r="AG6" s="400">
        <v>95</v>
      </c>
      <c r="AH6" s="134">
        <v>44862</v>
      </c>
      <c r="AI6" s="209">
        <v>100</v>
      </c>
      <c r="AJ6" s="62">
        <v>10</v>
      </c>
      <c r="AK6" s="47">
        <f>AJ78</f>
        <v>30</v>
      </c>
      <c r="AL6" s="7">
        <f>AI6-AK6+AI7+AI5-AK5+AI4</f>
        <v>220</v>
      </c>
    </row>
    <row r="7" spans="1:39" ht="24.75" customHeight="1" thickBot="1" x14ac:dyDescent="0.3">
      <c r="B7" s="19"/>
      <c r="C7" s="817">
        <v>85</v>
      </c>
      <c r="D7" s="818">
        <v>44809</v>
      </c>
      <c r="E7" s="819">
        <v>150</v>
      </c>
      <c r="F7" s="820">
        <v>15</v>
      </c>
      <c r="L7" s="19"/>
      <c r="M7" s="817"/>
      <c r="N7" s="818"/>
      <c r="O7" s="819"/>
      <c r="P7" s="820"/>
      <c r="V7" s="19"/>
      <c r="W7" s="232"/>
      <c r="X7" s="233"/>
      <c r="Y7" s="78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3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7</v>
      </c>
      <c r="W9" s="73">
        <v>10</v>
      </c>
      <c r="X9" s="69">
        <v>100</v>
      </c>
      <c r="Y9" s="203">
        <v>44834</v>
      </c>
      <c r="Z9" s="69">
        <f>X9</f>
        <v>100</v>
      </c>
      <c r="AA9" s="70" t="s">
        <v>252</v>
      </c>
      <c r="AB9" s="71">
        <v>115</v>
      </c>
      <c r="AC9" s="105">
        <f>Y6-Z9+Y5+Y7+Y4</f>
        <v>70</v>
      </c>
      <c r="AE9" s="80" t="s">
        <v>32</v>
      </c>
      <c r="AF9" s="83">
        <f>AJ6-AG9+AJ5+AJ7+AJ4</f>
        <v>24</v>
      </c>
      <c r="AG9" s="73">
        <v>1</v>
      </c>
      <c r="AH9" s="69">
        <v>10</v>
      </c>
      <c r="AI9" s="203">
        <v>44854</v>
      </c>
      <c r="AJ9" s="69">
        <f>AH9</f>
        <v>10</v>
      </c>
      <c r="AK9" s="70" t="s">
        <v>527</v>
      </c>
      <c r="AL9" s="71">
        <v>115</v>
      </c>
      <c r="AM9" s="105">
        <f>AI6-AJ9+AI5+AI7+AI4</f>
        <v>240</v>
      </c>
    </row>
    <row r="10" spans="1:3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15</v>
      </c>
      <c r="M10" s="73"/>
      <c r="N10" s="69"/>
      <c r="O10" s="203"/>
      <c r="P10" s="69">
        <f t="shared" ref="P10:P73" si="3">N10</f>
        <v>0</v>
      </c>
      <c r="Q10" s="70"/>
      <c r="R10" s="71"/>
      <c r="S10" s="105">
        <f>S9-P10</f>
        <v>150</v>
      </c>
      <c r="U10" s="195"/>
      <c r="V10" s="83">
        <f t="shared" ref="V10:V73" si="4">V9-W10</f>
        <v>6</v>
      </c>
      <c r="W10" s="15">
        <v>1</v>
      </c>
      <c r="X10" s="549">
        <v>10</v>
      </c>
      <c r="Y10" s="802">
        <v>44837</v>
      </c>
      <c r="Z10" s="549">
        <f>X10</f>
        <v>10</v>
      </c>
      <c r="AA10" s="331" t="s">
        <v>412</v>
      </c>
      <c r="AB10" s="332">
        <v>115</v>
      </c>
      <c r="AC10" s="105">
        <f>AC9-Z10</f>
        <v>60</v>
      </c>
      <c r="AE10" s="195"/>
      <c r="AF10" s="83">
        <f t="shared" ref="AF10:AF73" si="5">AF9-AG10</f>
        <v>23</v>
      </c>
      <c r="AG10" s="15">
        <v>1</v>
      </c>
      <c r="AH10" s="69">
        <v>10</v>
      </c>
      <c r="AI10" s="203">
        <v>44863</v>
      </c>
      <c r="AJ10" s="69">
        <f>AH10</f>
        <v>10</v>
      </c>
      <c r="AK10" s="70" t="s">
        <v>578</v>
      </c>
      <c r="AL10" s="71">
        <v>115</v>
      </c>
      <c r="AM10" s="105">
        <f>AM9-AJ10</f>
        <v>230</v>
      </c>
    </row>
    <row r="11" spans="1:3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6">I10-F11</f>
        <v>300</v>
      </c>
      <c r="K11" s="183"/>
      <c r="L11" s="83">
        <f t="shared" si="2"/>
        <v>15</v>
      </c>
      <c r="M11" s="62"/>
      <c r="N11" s="69"/>
      <c r="O11" s="203"/>
      <c r="P11" s="69">
        <f t="shared" si="3"/>
        <v>0</v>
      </c>
      <c r="Q11" s="70"/>
      <c r="R11" s="71"/>
      <c r="S11" s="105">
        <f t="shared" ref="S11:S74" si="7">S10-P11</f>
        <v>150</v>
      </c>
      <c r="U11" s="183"/>
      <c r="V11" s="83">
        <f t="shared" si="4"/>
        <v>5</v>
      </c>
      <c r="W11" s="15">
        <v>1</v>
      </c>
      <c r="X11" s="549">
        <v>10</v>
      </c>
      <c r="Y11" s="802">
        <v>44837</v>
      </c>
      <c r="Z11" s="549">
        <f>X11</f>
        <v>10</v>
      </c>
      <c r="AA11" s="331" t="s">
        <v>415</v>
      </c>
      <c r="AB11" s="332">
        <v>115</v>
      </c>
      <c r="AC11" s="105">
        <f t="shared" ref="AC11:AC74" si="8">AC10-Z11</f>
        <v>50</v>
      </c>
      <c r="AE11" s="183"/>
      <c r="AF11" s="83">
        <f t="shared" si="5"/>
        <v>22</v>
      </c>
      <c r="AG11" s="15">
        <v>1</v>
      </c>
      <c r="AH11" s="69">
        <v>10</v>
      </c>
      <c r="AI11" s="203">
        <v>44863</v>
      </c>
      <c r="AJ11" s="69">
        <f>AH11</f>
        <v>10</v>
      </c>
      <c r="AK11" s="70" t="s">
        <v>587</v>
      </c>
      <c r="AL11" s="71">
        <v>115</v>
      </c>
      <c r="AM11" s="105">
        <f t="shared" ref="AM11:AM74" si="9">AM10-AJ11</f>
        <v>220</v>
      </c>
    </row>
    <row r="12" spans="1:3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6"/>
        <v>290</v>
      </c>
      <c r="K12" s="183"/>
      <c r="L12" s="83">
        <f t="shared" si="2"/>
        <v>15</v>
      </c>
      <c r="M12" s="62"/>
      <c r="N12" s="69"/>
      <c r="O12" s="203"/>
      <c r="P12" s="69">
        <f t="shared" si="3"/>
        <v>0</v>
      </c>
      <c r="Q12" s="70"/>
      <c r="R12" s="71"/>
      <c r="S12" s="105">
        <f t="shared" si="7"/>
        <v>150</v>
      </c>
      <c r="U12" s="183"/>
      <c r="V12" s="83">
        <f t="shared" si="4"/>
        <v>4</v>
      </c>
      <c r="W12" s="15">
        <v>1</v>
      </c>
      <c r="X12" s="549">
        <v>10</v>
      </c>
      <c r="Y12" s="802">
        <v>44840</v>
      </c>
      <c r="Z12" s="549">
        <f>X12</f>
        <v>10</v>
      </c>
      <c r="AA12" s="331" t="s">
        <v>430</v>
      </c>
      <c r="AB12" s="332">
        <v>115</v>
      </c>
      <c r="AC12" s="105">
        <f t="shared" si="8"/>
        <v>40</v>
      </c>
      <c r="AE12" s="183"/>
      <c r="AF12" s="83">
        <f t="shared" si="5"/>
        <v>22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220</v>
      </c>
    </row>
    <row r="13" spans="1:3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6"/>
        <v>270</v>
      </c>
      <c r="K13" s="82" t="s">
        <v>33</v>
      </c>
      <c r="L13" s="83">
        <f t="shared" si="2"/>
        <v>15</v>
      </c>
      <c r="M13" s="62"/>
      <c r="N13" s="69"/>
      <c r="O13" s="203"/>
      <c r="P13" s="69">
        <f t="shared" si="3"/>
        <v>0</v>
      </c>
      <c r="Q13" s="70"/>
      <c r="R13" s="71"/>
      <c r="S13" s="105">
        <f t="shared" si="7"/>
        <v>150</v>
      </c>
      <c r="U13" s="82" t="s">
        <v>33</v>
      </c>
      <c r="V13" s="83">
        <f t="shared" si="4"/>
        <v>2</v>
      </c>
      <c r="W13" s="15">
        <v>2</v>
      </c>
      <c r="X13" s="549">
        <v>20</v>
      </c>
      <c r="Y13" s="802">
        <v>44842</v>
      </c>
      <c r="Z13" s="549">
        <f>X13</f>
        <v>20</v>
      </c>
      <c r="AA13" s="331" t="s">
        <v>451</v>
      </c>
      <c r="AB13" s="332">
        <v>115</v>
      </c>
      <c r="AC13" s="105">
        <f t="shared" si="8"/>
        <v>20</v>
      </c>
      <c r="AE13" s="82" t="s">
        <v>33</v>
      </c>
      <c r="AF13" s="83">
        <f t="shared" si="5"/>
        <v>22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220</v>
      </c>
    </row>
    <row r="14" spans="1:3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6"/>
        <v>260</v>
      </c>
      <c r="K14" s="73"/>
      <c r="L14" s="83">
        <f t="shared" si="2"/>
        <v>15</v>
      </c>
      <c r="M14" s="62"/>
      <c r="N14" s="69"/>
      <c r="O14" s="203"/>
      <c r="P14" s="69">
        <f t="shared" si="3"/>
        <v>0</v>
      </c>
      <c r="Q14" s="70"/>
      <c r="R14" s="71"/>
      <c r="S14" s="105">
        <f t="shared" si="7"/>
        <v>150</v>
      </c>
      <c r="U14" s="73"/>
      <c r="V14" s="83">
        <f t="shared" si="4"/>
        <v>1</v>
      </c>
      <c r="W14" s="15">
        <v>1</v>
      </c>
      <c r="X14" s="549">
        <v>10</v>
      </c>
      <c r="Y14" s="802">
        <v>44846</v>
      </c>
      <c r="Z14" s="549">
        <f t="shared" ref="Z14:Z76" si="10">X14</f>
        <v>10</v>
      </c>
      <c r="AA14" s="331" t="s">
        <v>473</v>
      </c>
      <c r="AB14" s="332">
        <v>115</v>
      </c>
      <c r="AC14" s="105">
        <f t="shared" si="8"/>
        <v>10</v>
      </c>
      <c r="AE14" s="73"/>
      <c r="AF14" s="83">
        <f t="shared" si="5"/>
        <v>22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220</v>
      </c>
    </row>
    <row r="15" spans="1:3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6"/>
        <v>250</v>
      </c>
      <c r="K15" s="73"/>
      <c r="L15" s="83">
        <f t="shared" si="2"/>
        <v>15</v>
      </c>
      <c r="M15" s="62"/>
      <c r="N15" s="69"/>
      <c r="O15" s="203"/>
      <c r="P15" s="69">
        <f t="shared" si="3"/>
        <v>0</v>
      </c>
      <c r="Q15" s="70"/>
      <c r="R15" s="71"/>
      <c r="S15" s="105">
        <f t="shared" si="7"/>
        <v>150</v>
      </c>
      <c r="U15" s="73" t="s">
        <v>22</v>
      </c>
      <c r="V15" s="83">
        <f t="shared" si="4"/>
        <v>0</v>
      </c>
      <c r="W15" s="15">
        <v>1</v>
      </c>
      <c r="X15" s="549">
        <v>10</v>
      </c>
      <c r="Y15" s="802">
        <v>44848</v>
      </c>
      <c r="Z15" s="549">
        <f t="shared" si="10"/>
        <v>10</v>
      </c>
      <c r="AA15" s="331" t="s">
        <v>494</v>
      </c>
      <c r="AB15" s="332">
        <v>115</v>
      </c>
      <c r="AC15" s="105">
        <f t="shared" si="8"/>
        <v>0</v>
      </c>
      <c r="AE15" s="73" t="s">
        <v>22</v>
      </c>
      <c r="AF15" s="83">
        <f t="shared" si="5"/>
        <v>22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220</v>
      </c>
    </row>
    <row r="16" spans="1:3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173</v>
      </c>
      <c r="H16" s="387">
        <v>100</v>
      </c>
      <c r="I16" s="105">
        <f t="shared" si="6"/>
        <v>240</v>
      </c>
      <c r="L16" s="83">
        <f t="shared" si="2"/>
        <v>15</v>
      </c>
      <c r="M16" s="73"/>
      <c r="N16" s="69"/>
      <c r="O16" s="203"/>
      <c r="P16" s="69">
        <f t="shared" si="3"/>
        <v>0</v>
      </c>
      <c r="Q16" s="70"/>
      <c r="R16" s="71"/>
      <c r="S16" s="105">
        <f t="shared" si="7"/>
        <v>150</v>
      </c>
      <c r="V16" s="83">
        <f t="shared" si="4"/>
        <v>0</v>
      </c>
      <c r="W16" s="15"/>
      <c r="X16" s="549"/>
      <c r="Y16" s="802"/>
      <c r="Z16" s="973">
        <f t="shared" si="10"/>
        <v>0</v>
      </c>
      <c r="AA16" s="957"/>
      <c r="AB16" s="958"/>
      <c r="AC16" s="974">
        <f t="shared" si="8"/>
        <v>0</v>
      </c>
      <c r="AF16" s="83">
        <f t="shared" si="5"/>
        <v>22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220</v>
      </c>
    </row>
    <row r="17" spans="1:3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177</v>
      </c>
      <c r="H17" s="387">
        <v>100</v>
      </c>
      <c r="I17" s="105">
        <f t="shared" si="6"/>
        <v>230</v>
      </c>
      <c r="L17" s="83">
        <f t="shared" si="2"/>
        <v>15</v>
      </c>
      <c r="M17" s="73"/>
      <c r="N17" s="69"/>
      <c r="O17" s="203"/>
      <c r="P17" s="69">
        <f t="shared" si="3"/>
        <v>0</v>
      </c>
      <c r="Q17" s="70"/>
      <c r="R17" s="71"/>
      <c r="S17" s="105">
        <f t="shared" si="7"/>
        <v>150</v>
      </c>
      <c r="V17" s="83">
        <f t="shared" si="4"/>
        <v>0</v>
      </c>
      <c r="W17" s="15"/>
      <c r="X17" s="549"/>
      <c r="Y17" s="802"/>
      <c r="Z17" s="973">
        <f t="shared" si="10"/>
        <v>0</v>
      </c>
      <c r="AA17" s="957"/>
      <c r="AB17" s="958"/>
      <c r="AC17" s="974">
        <f t="shared" si="8"/>
        <v>0</v>
      </c>
      <c r="AF17" s="83">
        <f t="shared" si="5"/>
        <v>22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220</v>
      </c>
    </row>
    <row r="18" spans="1:3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186</v>
      </c>
      <c r="H18" s="387">
        <v>100</v>
      </c>
      <c r="I18" s="105">
        <f t="shared" si="6"/>
        <v>220</v>
      </c>
      <c r="K18" s="122"/>
      <c r="L18" s="83">
        <f t="shared" si="2"/>
        <v>15</v>
      </c>
      <c r="M18" s="73"/>
      <c r="N18" s="69"/>
      <c r="O18" s="203"/>
      <c r="P18" s="69">
        <f t="shared" si="3"/>
        <v>0</v>
      </c>
      <c r="Q18" s="70"/>
      <c r="R18" s="71"/>
      <c r="S18" s="105">
        <f t="shared" si="7"/>
        <v>150</v>
      </c>
      <c r="U18" s="122"/>
      <c r="V18" s="83">
        <f t="shared" si="4"/>
        <v>0</v>
      </c>
      <c r="W18" s="15"/>
      <c r="X18" s="549"/>
      <c r="Y18" s="802"/>
      <c r="Z18" s="973">
        <f t="shared" si="10"/>
        <v>0</v>
      </c>
      <c r="AA18" s="957"/>
      <c r="AB18" s="958"/>
      <c r="AC18" s="974">
        <f t="shared" si="8"/>
        <v>0</v>
      </c>
      <c r="AE18" s="122"/>
      <c r="AF18" s="83">
        <f t="shared" si="5"/>
        <v>22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220</v>
      </c>
    </row>
    <row r="19" spans="1:3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193</v>
      </c>
      <c r="H19" s="387">
        <v>100</v>
      </c>
      <c r="I19" s="105">
        <f t="shared" si="6"/>
        <v>210</v>
      </c>
      <c r="K19" s="122"/>
      <c r="L19" s="83">
        <f t="shared" si="2"/>
        <v>15</v>
      </c>
      <c r="M19" s="15"/>
      <c r="N19" s="69"/>
      <c r="O19" s="203"/>
      <c r="P19" s="69">
        <f t="shared" si="3"/>
        <v>0</v>
      </c>
      <c r="Q19" s="70"/>
      <c r="R19" s="71"/>
      <c r="S19" s="105">
        <f t="shared" si="7"/>
        <v>150</v>
      </c>
      <c r="U19" s="122"/>
      <c r="V19" s="83">
        <f t="shared" si="4"/>
        <v>0</v>
      </c>
      <c r="W19" s="15"/>
      <c r="X19" s="549"/>
      <c r="Y19" s="802"/>
      <c r="Z19" s="973">
        <f t="shared" si="10"/>
        <v>0</v>
      </c>
      <c r="AA19" s="957"/>
      <c r="AB19" s="958"/>
      <c r="AC19" s="974">
        <f t="shared" si="8"/>
        <v>0</v>
      </c>
      <c r="AE19" s="122"/>
      <c r="AF19" s="83">
        <f t="shared" si="5"/>
        <v>22</v>
      </c>
      <c r="AG19" s="15"/>
      <c r="AH19" s="549"/>
      <c r="AI19" s="802"/>
      <c r="AJ19" s="549">
        <f t="shared" si="11"/>
        <v>0</v>
      </c>
      <c r="AK19" s="331"/>
      <c r="AL19" s="332"/>
      <c r="AM19" s="105">
        <f t="shared" si="9"/>
        <v>220</v>
      </c>
    </row>
    <row r="20" spans="1:3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218</v>
      </c>
      <c r="H20" s="387">
        <v>100</v>
      </c>
      <c r="I20" s="105">
        <f t="shared" si="6"/>
        <v>200</v>
      </c>
      <c r="K20" s="122"/>
      <c r="L20" s="83">
        <f t="shared" si="2"/>
        <v>15</v>
      </c>
      <c r="M20" s="15"/>
      <c r="N20" s="69"/>
      <c r="O20" s="203"/>
      <c r="P20" s="69">
        <f t="shared" si="3"/>
        <v>0</v>
      </c>
      <c r="Q20" s="70"/>
      <c r="R20" s="71"/>
      <c r="S20" s="105">
        <f t="shared" si="7"/>
        <v>150</v>
      </c>
      <c r="U20" s="122"/>
      <c r="V20" s="83">
        <f t="shared" si="4"/>
        <v>0</v>
      </c>
      <c r="W20" s="15"/>
      <c r="X20" s="549"/>
      <c r="Y20" s="802"/>
      <c r="Z20" s="549">
        <f t="shared" si="10"/>
        <v>0</v>
      </c>
      <c r="AA20" s="331"/>
      <c r="AB20" s="332"/>
      <c r="AC20" s="105">
        <f t="shared" si="8"/>
        <v>0</v>
      </c>
      <c r="AE20" s="122"/>
      <c r="AF20" s="83">
        <f t="shared" si="5"/>
        <v>22</v>
      </c>
      <c r="AG20" s="15"/>
      <c r="AH20" s="549"/>
      <c r="AI20" s="802"/>
      <c r="AJ20" s="549">
        <f t="shared" si="11"/>
        <v>0</v>
      </c>
      <c r="AK20" s="331"/>
      <c r="AL20" s="332"/>
      <c r="AM20" s="105">
        <f t="shared" si="9"/>
        <v>220</v>
      </c>
    </row>
    <row r="21" spans="1:3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230</v>
      </c>
      <c r="H21" s="387">
        <v>100</v>
      </c>
      <c r="I21" s="105">
        <f t="shared" si="6"/>
        <v>190</v>
      </c>
      <c r="K21" s="122"/>
      <c r="L21" s="83">
        <f t="shared" si="2"/>
        <v>15</v>
      </c>
      <c r="M21" s="15"/>
      <c r="N21" s="69"/>
      <c r="O21" s="203"/>
      <c r="P21" s="69">
        <f t="shared" si="3"/>
        <v>0</v>
      </c>
      <c r="Q21" s="70"/>
      <c r="R21" s="71"/>
      <c r="S21" s="105">
        <f t="shared" si="7"/>
        <v>150</v>
      </c>
      <c r="U21" s="122"/>
      <c r="V21" s="83">
        <f t="shared" si="4"/>
        <v>0</v>
      </c>
      <c r="W21" s="15"/>
      <c r="X21" s="549"/>
      <c r="Y21" s="802"/>
      <c r="Z21" s="549">
        <f t="shared" si="10"/>
        <v>0</v>
      </c>
      <c r="AA21" s="331"/>
      <c r="AB21" s="332"/>
      <c r="AC21" s="105">
        <f t="shared" si="8"/>
        <v>0</v>
      </c>
      <c r="AE21" s="122"/>
      <c r="AF21" s="83">
        <f t="shared" si="5"/>
        <v>22</v>
      </c>
      <c r="AG21" s="15"/>
      <c r="AH21" s="549"/>
      <c r="AI21" s="802"/>
      <c r="AJ21" s="549">
        <f t="shared" si="11"/>
        <v>0</v>
      </c>
      <c r="AK21" s="331"/>
      <c r="AL21" s="332"/>
      <c r="AM21" s="105">
        <f t="shared" si="9"/>
        <v>220</v>
      </c>
    </row>
    <row r="22" spans="1:3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231</v>
      </c>
      <c r="H22" s="387">
        <v>100</v>
      </c>
      <c r="I22" s="105">
        <f t="shared" si="6"/>
        <v>180</v>
      </c>
      <c r="K22" s="122"/>
      <c r="L22" s="234">
        <f t="shared" si="2"/>
        <v>15</v>
      </c>
      <c r="M22" s="15"/>
      <c r="N22" s="69"/>
      <c r="O22" s="203"/>
      <c r="P22" s="69">
        <f t="shared" si="3"/>
        <v>0</v>
      </c>
      <c r="Q22" s="70"/>
      <c r="R22" s="71"/>
      <c r="S22" s="105">
        <f t="shared" si="7"/>
        <v>150</v>
      </c>
      <c r="U22" s="122"/>
      <c r="V22" s="234">
        <f t="shared" si="4"/>
        <v>0</v>
      </c>
      <c r="W22" s="15"/>
      <c r="X22" s="549"/>
      <c r="Y22" s="802"/>
      <c r="Z22" s="549">
        <f t="shared" si="10"/>
        <v>0</v>
      </c>
      <c r="AA22" s="331"/>
      <c r="AB22" s="332"/>
      <c r="AC22" s="105">
        <f t="shared" si="8"/>
        <v>0</v>
      </c>
      <c r="AE22" s="122"/>
      <c r="AF22" s="234">
        <f t="shared" si="5"/>
        <v>22</v>
      </c>
      <c r="AG22" s="15"/>
      <c r="AH22" s="549"/>
      <c r="AI22" s="802"/>
      <c r="AJ22" s="549">
        <f t="shared" si="11"/>
        <v>0</v>
      </c>
      <c r="AK22" s="331"/>
      <c r="AL22" s="332"/>
      <c r="AM22" s="105">
        <f t="shared" si="9"/>
        <v>220</v>
      </c>
    </row>
    <row r="23" spans="1:3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238</v>
      </c>
      <c r="H23" s="387">
        <v>100</v>
      </c>
      <c r="I23" s="105">
        <f t="shared" si="6"/>
        <v>170</v>
      </c>
      <c r="K23" s="123"/>
      <c r="L23" s="234">
        <f t="shared" si="2"/>
        <v>15</v>
      </c>
      <c r="M23" s="15"/>
      <c r="N23" s="69"/>
      <c r="O23" s="203"/>
      <c r="P23" s="69">
        <f t="shared" si="3"/>
        <v>0</v>
      </c>
      <c r="Q23" s="70"/>
      <c r="R23" s="71"/>
      <c r="S23" s="105">
        <f t="shared" si="7"/>
        <v>150</v>
      </c>
      <c r="U23" s="123"/>
      <c r="V23" s="234">
        <f t="shared" si="4"/>
        <v>0</v>
      </c>
      <c r="W23" s="15"/>
      <c r="X23" s="549"/>
      <c r="Y23" s="802"/>
      <c r="Z23" s="549">
        <f t="shared" si="10"/>
        <v>0</v>
      </c>
      <c r="AA23" s="331"/>
      <c r="AB23" s="332"/>
      <c r="AC23" s="105">
        <f t="shared" si="8"/>
        <v>0</v>
      </c>
      <c r="AE23" s="123"/>
      <c r="AF23" s="234">
        <f t="shared" si="5"/>
        <v>22</v>
      </c>
      <c r="AG23" s="15"/>
      <c r="AH23" s="549"/>
      <c r="AI23" s="802"/>
      <c r="AJ23" s="549">
        <f t="shared" si="11"/>
        <v>0</v>
      </c>
      <c r="AK23" s="331"/>
      <c r="AL23" s="332"/>
      <c r="AM23" s="105">
        <f t="shared" si="9"/>
        <v>220</v>
      </c>
    </row>
    <row r="24" spans="1:39" x14ac:dyDescent="0.25">
      <c r="A24" s="122"/>
      <c r="B24" s="234">
        <f t="shared" si="0"/>
        <v>16</v>
      </c>
      <c r="C24" s="15">
        <v>1</v>
      </c>
      <c r="D24" s="549">
        <v>10</v>
      </c>
      <c r="E24" s="802">
        <v>44837</v>
      </c>
      <c r="F24" s="549">
        <f t="shared" si="1"/>
        <v>10</v>
      </c>
      <c r="G24" s="331" t="s">
        <v>412</v>
      </c>
      <c r="H24" s="332">
        <v>100</v>
      </c>
      <c r="I24" s="105">
        <f t="shared" si="6"/>
        <v>160</v>
      </c>
      <c r="K24" s="122"/>
      <c r="L24" s="234">
        <f t="shared" si="2"/>
        <v>15</v>
      </c>
      <c r="M24" s="15"/>
      <c r="N24" s="69"/>
      <c r="O24" s="203"/>
      <c r="P24" s="69">
        <f t="shared" si="3"/>
        <v>0</v>
      </c>
      <c r="Q24" s="70"/>
      <c r="R24" s="71"/>
      <c r="S24" s="105">
        <f t="shared" si="7"/>
        <v>150</v>
      </c>
      <c r="U24" s="122"/>
      <c r="V24" s="234">
        <f t="shared" si="4"/>
        <v>0</v>
      </c>
      <c r="W24" s="15"/>
      <c r="X24" s="549"/>
      <c r="Y24" s="802"/>
      <c r="Z24" s="549">
        <f t="shared" si="10"/>
        <v>0</v>
      </c>
      <c r="AA24" s="331"/>
      <c r="AB24" s="332"/>
      <c r="AC24" s="105">
        <f t="shared" si="8"/>
        <v>0</v>
      </c>
      <c r="AE24" s="122"/>
      <c r="AF24" s="234">
        <f t="shared" si="5"/>
        <v>22</v>
      </c>
      <c r="AG24" s="15"/>
      <c r="AH24" s="549"/>
      <c r="AI24" s="802"/>
      <c r="AJ24" s="549">
        <f t="shared" si="11"/>
        <v>0</v>
      </c>
      <c r="AK24" s="331"/>
      <c r="AL24" s="332"/>
      <c r="AM24" s="105">
        <f t="shared" si="9"/>
        <v>220</v>
      </c>
    </row>
    <row r="25" spans="1:39" x14ac:dyDescent="0.25">
      <c r="A25" s="122"/>
      <c r="B25" s="234">
        <f t="shared" si="0"/>
        <v>15</v>
      </c>
      <c r="C25" s="15">
        <v>1</v>
      </c>
      <c r="D25" s="549">
        <v>10</v>
      </c>
      <c r="E25" s="802">
        <v>44837</v>
      </c>
      <c r="F25" s="549">
        <f t="shared" si="1"/>
        <v>10</v>
      </c>
      <c r="G25" s="331" t="s">
        <v>415</v>
      </c>
      <c r="H25" s="332">
        <v>100</v>
      </c>
      <c r="I25" s="105">
        <f t="shared" si="6"/>
        <v>150</v>
      </c>
      <c r="K25" s="122"/>
      <c r="L25" s="234">
        <f t="shared" si="2"/>
        <v>15</v>
      </c>
      <c r="M25" s="15"/>
      <c r="N25" s="69"/>
      <c r="O25" s="203"/>
      <c r="P25" s="69">
        <f t="shared" si="3"/>
        <v>0</v>
      </c>
      <c r="Q25" s="70"/>
      <c r="R25" s="71"/>
      <c r="S25" s="105">
        <f t="shared" si="7"/>
        <v>150</v>
      </c>
      <c r="U25" s="122"/>
      <c r="V25" s="234">
        <f t="shared" si="4"/>
        <v>0</v>
      </c>
      <c r="W25" s="15"/>
      <c r="X25" s="549"/>
      <c r="Y25" s="802"/>
      <c r="Z25" s="549">
        <f t="shared" si="10"/>
        <v>0</v>
      </c>
      <c r="AA25" s="331"/>
      <c r="AB25" s="332"/>
      <c r="AC25" s="105">
        <f t="shared" si="8"/>
        <v>0</v>
      </c>
      <c r="AE25" s="122"/>
      <c r="AF25" s="234">
        <f t="shared" si="5"/>
        <v>22</v>
      </c>
      <c r="AG25" s="15"/>
      <c r="AH25" s="549"/>
      <c r="AI25" s="802"/>
      <c r="AJ25" s="549">
        <f t="shared" si="11"/>
        <v>0</v>
      </c>
      <c r="AK25" s="331"/>
      <c r="AL25" s="332"/>
      <c r="AM25" s="105">
        <f t="shared" si="9"/>
        <v>220</v>
      </c>
    </row>
    <row r="26" spans="1:39" x14ac:dyDescent="0.25">
      <c r="A26" s="122"/>
      <c r="B26" s="183">
        <f t="shared" si="0"/>
        <v>10</v>
      </c>
      <c r="C26" s="15">
        <v>5</v>
      </c>
      <c r="D26" s="549">
        <v>50</v>
      </c>
      <c r="E26" s="802">
        <v>44840</v>
      </c>
      <c r="F26" s="549">
        <f t="shared" si="1"/>
        <v>50</v>
      </c>
      <c r="G26" s="331" t="s">
        <v>424</v>
      </c>
      <c r="H26" s="332">
        <v>100</v>
      </c>
      <c r="I26" s="105">
        <f t="shared" si="6"/>
        <v>100</v>
      </c>
      <c r="K26" s="122"/>
      <c r="L26" s="183">
        <f t="shared" si="2"/>
        <v>15</v>
      </c>
      <c r="M26" s="15"/>
      <c r="N26" s="69"/>
      <c r="O26" s="203"/>
      <c r="P26" s="69">
        <f t="shared" si="3"/>
        <v>0</v>
      </c>
      <c r="Q26" s="70"/>
      <c r="R26" s="71"/>
      <c r="S26" s="105">
        <f t="shared" si="7"/>
        <v>150</v>
      </c>
      <c r="U26" s="122"/>
      <c r="V26" s="183">
        <f t="shared" si="4"/>
        <v>0</v>
      </c>
      <c r="W26" s="15"/>
      <c r="X26" s="549"/>
      <c r="Y26" s="802"/>
      <c r="Z26" s="549">
        <f t="shared" si="10"/>
        <v>0</v>
      </c>
      <c r="AA26" s="331"/>
      <c r="AB26" s="332"/>
      <c r="AC26" s="105">
        <f t="shared" si="8"/>
        <v>0</v>
      </c>
      <c r="AE26" s="122"/>
      <c r="AF26" s="183">
        <f t="shared" si="5"/>
        <v>22</v>
      </c>
      <c r="AG26" s="15"/>
      <c r="AH26" s="549"/>
      <c r="AI26" s="802"/>
      <c r="AJ26" s="549">
        <f t="shared" si="11"/>
        <v>0</v>
      </c>
      <c r="AK26" s="331"/>
      <c r="AL26" s="332"/>
      <c r="AM26" s="105">
        <f t="shared" si="9"/>
        <v>220</v>
      </c>
    </row>
    <row r="27" spans="1:39" x14ac:dyDescent="0.25">
      <c r="A27" s="122"/>
      <c r="B27" s="234">
        <f t="shared" si="0"/>
        <v>9</v>
      </c>
      <c r="C27" s="15">
        <v>1</v>
      </c>
      <c r="D27" s="549">
        <v>10</v>
      </c>
      <c r="E27" s="802">
        <v>44840</v>
      </c>
      <c r="F27" s="549">
        <f t="shared" si="1"/>
        <v>10</v>
      </c>
      <c r="G27" s="331" t="s">
        <v>430</v>
      </c>
      <c r="H27" s="332">
        <v>100</v>
      </c>
      <c r="I27" s="105">
        <f t="shared" si="6"/>
        <v>90</v>
      </c>
      <c r="K27" s="122"/>
      <c r="L27" s="234">
        <f t="shared" si="2"/>
        <v>15</v>
      </c>
      <c r="M27" s="15"/>
      <c r="N27" s="69"/>
      <c r="O27" s="203"/>
      <c r="P27" s="69">
        <f t="shared" si="3"/>
        <v>0</v>
      </c>
      <c r="Q27" s="70"/>
      <c r="R27" s="71"/>
      <c r="S27" s="105">
        <f t="shared" si="7"/>
        <v>150</v>
      </c>
      <c r="U27" s="122"/>
      <c r="V27" s="234">
        <f t="shared" si="4"/>
        <v>0</v>
      </c>
      <c r="W27" s="15"/>
      <c r="X27" s="549"/>
      <c r="Y27" s="802"/>
      <c r="Z27" s="549">
        <f t="shared" si="10"/>
        <v>0</v>
      </c>
      <c r="AA27" s="331"/>
      <c r="AB27" s="332"/>
      <c r="AC27" s="105">
        <f t="shared" si="8"/>
        <v>0</v>
      </c>
      <c r="AE27" s="122"/>
      <c r="AF27" s="234">
        <f t="shared" si="5"/>
        <v>22</v>
      </c>
      <c r="AG27" s="15"/>
      <c r="AH27" s="549"/>
      <c r="AI27" s="802"/>
      <c r="AJ27" s="549">
        <f t="shared" si="11"/>
        <v>0</v>
      </c>
      <c r="AK27" s="331"/>
      <c r="AL27" s="332"/>
      <c r="AM27" s="105">
        <f t="shared" si="9"/>
        <v>220</v>
      </c>
    </row>
    <row r="28" spans="1:39" x14ac:dyDescent="0.25">
      <c r="A28" s="122"/>
      <c r="B28" s="183">
        <f t="shared" si="0"/>
        <v>7</v>
      </c>
      <c r="C28" s="15">
        <v>2</v>
      </c>
      <c r="D28" s="549">
        <v>20</v>
      </c>
      <c r="E28" s="802">
        <v>44842</v>
      </c>
      <c r="F28" s="549">
        <f t="shared" si="1"/>
        <v>20</v>
      </c>
      <c r="G28" s="331" t="s">
        <v>451</v>
      </c>
      <c r="H28" s="332">
        <v>100</v>
      </c>
      <c r="I28" s="105">
        <f t="shared" si="6"/>
        <v>70</v>
      </c>
      <c r="K28" s="122"/>
      <c r="L28" s="183">
        <f t="shared" si="2"/>
        <v>15</v>
      </c>
      <c r="M28" s="15"/>
      <c r="N28" s="69"/>
      <c r="O28" s="203"/>
      <c r="P28" s="69">
        <f t="shared" si="3"/>
        <v>0</v>
      </c>
      <c r="Q28" s="70"/>
      <c r="R28" s="71"/>
      <c r="S28" s="105">
        <f t="shared" si="7"/>
        <v>150</v>
      </c>
      <c r="U28" s="122"/>
      <c r="V28" s="183">
        <f t="shared" si="4"/>
        <v>0</v>
      </c>
      <c r="W28" s="15"/>
      <c r="X28" s="549"/>
      <c r="Y28" s="802"/>
      <c r="Z28" s="549">
        <f t="shared" si="10"/>
        <v>0</v>
      </c>
      <c r="AA28" s="331"/>
      <c r="AB28" s="332"/>
      <c r="AC28" s="105">
        <f t="shared" si="8"/>
        <v>0</v>
      </c>
      <c r="AE28" s="122"/>
      <c r="AF28" s="183">
        <f t="shared" si="5"/>
        <v>22</v>
      </c>
      <c r="AG28" s="15"/>
      <c r="AH28" s="549"/>
      <c r="AI28" s="802"/>
      <c r="AJ28" s="549">
        <f t="shared" si="11"/>
        <v>0</v>
      </c>
      <c r="AK28" s="331"/>
      <c r="AL28" s="332"/>
      <c r="AM28" s="105">
        <f t="shared" si="9"/>
        <v>220</v>
      </c>
    </row>
    <row r="29" spans="1:39" x14ac:dyDescent="0.25">
      <c r="A29" s="122"/>
      <c r="B29" s="234">
        <f t="shared" si="0"/>
        <v>6</v>
      </c>
      <c r="C29" s="15">
        <v>1</v>
      </c>
      <c r="D29" s="549">
        <v>10</v>
      </c>
      <c r="E29" s="802">
        <v>44848</v>
      </c>
      <c r="F29" s="549">
        <f t="shared" si="1"/>
        <v>10</v>
      </c>
      <c r="G29" s="331" t="s">
        <v>493</v>
      </c>
      <c r="H29" s="332">
        <v>100</v>
      </c>
      <c r="I29" s="105">
        <f t="shared" si="6"/>
        <v>60</v>
      </c>
      <c r="K29" s="122"/>
      <c r="L29" s="234">
        <f t="shared" si="2"/>
        <v>15</v>
      </c>
      <c r="M29" s="15"/>
      <c r="N29" s="69"/>
      <c r="O29" s="203"/>
      <c r="P29" s="69">
        <f t="shared" si="3"/>
        <v>0</v>
      </c>
      <c r="Q29" s="70"/>
      <c r="R29" s="71"/>
      <c r="S29" s="105">
        <f t="shared" si="7"/>
        <v>150</v>
      </c>
      <c r="U29" s="122"/>
      <c r="V29" s="234">
        <f t="shared" si="4"/>
        <v>0</v>
      </c>
      <c r="W29" s="15"/>
      <c r="X29" s="69"/>
      <c r="Y29" s="203"/>
      <c r="Z29" s="69">
        <f t="shared" si="10"/>
        <v>0</v>
      </c>
      <c r="AA29" s="70"/>
      <c r="AB29" s="71"/>
      <c r="AC29" s="105">
        <f t="shared" si="8"/>
        <v>0</v>
      </c>
      <c r="AE29" s="122"/>
      <c r="AF29" s="234">
        <f t="shared" si="5"/>
        <v>22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220</v>
      </c>
    </row>
    <row r="30" spans="1:39" x14ac:dyDescent="0.25">
      <c r="A30" s="122"/>
      <c r="B30" s="234">
        <f t="shared" si="0"/>
        <v>5</v>
      </c>
      <c r="C30" s="15">
        <v>1</v>
      </c>
      <c r="D30" s="549">
        <v>10</v>
      </c>
      <c r="E30" s="802">
        <v>44848</v>
      </c>
      <c r="F30" s="549">
        <f t="shared" si="1"/>
        <v>10</v>
      </c>
      <c r="G30" s="331" t="s">
        <v>494</v>
      </c>
      <c r="H30" s="332">
        <v>100</v>
      </c>
      <c r="I30" s="105">
        <f t="shared" si="6"/>
        <v>50</v>
      </c>
      <c r="K30" s="122"/>
      <c r="L30" s="234">
        <f t="shared" si="2"/>
        <v>15</v>
      </c>
      <c r="M30" s="15"/>
      <c r="N30" s="69"/>
      <c r="O30" s="203"/>
      <c r="P30" s="69">
        <f t="shared" si="3"/>
        <v>0</v>
      </c>
      <c r="Q30" s="70"/>
      <c r="R30" s="71"/>
      <c r="S30" s="105">
        <f t="shared" si="7"/>
        <v>150</v>
      </c>
      <c r="U30" s="122"/>
      <c r="V30" s="234">
        <f t="shared" si="4"/>
        <v>0</v>
      </c>
      <c r="W30" s="15"/>
      <c r="X30" s="69"/>
      <c r="Y30" s="203"/>
      <c r="Z30" s="69">
        <f t="shared" si="10"/>
        <v>0</v>
      </c>
      <c r="AA30" s="70"/>
      <c r="AB30" s="71"/>
      <c r="AC30" s="105">
        <f t="shared" si="8"/>
        <v>0</v>
      </c>
      <c r="AE30" s="122"/>
      <c r="AF30" s="234">
        <f t="shared" si="5"/>
        <v>22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220</v>
      </c>
    </row>
    <row r="31" spans="1:39" x14ac:dyDescent="0.25">
      <c r="A31" s="122"/>
      <c r="B31" s="234">
        <f t="shared" si="0"/>
        <v>4</v>
      </c>
      <c r="C31" s="15">
        <v>1</v>
      </c>
      <c r="D31" s="549">
        <v>10</v>
      </c>
      <c r="E31" s="802">
        <v>44851</v>
      </c>
      <c r="F31" s="549">
        <f t="shared" si="1"/>
        <v>10</v>
      </c>
      <c r="G31" s="331" t="s">
        <v>507</v>
      </c>
      <c r="H31" s="332">
        <v>100</v>
      </c>
      <c r="I31" s="105">
        <f t="shared" si="6"/>
        <v>40</v>
      </c>
      <c r="K31" s="122"/>
      <c r="L31" s="234">
        <f t="shared" si="2"/>
        <v>15</v>
      </c>
      <c r="M31" s="15"/>
      <c r="N31" s="69"/>
      <c r="O31" s="203"/>
      <c r="P31" s="69">
        <f t="shared" si="3"/>
        <v>0</v>
      </c>
      <c r="Q31" s="70"/>
      <c r="R31" s="71"/>
      <c r="S31" s="105">
        <f t="shared" si="7"/>
        <v>150</v>
      </c>
      <c r="U31" s="122"/>
      <c r="V31" s="234">
        <f t="shared" si="4"/>
        <v>0</v>
      </c>
      <c r="W31" s="15"/>
      <c r="X31" s="69"/>
      <c r="Y31" s="203"/>
      <c r="Z31" s="69">
        <f t="shared" si="10"/>
        <v>0</v>
      </c>
      <c r="AA31" s="70"/>
      <c r="AB31" s="71"/>
      <c r="AC31" s="105">
        <f t="shared" si="8"/>
        <v>0</v>
      </c>
      <c r="AE31" s="122"/>
      <c r="AF31" s="234">
        <f t="shared" si="5"/>
        <v>22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220</v>
      </c>
    </row>
    <row r="32" spans="1:39" x14ac:dyDescent="0.25">
      <c r="A32" s="122"/>
      <c r="B32" s="234">
        <f t="shared" si="0"/>
        <v>3</v>
      </c>
      <c r="C32" s="15">
        <v>1</v>
      </c>
      <c r="D32" s="549">
        <v>10</v>
      </c>
      <c r="E32" s="802">
        <v>44854</v>
      </c>
      <c r="F32" s="549">
        <f t="shared" si="1"/>
        <v>10</v>
      </c>
      <c r="G32" s="331" t="s">
        <v>527</v>
      </c>
      <c r="H32" s="332">
        <v>100</v>
      </c>
      <c r="I32" s="105">
        <f t="shared" si="6"/>
        <v>30</v>
      </c>
      <c r="K32" s="122"/>
      <c r="L32" s="234">
        <f t="shared" si="2"/>
        <v>15</v>
      </c>
      <c r="M32" s="15"/>
      <c r="N32" s="69"/>
      <c r="O32" s="203"/>
      <c r="P32" s="69">
        <f t="shared" si="3"/>
        <v>0</v>
      </c>
      <c r="Q32" s="70"/>
      <c r="R32" s="71"/>
      <c r="S32" s="105">
        <f t="shared" si="7"/>
        <v>150</v>
      </c>
      <c r="U32" s="122"/>
      <c r="V32" s="234">
        <f t="shared" si="4"/>
        <v>0</v>
      </c>
      <c r="W32" s="15"/>
      <c r="X32" s="69"/>
      <c r="Y32" s="203"/>
      <c r="Z32" s="69">
        <f t="shared" si="10"/>
        <v>0</v>
      </c>
      <c r="AA32" s="70"/>
      <c r="AB32" s="71"/>
      <c r="AC32" s="105">
        <f t="shared" si="8"/>
        <v>0</v>
      </c>
      <c r="AE32" s="122"/>
      <c r="AF32" s="234">
        <f t="shared" si="5"/>
        <v>22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220</v>
      </c>
    </row>
    <row r="33" spans="1:39" x14ac:dyDescent="0.25">
      <c r="A33" s="122"/>
      <c r="B33" s="234">
        <f t="shared" si="0"/>
        <v>2</v>
      </c>
      <c r="C33" s="15">
        <v>1</v>
      </c>
      <c r="D33" s="549">
        <v>10</v>
      </c>
      <c r="E33" s="802">
        <v>44863</v>
      </c>
      <c r="F33" s="549">
        <f t="shared" si="1"/>
        <v>10</v>
      </c>
      <c r="G33" s="331" t="s">
        <v>587</v>
      </c>
      <c r="H33" s="332">
        <v>100</v>
      </c>
      <c r="I33" s="105">
        <f t="shared" si="6"/>
        <v>20</v>
      </c>
      <c r="K33" s="122"/>
      <c r="L33" s="234">
        <f t="shared" si="2"/>
        <v>15</v>
      </c>
      <c r="M33" s="15"/>
      <c r="N33" s="69"/>
      <c r="O33" s="203"/>
      <c r="P33" s="69">
        <f t="shared" si="3"/>
        <v>0</v>
      </c>
      <c r="Q33" s="70"/>
      <c r="R33" s="71"/>
      <c r="S33" s="105">
        <f t="shared" si="7"/>
        <v>150</v>
      </c>
      <c r="U33" s="122"/>
      <c r="V33" s="234">
        <f t="shared" si="4"/>
        <v>0</v>
      </c>
      <c r="W33" s="15"/>
      <c r="X33" s="69"/>
      <c r="Y33" s="203"/>
      <c r="Z33" s="69">
        <f t="shared" si="10"/>
        <v>0</v>
      </c>
      <c r="AA33" s="70"/>
      <c r="AB33" s="71"/>
      <c r="AC33" s="105">
        <f t="shared" si="8"/>
        <v>0</v>
      </c>
      <c r="AE33" s="122"/>
      <c r="AF33" s="234">
        <f t="shared" si="5"/>
        <v>22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220</v>
      </c>
    </row>
    <row r="34" spans="1:39" x14ac:dyDescent="0.25">
      <c r="A34" s="122"/>
      <c r="B34" s="234">
        <f t="shared" si="0"/>
        <v>2</v>
      </c>
      <c r="C34" s="15"/>
      <c r="D34" s="549"/>
      <c r="E34" s="802"/>
      <c r="F34" s="549">
        <f t="shared" si="1"/>
        <v>0</v>
      </c>
      <c r="G34" s="331"/>
      <c r="H34" s="332"/>
      <c r="I34" s="105">
        <f t="shared" si="6"/>
        <v>20</v>
      </c>
      <c r="K34" s="122"/>
      <c r="L34" s="234">
        <f t="shared" si="2"/>
        <v>15</v>
      </c>
      <c r="M34" s="15"/>
      <c r="N34" s="69"/>
      <c r="O34" s="203"/>
      <c r="P34" s="69">
        <f t="shared" si="3"/>
        <v>0</v>
      </c>
      <c r="Q34" s="70"/>
      <c r="R34" s="71"/>
      <c r="S34" s="105">
        <f t="shared" si="7"/>
        <v>150</v>
      </c>
      <c r="U34" s="122"/>
      <c r="V34" s="234">
        <f t="shared" si="4"/>
        <v>0</v>
      </c>
      <c r="W34" s="15"/>
      <c r="X34" s="69"/>
      <c r="Y34" s="203"/>
      <c r="Z34" s="69">
        <f t="shared" si="10"/>
        <v>0</v>
      </c>
      <c r="AA34" s="70"/>
      <c r="AB34" s="71"/>
      <c r="AC34" s="105">
        <f t="shared" si="8"/>
        <v>0</v>
      </c>
      <c r="AE34" s="122"/>
      <c r="AF34" s="234">
        <f t="shared" si="5"/>
        <v>22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220</v>
      </c>
    </row>
    <row r="35" spans="1:39" x14ac:dyDescent="0.25">
      <c r="A35" s="122"/>
      <c r="B35" s="234">
        <f t="shared" si="0"/>
        <v>2</v>
      </c>
      <c r="C35" s="15"/>
      <c r="D35" s="549"/>
      <c r="E35" s="802"/>
      <c r="F35" s="549">
        <f t="shared" si="1"/>
        <v>0</v>
      </c>
      <c r="G35" s="331"/>
      <c r="H35" s="332"/>
      <c r="I35" s="105">
        <f t="shared" si="6"/>
        <v>20</v>
      </c>
      <c r="K35" s="122"/>
      <c r="L35" s="234">
        <f t="shared" si="2"/>
        <v>15</v>
      </c>
      <c r="M35" s="15"/>
      <c r="N35" s="69"/>
      <c r="O35" s="203"/>
      <c r="P35" s="69">
        <f t="shared" si="3"/>
        <v>0</v>
      </c>
      <c r="Q35" s="70"/>
      <c r="R35" s="71"/>
      <c r="S35" s="105">
        <f t="shared" si="7"/>
        <v>150</v>
      </c>
      <c r="U35" s="122"/>
      <c r="V35" s="234">
        <f t="shared" si="4"/>
        <v>0</v>
      </c>
      <c r="W35" s="15"/>
      <c r="X35" s="69"/>
      <c r="Y35" s="203"/>
      <c r="Z35" s="69">
        <f t="shared" si="10"/>
        <v>0</v>
      </c>
      <c r="AA35" s="70"/>
      <c r="AB35" s="71"/>
      <c r="AC35" s="105">
        <f t="shared" si="8"/>
        <v>0</v>
      </c>
      <c r="AE35" s="122"/>
      <c r="AF35" s="234">
        <f t="shared" si="5"/>
        <v>22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220</v>
      </c>
    </row>
    <row r="36" spans="1:39" x14ac:dyDescent="0.25">
      <c r="A36" s="122" t="s">
        <v>22</v>
      </c>
      <c r="B36" s="234">
        <f t="shared" si="0"/>
        <v>2</v>
      </c>
      <c r="C36" s="15"/>
      <c r="D36" s="549"/>
      <c r="E36" s="802"/>
      <c r="F36" s="549">
        <f t="shared" si="1"/>
        <v>0</v>
      </c>
      <c r="G36" s="331"/>
      <c r="H36" s="332"/>
      <c r="I36" s="105">
        <f t="shared" si="6"/>
        <v>20</v>
      </c>
      <c r="K36" s="122" t="s">
        <v>22</v>
      </c>
      <c r="L36" s="234">
        <f t="shared" si="2"/>
        <v>15</v>
      </c>
      <c r="M36" s="15"/>
      <c r="N36" s="69"/>
      <c r="O36" s="203"/>
      <c r="P36" s="69">
        <f t="shared" si="3"/>
        <v>0</v>
      </c>
      <c r="Q36" s="70"/>
      <c r="R36" s="71"/>
      <c r="S36" s="105">
        <f t="shared" si="7"/>
        <v>150</v>
      </c>
      <c r="U36" s="122" t="s">
        <v>22</v>
      </c>
      <c r="V36" s="234">
        <f t="shared" si="4"/>
        <v>0</v>
      </c>
      <c r="W36" s="15"/>
      <c r="X36" s="69"/>
      <c r="Y36" s="203"/>
      <c r="Z36" s="69">
        <f t="shared" si="10"/>
        <v>0</v>
      </c>
      <c r="AA36" s="70"/>
      <c r="AB36" s="71"/>
      <c r="AC36" s="105">
        <f t="shared" si="8"/>
        <v>0</v>
      </c>
      <c r="AE36" s="122" t="s">
        <v>22</v>
      </c>
      <c r="AF36" s="234">
        <f t="shared" si="5"/>
        <v>22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220</v>
      </c>
    </row>
    <row r="37" spans="1:39" x14ac:dyDescent="0.25">
      <c r="A37" s="123"/>
      <c r="B37" s="234">
        <f t="shared" si="0"/>
        <v>2</v>
      </c>
      <c r="C37" s="15"/>
      <c r="D37" s="549"/>
      <c r="E37" s="802"/>
      <c r="F37" s="549">
        <f t="shared" si="1"/>
        <v>0</v>
      </c>
      <c r="G37" s="331"/>
      <c r="H37" s="332"/>
      <c r="I37" s="105">
        <f t="shared" si="6"/>
        <v>20</v>
      </c>
      <c r="K37" s="123"/>
      <c r="L37" s="234">
        <f t="shared" si="2"/>
        <v>15</v>
      </c>
      <c r="M37" s="15"/>
      <c r="N37" s="69"/>
      <c r="O37" s="203"/>
      <c r="P37" s="69">
        <f t="shared" si="3"/>
        <v>0</v>
      </c>
      <c r="Q37" s="70"/>
      <c r="R37" s="71"/>
      <c r="S37" s="105">
        <f t="shared" si="7"/>
        <v>150</v>
      </c>
      <c r="U37" s="123"/>
      <c r="V37" s="234">
        <f t="shared" si="4"/>
        <v>0</v>
      </c>
      <c r="W37" s="15"/>
      <c r="X37" s="69"/>
      <c r="Y37" s="203"/>
      <c r="Z37" s="69">
        <f t="shared" si="10"/>
        <v>0</v>
      </c>
      <c r="AA37" s="70"/>
      <c r="AB37" s="71"/>
      <c r="AC37" s="105">
        <f t="shared" si="8"/>
        <v>0</v>
      </c>
      <c r="AE37" s="123"/>
      <c r="AF37" s="234">
        <f t="shared" si="5"/>
        <v>22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220</v>
      </c>
    </row>
    <row r="38" spans="1:39" x14ac:dyDescent="0.25">
      <c r="A38" s="122"/>
      <c r="B38" s="234">
        <f t="shared" si="0"/>
        <v>2</v>
      </c>
      <c r="C38" s="15"/>
      <c r="D38" s="549"/>
      <c r="E38" s="802"/>
      <c r="F38" s="549">
        <f t="shared" si="1"/>
        <v>0</v>
      </c>
      <c r="G38" s="331"/>
      <c r="H38" s="332"/>
      <c r="I38" s="105">
        <f t="shared" si="6"/>
        <v>20</v>
      </c>
      <c r="K38" s="122"/>
      <c r="L38" s="234">
        <f t="shared" si="2"/>
        <v>15</v>
      </c>
      <c r="M38" s="15"/>
      <c r="N38" s="69"/>
      <c r="O38" s="203"/>
      <c r="P38" s="69">
        <f t="shared" si="3"/>
        <v>0</v>
      </c>
      <c r="Q38" s="70"/>
      <c r="R38" s="71"/>
      <c r="S38" s="105">
        <f t="shared" si="7"/>
        <v>150</v>
      </c>
      <c r="U38" s="122"/>
      <c r="V38" s="234">
        <f t="shared" si="4"/>
        <v>0</v>
      </c>
      <c r="W38" s="15"/>
      <c r="X38" s="69"/>
      <c r="Y38" s="203"/>
      <c r="Z38" s="69">
        <f t="shared" si="10"/>
        <v>0</v>
      </c>
      <c r="AA38" s="70"/>
      <c r="AB38" s="71"/>
      <c r="AC38" s="105">
        <f t="shared" si="8"/>
        <v>0</v>
      </c>
      <c r="AE38" s="122"/>
      <c r="AF38" s="234">
        <f t="shared" si="5"/>
        <v>22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220</v>
      </c>
    </row>
    <row r="39" spans="1:39" x14ac:dyDescent="0.25">
      <c r="A39" s="122"/>
      <c r="B39" s="83">
        <f t="shared" si="0"/>
        <v>2</v>
      </c>
      <c r="C39" s="15"/>
      <c r="D39" s="549"/>
      <c r="E39" s="802"/>
      <c r="F39" s="549">
        <f t="shared" si="1"/>
        <v>0</v>
      </c>
      <c r="G39" s="331"/>
      <c r="H39" s="332"/>
      <c r="I39" s="105">
        <f t="shared" si="6"/>
        <v>20</v>
      </c>
      <c r="K39" s="122"/>
      <c r="L39" s="83">
        <f t="shared" si="2"/>
        <v>15</v>
      </c>
      <c r="M39" s="15"/>
      <c r="N39" s="69"/>
      <c r="O39" s="203"/>
      <c r="P39" s="69">
        <f t="shared" si="3"/>
        <v>0</v>
      </c>
      <c r="Q39" s="70"/>
      <c r="R39" s="71"/>
      <c r="S39" s="105">
        <f t="shared" si="7"/>
        <v>150</v>
      </c>
      <c r="U39" s="122"/>
      <c r="V39" s="83">
        <f t="shared" si="4"/>
        <v>0</v>
      </c>
      <c r="W39" s="15"/>
      <c r="X39" s="69"/>
      <c r="Y39" s="203"/>
      <c r="Z39" s="69">
        <f t="shared" si="10"/>
        <v>0</v>
      </c>
      <c r="AA39" s="70"/>
      <c r="AB39" s="71"/>
      <c r="AC39" s="105">
        <f t="shared" si="8"/>
        <v>0</v>
      </c>
      <c r="AE39" s="122"/>
      <c r="AF39" s="83">
        <f t="shared" si="5"/>
        <v>22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220</v>
      </c>
    </row>
    <row r="40" spans="1:39" x14ac:dyDescent="0.25">
      <c r="A40" s="122"/>
      <c r="B40" s="83">
        <f t="shared" si="0"/>
        <v>2</v>
      </c>
      <c r="C40" s="15"/>
      <c r="D40" s="549"/>
      <c r="E40" s="802"/>
      <c r="F40" s="549">
        <f t="shared" si="1"/>
        <v>0</v>
      </c>
      <c r="G40" s="331"/>
      <c r="H40" s="332"/>
      <c r="I40" s="105">
        <f t="shared" si="6"/>
        <v>20</v>
      </c>
      <c r="K40" s="122"/>
      <c r="L40" s="83">
        <f t="shared" si="2"/>
        <v>15</v>
      </c>
      <c r="M40" s="15"/>
      <c r="N40" s="69"/>
      <c r="O40" s="203"/>
      <c r="P40" s="69">
        <f t="shared" si="3"/>
        <v>0</v>
      </c>
      <c r="Q40" s="70"/>
      <c r="R40" s="71"/>
      <c r="S40" s="105">
        <f t="shared" si="7"/>
        <v>150</v>
      </c>
      <c r="U40" s="122"/>
      <c r="V40" s="83">
        <f t="shared" si="4"/>
        <v>0</v>
      </c>
      <c r="W40" s="15"/>
      <c r="X40" s="69"/>
      <c r="Y40" s="203"/>
      <c r="Z40" s="69">
        <f t="shared" si="10"/>
        <v>0</v>
      </c>
      <c r="AA40" s="70"/>
      <c r="AB40" s="71"/>
      <c r="AC40" s="105">
        <f t="shared" si="8"/>
        <v>0</v>
      </c>
      <c r="AE40" s="122"/>
      <c r="AF40" s="83">
        <f t="shared" si="5"/>
        <v>22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220</v>
      </c>
    </row>
    <row r="41" spans="1:39" x14ac:dyDescent="0.25">
      <c r="A41" s="122"/>
      <c r="B41" s="83">
        <f t="shared" si="0"/>
        <v>2</v>
      </c>
      <c r="C41" s="15"/>
      <c r="D41" s="549"/>
      <c r="E41" s="802"/>
      <c r="F41" s="549">
        <f t="shared" si="1"/>
        <v>0</v>
      </c>
      <c r="G41" s="331"/>
      <c r="H41" s="332"/>
      <c r="I41" s="105">
        <f t="shared" si="6"/>
        <v>20</v>
      </c>
      <c r="K41" s="122"/>
      <c r="L41" s="83">
        <f t="shared" si="2"/>
        <v>15</v>
      </c>
      <c r="M41" s="15"/>
      <c r="N41" s="69"/>
      <c r="O41" s="203"/>
      <c r="P41" s="69">
        <f t="shared" si="3"/>
        <v>0</v>
      </c>
      <c r="Q41" s="70"/>
      <c r="R41" s="71"/>
      <c r="S41" s="105">
        <f t="shared" si="7"/>
        <v>150</v>
      </c>
      <c r="U41" s="122"/>
      <c r="V41" s="83">
        <f t="shared" si="4"/>
        <v>0</v>
      </c>
      <c r="W41" s="15"/>
      <c r="X41" s="69"/>
      <c r="Y41" s="203"/>
      <c r="Z41" s="69">
        <f t="shared" si="10"/>
        <v>0</v>
      </c>
      <c r="AA41" s="70"/>
      <c r="AB41" s="71"/>
      <c r="AC41" s="105">
        <f t="shared" si="8"/>
        <v>0</v>
      </c>
      <c r="AE41" s="122"/>
      <c r="AF41" s="83">
        <f t="shared" si="5"/>
        <v>22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220</v>
      </c>
    </row>
    <row r="42" spans="1:39" x14ac:dyDescent="0.25">
      <c r="A42" s="122"/>
      <c r="B42" s="83">
        <f t="shared" si="0"/>
        <v>2</v>
      </c>
      <c r="C42" s="15"/>
      <c r="D42" s="549"/>
      <c r="E42" s="802"/>
      <c r="F42" s="549">
        <f t="shared" si="1"/>
        <v>0</v>
      </c>
      <c r="G42" s="331"/>
      <c r="H42" s="332"/>
      <c r="I42" s="105">
        <f t="shared" si="6"/>
        <v>20</v>
      </c>
      <c r="K42" s="122"/>
      <c r="L42" s="83">
        <f t="shared" si="2"/>
        <v>15</v>
      </c>
      <c r="M42" s="15"/>
      <c r="N42" s="69"/>
      <c r="O42" s="203"/>
      <c r="P42" s="69">
        <f t="shared" si="3"/>
        <v>0</v>
      </c>
      <c r="Q42" s="70"/>
      <c r="R42" s="71"/>
      <c r="S42" s="105">
        <f t="shared" si="7"/>
        <v>150</v>
      </c>
      <c r="U42" s="122"/>
      <c r="V42" s="83">
        <f t="shared" si="4"/>
        <v>0</v>
      </c>
      <c r="W42" s="15"/>
      <c r="X42" s="69"/>
      <c r="Y42" s="203"/>
      <c r="Z42" s="69">
        <f t="shared" si="10"/>
        <v>0</v>
      </c>
      <c r="AA42" s="70"/>
      <c r="AB42" s="71"/>
      <c r="AC42" s="105">
        <f t="shared" si="8"/>
        <v>0</v>
      </c>
      <c r="AE42" s="122"/>
      <c r="AF42" s="83">
        <f t="shared" si="5"/>
        <v>22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220</v>
      </c>
    </row>
    <row r="43" spans="1:39" x14ac:dyDescent="0.25">
      <c r="A43" s="122"/>
      <c r="B43" s="83">
        <f t="shared" si="0"/>
        <v>2</v>
      </c>
      <c r="C43" s="15"/>
      <c r="D43" s="549"/>
      <c r="E43" s="802"/>
      <c r="F43" s="549">
        <f t="shared" si="1"/>
        <v>0</v>
      </c>
      <c r="G43" s="331"/>
      <c r="H43" s="332"/>
      <c r="I43" s="105">
        <f t="shared" si="6"/>
        <v>20</v>
      </c>
      <c r="K43" s="122"/>
      <c r="L43" s="83">
        <f t="shared" si="2"/>
        <v>15</v>
      </c>
      <c r="M43" s="15"/>
      <c r="N43" s="69"/>
      <c r="O43" s="203"/>
      <c r="P43" s="69">
        <f t="shared" si="3"/>
        <v>0</v>
      </c>
      <c r="Q43" s="70"/>
      <c r="R43" s="71"/>
      <c r="S43" s="105">
        <f t="shared" si="7"/>
        <v>150</v>
      </c>
      <c r="U43" s="122"/>
      <c r="V43" s="83">
        <f t="shared" si="4"/>
        <v>0</v>
      </c>
      <c r="W43" s="15"/>
      <c r="X43" s="69"/>
      <c r="Y43" s="203"/>
      <c r="Z43" s="69">
        <f t="shared" si="10"/>
        <v>0</v>
      </c>
      <c r="AA43" s="70"/>
      <c r="AB43" s="71"/>
      <c r="AC43" s="105">
        <f t="shared" si="8"/>
        <v>0</v>
      </c>
      <c r="AE43" s="122"/>
      <c r="AF43" s="83">
        <f t="shared" si="5"/>
        <v>22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220</v>
      </c>
    </row>
    <row r="44" spans="1:39" x14ac:dyDescent="0.25">
      <c r="A44" s="122"/>
      <c r="B44" s="83">
        <f t="shared" si="0"/>
        <v>2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20</v>
      </c>
      <c r="K44" s="122"/>
      <c r="L44" s="83">
        <f t="shared" si="2"/>
        <v>15</v>
      </c>
      <c r="M44" s="15"/>
      <c r="N44" s="69"/>
      <c r="O44" s="203"/>
      <c r="P44" s="69">
        <f t="shared" si="3"/>
        <v>0</v>
      </c>
      <c r="Q44" s="70"/>
      <c r="R44" s="71"/>
      <c r="S44" s="105">
        <f t="shared" si="7"/>
        <v>150</v>
      </c>
      <c r="U44" s="122"/>
      <c r="V44" s="83">
        <f t="shared" si="4"/>
        <v>0</v>
      </c>
      <c r="W44" s="15"/>
      <c r="X44" s="69"/>
      <c r="Y44" s="203"/>
      <c r="Z44" s="69">
        <f t="shared" si="10"/>
        <v>0</v>
      </c>
      <c r="AA44" s="70"/>
      <c r="AB44" s="71"/>
      <c r="AC44" s="105">
        <f t="shared" si="8"/>
        <v>0</v>
      </c>
      <c r="AE44" s="122"/>
      <c r="AF44" s="83">
        <f t="shared" si="5"/>
        <v>22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220</v>
      </c>
    </row>
    <row r="45" spans="1:39" x14ac:dyDescent="0.25">
      <c r="A45" s="122"/>
      <c r="B45" s="83">
        <f t="shared" si="0"/>
        <v>2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20</v>
      </c>
      <c r="K45" s="122"/>
      <c r="L45" s="83">
        <f t="shared" si="2"/>
        <v>15</v>
      </c>
      <c r="M45" s="15"/>
      <c r="N45" s="69"/>
      <c r="O45" s="203"/>
      <c r="P45" s="69">
        <f t="shared" si="3"/>
        <v>0</v>
      </c>
      <c r="Q45" s="70"/>
      <c r="R45" s="71"/>
      <c r="S45" s="105">
        <f t="shared" si="7"/>
        <v>150</v>
      </c>
      <c r="U45" s="122"/>
      <c r="V45" s="83">
        <f t="shared" si="4"/>
        <v>0</v>
      </c>
      <c r="W45" s="15"/>
      <c r="X45" s="69"/>
      <c r="Y45" s="203"/>
      <c r="Z45" s="69">
        <f t="shared" si="10"/>
        <v>0</v>
      </c>
      <c r="AA45" s="70"/>
      <c r="AB45" s="71"/>
      <c r="AC45" s="105">
        <f t="shared" si="8"/>
        <v>0</v>
      </c>
      <c r="AE45" s="122"/>
      <c r="AF45" s="83">
        <f t="shared" si="5"/>
        <v>22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220</v>
      </c>
    </row>
    <row r="46" spans="1:39" x14ac:dyDescent="0.25">
      <c r="A46" s="122"/>
      <c r="B46" s="83">
        <f t="shared" si="0"/>
        <v>2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20</v>
      </c>
      <c r="K46" s="122"/>
      <c r="L46" s="83">
        <f t="shared" si="2"/>
        <v>15</v>
      </c>
      <c r="M46" s="15"/>
      <c r="N46" s="69"/>
      <c r="O46" s="203"/>
      <c r="P46" s="69">
        <f t="shared" si="3"/>
        <v>0</v>
      </c>
      <c r="Q46" s="70"/>
      <c r="R46" s="71"/>
      <c r="S46" s="105">
        <f t="shared" si="7"/>
        <v>150</v>
      </c>
      <c r="U46" s="122"/>
      <c r="V46" s="83">
        <f t="shared" si="4"/>
        <v>0</v>
      </c>
      <c r="W46" s="15"/>
      <c r="X46" s="69"/>
      <c r="Y46" s="203"/>
      <c r="Z46" s="69">
        <f t="shared" si="10"/>
        <v>0</v>
      </c>
      <c r="AA46" s="70"/>
      <c r="AB46" s="71"/>
      <c r="AC46" s="105">
        <f t="shared" si="8"/>
        <v>0</v>
      </c>
      <c r="AE46" s="122"/>
      <c r="AF46" s="83">
        <f t="shared" si="5"/>
        <v>22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220</v>
      </c>
    </row>
    <row r="47" spans="1:39" x14ac:dyDescent="0.25">
      <c r="A47" s="122"/>
      <c r="B47" s="83">
        <f t="shared" si="0"/>
        <v>2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20</v>
      </c>
      <c r="K47" s="122"/>
      <c r="L47" s="83">
        <f t="shared" si="2"/>
        <v>15</v>
      </c>
      <c r="M47" s="15"/>
      <c r="N47" s="69"/>
      <c r="O47" s="203"/>
      <c r="P47" s="69">
        <f t="shared" si="3"/>
        <v>0</v>
      </c>
      <c r="Q47" s="70"/>
      <c r="R47" s="71"/>
      <c r="S47" s="105">
        <f t="shared" si="7"/>
        <v>150</v>
      </c>
      <c r="U47" s="122"/>
      <c r="V47" s="83">
        <f t="shared" si="4"/>
        <v>0</v>
      </c>
      <c r="W47" s="15"/>
      <c r="X47" s="69"/>
      <c r="Y47" s="203"/>
      <c r="Z47" s="69">
        <f t="shared" si="10"/>
        <v>0</v>
      </c>
      <c r="AA47" s="70"/>
      <c r="AB47" s="71"/>
      <c r="AC47" s="105">
        <f t="shared" si="8"/>
        <v>0</v>
      </c>
      <c r="AE47" s="122"/>
      <c r="AF47" s="83">
        <f t="shared" si="5"/>
        <v>22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220</v>
      </c>
    </row>
    <row r="48" spans="1:39" x14ac:dyDescent="0.25">
      <c r="A48" s="122"/>
      <c r="B48" s="83">
        <f t="shared" si="0"/>
        <v>2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20</v>
      </c>
      <c r="K48" s="122"/>
      <c r="L48" s="83">
        <f t="shared" si="2"/>
        <v>15</v>
      </c>
      <c r="M48" s="15"/>
      <c r="N48" s="69"/>
      <c r="O48" s="203"/>
      <c r="P48" s="69">
        <f t="shared" si="3"/>
        <v>0</v>
      </c>
      <c r="Q48" s="70"/>
      <c r="R48" s="71"/>
      <c r="S48" s="105">
        <f t="shared" si="7"/>
        <v>150</v>
      </c>
      <c r="U48" s="122"/>
      <c r="V48" s="83">
        <f t="shared" si="4"/>
        <v>0</v>
      </c>
      <c r="W48" s="15"/>
      <c r="X48" s="69"/>
      <c r="Y48" s="203"/>
      <c r="Z48" s="69">
        <f t="shared" si="10"/>
        <v>0</v>
      </c>
      <c r="AA48" s="70"/>
      <c r="AB48" s="71"/>
      <c r="AC48" s="105">
        <f t="shared" si="8"/>
        <v>0</v>
      </c>
      <c r="AE48" s="122"/>
      <c r="AF48" s="83">
        <f t="shared" si="5"/>
        <v>22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220</v>
      </c>
    </row>
    <row r="49" spans="1:39" x14ac:dyDescent="0.25">
      <c r="A49" s="122"/>
      <c r="B49" s="83">
        <f t="shared" si="0"/>
        <v>2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20</v>
      </c>
      <c r="K49" s="122"/>
      <c r="L49" s="83">
        <f t="shared" si="2"/>
        <v>15</v>
      </c>
      <c r="M49" s="15"/>
      <c r="N49" s="69"/>
      <c r="O49" s="203"/>
      <c r="P49" s="69">
        <f t="shared" si="3"/>
        <v>0</v>
      </c>
      <c r="Q49" s="70"/>
      <c r="R49" s="71"/>
      <c r="S49" s="105">
        <f t="shared" si="7"/>
        <v>150</v>
      </c>
      <c r="U49" s="122"/>
      <c r="V49" s="83">
        <f t="shared" si="4"/>
        <v>0</v>
      </c>
      <c r="W49" s="15"/>
      <c r="X49" s="69"/>
      <c r="Y49" s="203"/>
      <c r="Z49" s="69">
        <f t="shared" si="10"/>
        <v>0</v>
      </c>
      <c r="AA49" s="70"/>
      <c r="AB49" s="71"/>
      <c r="AC49" s="105">
        <f t="shared" si="8"/>
        <v>0</v>
      </c>
      <c r="AE49" s="122"/>
      <c r="AF49" s="83">
        <f t="shared" si="5"/>
        <v>22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220</v>
      </c>
    </row>
    <row r="50" spans="1:39" x14ac:dyDescent="0.25">
      <c r="A50" s="122"/>
      <c r="B50" s="83">
        <f t="shared" si="0"/>
        <v>2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20</v>
      </c>
      <c r="K50" s="122"/>
      <c r="L50" s="83">
        <f t="shared" si="2"/>
        <v>15</v>
      </c>
      <c r="M50" s="15"/>
      <c r="N50" s="69"/>
      <c r="O50" s="203"/>
      <c r="P50" s="69">
        <f t="shared" si="3"/>
        <v>0</v>
      </c>
      <c r="Q50" s="70"/>
      <c r="R50" s="71"/>
      <c r="S50" s="105">
        <f t="shared" si="7"/>
        <v>150</v>
      </c>
      <c r="U50" s="122"/>
      <c r="V50" s="83">
        <f t="shared" si="4"/>
        <v>0</v>
      </c>
      <c r="W50" s="15"/>
      <c r="X50" s="69"/>
      <c r="Y50" s="203"/>
      <c r="Z50" s="69">
        <f t="shared" si="10"/>
        <v>0</v>
      </c>
      <c r="AA50" s="70"/>
      <c r="AB50" s="71"/>
      <c r="AC50" s="105">
        <f t="shared" si="8"/>
        <v>0</v>
      </c>
      <c r="AE50" s="122"/>
      <c r="AF50" s="83">
        <f t="shared" si="5"/>
        <v>22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220</v>
      </c>
    </row>
    <row r="51" spans="1:39" x14ac:dyDescent="0.25">
      <c r="A51" s="122"/>
      <c r="B51" s="83">
        <f t="shared" si="0"/>
        <v>2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20</v>
      </c>
      <c r="K51" s="122"/>
      <c r="L51" s="83">
        <f t="shared" si="2"/>
        <v>15</v>
      </c>
      <c r="M51" s="15"/>
      <c r="N51" s="69"/>
      <c r="O51" s="203"/>
      <c r="P51" s="69">
        <f t="shared" si="3"/>
        <v>0</v>
      </c>
      <c r="Q51" s="70"/>
      <c r="R51" s="71"/>
      <c r="S51" s="105">
        <f t="shared" si="7"/>
        <v>150</v>
      </c>
      <c r="U51" s="122"/>
      <c r="V51" s="83">
        <f t="shared" si="4"/>
        <v>0</v>
      </c>
      <c r="W51" s="15"/>
      <c r="X51" s="69"/>
      <c r="Y51" s="203"/>
      <c r="Z51" s="69">
        <f t="shared" si="10"/>
        <v>0</v>
      </c>
      <c r="AA51" s="70"/>
      <c r="AB51" s="71"/>
      <c r="AC51" s="105">
        <f t="shared" si="8"/>
        <v>0</v>
      </c>
      <c r="AE51" s="122"/>
      <c r="AF51" s="83">
        <f t="shared" si="5"/>
        <v>22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220</v>
      </c>
    </row>
    <row r="52" spans="1:39" x14ac:dyDescent="0.25">
      <c r="A52" s="122"/>
      <c r="B52" s="83">
        <f t="shared" si="0"/>
        <v>2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20</v>
      </c>
      <c r="K52" s="122"/>
      <c r="L52" s="83">
        <f t="shared" si="2"/>
        <v>15</v>
      </c>
      <c r="M52" s="15"/>
      <c r="N52" s="69"/>
      <c r="O52" s="203"/>
      <c r="P52" s="69">
        <f t="shared" si="3"/>
        <v>0</v>
      </c>
      <c r="Q52" s="70"/>
      <c r="R52" s="71"/>
      <c r="S52" s="105">
        <f t="shared" si="7"/>
        <v>150</v>
      </c>
      <c r="U52" s="122"/>
      <c r="V52" s="83">
        <f t="shared" si="4"/>
        <v>0</v>
      </c>
      <c r="W52" s="15"/>
      <c r="X52" s="69"/>
      <c r="Y52" s="203"/>
      <c r="Z52" s="69">
        <f t="shared" si="10"/>
        <v>0</v>
      </c>
      <c r="AA52" s="70"/>
      <c r="AB52" s="71"/>
      <c r="AC52" s="105">
        <f t="shared" si="8"/>
        <v>0</v>
      </c>
      <c r="AE52" s="122"/>
      <c r="AF52" s="83">
        <f t="shared" si="5"/>
        <v>22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220</v>
      </c>
    </row>
    <row r="53" spans="1:39" x14ac:dyDescent="0.25">
      <c r="A53" s="122"/>
      <c r="B53" s="83">
        <f t="shared" si="0"/>
        <v>2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20</v>
      </c>
      <c r="K53" s="122"/>
      <c r="L53" s="83">
        <f t="shared" si="2"/>
        <v>15</v>
      </c>
      <c r="M53" s="15"/>
      <c r="N53" s="69"/>
      <c r="O53" s="203"/>
      <c r="P53" s="69">
        <f t="shared" si="3"/>
        <v>0</v>
      </c>
      <c r="Q53" s="70"/>
      <c r="R53" s="71"/>
      <c r="S53" s="105">
        <f t="shared" si="7"/>
        <v>150</v>
      </c>
      <c r="U53" s="122"/>
      <c r="V53" s="83">
        <f t="shared" si="4"/>
        <v>0</v>
      </c>
      <c r="W53" s="15"/>
      <c r="X53" s="69"/>
      <c r="Y53" s="203"/>
      <c r="Z53" s="69">
        <f t="shared" si="10"/>
        <v>0</v>
      </c>
      <c r="AA53" s="70"/>
      <c r="AB53" s="71"/>
      <c r="AC53" s="105">
        <f t="shared" si="8"/>
        <v>0</v>
      </c>
      <c r="AE53" s="122"/>
      <c r="AF53" s="83">
        <f t="shared" si="5"/>
        <v>22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220</v>
      </c>
    </row>
    <row r="54" spans="1:39" x14ac:dyDescent="0.25">
      <c r="A54" s="122"/>
      <c r="B54" s="83">
        <f t="shared" si="0"/>
        <v>2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20</v>
      </c>
      <c r="K54" s="122"/>
      <c r="L54" s="83">
        <f t="shared" si="2"/>
        <v>15</v>
      </c>
      <c r="M54" s="15"/>
      <c r="N54" s="69"/>
      <c r="O54" s="203"/>
      <c r="P54" s="69">
        <f t="shared" si="3"/>
        <v>0</v>
      </c>
      <c r="Q54" s="70"/>
      <c r="R54" s="71"/>
      <c r="S54" s="105">
        <f t="shared" si="7"/>
        <v>150</v>
      </c>
      <c r="U54" s="122"/>
      <c r="V54" s="83">
        <f t="shared" si="4"/>
        <v>0</v>
      </c>
      <c r="W54" s="15"/>
      <c r="X54" s="69"/>
      <c r="Y54" s="203"/>
      <c r="Z54" s="69">
        <f t="shared" si="10"/>
        <v>0</v>
      </c>
      <c r="AA54" s="70"/>
      <c r="AB54" s="71"/>
      <c r="AC54" s="105">
        <f t="shared" si="8"/>
        <v>0</v>
      </c>
      <c r="AE54" s="122"/>
      <c r="AF54" s="83">
        <f t="shared" si="5"/>
        <v>22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220</v>
      </c>
    </row>
    <row r="55" spans="1:39" x14ac:dyDescent="0.25">
      <c r="A55" s="122"/>
      <c r="B55" s="12">
        <f t="shared" si="0"/>
        <v>2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20</v>
      </c>
      <c r="K55" s="122"/>
      <c r="L55" s="12">
        <f t="shared" si="2"/>
        <v>15</v>
      </c>
      <c r="M55" s="15"/>
      <c r="N55" s="69"/>
      <c r="O55" s="203"/>
      <c r="P55" s="69">
        <f t="shared" si="3"/>
        <v>0</v>
      </c>
      <c r="Q55" s="70"/>
      <c r="R55" s="71"/>
      <c r="S55" s="105">
        <f t="shared" si="7"/>
        <v>150</v>
      </c>
      <c r="U55" s="122"/>
      <c r="V55" s="12">
        <f t="shared" si="4"/>
        <v>0</v>
      </c>
      <c r="W55" s="15"/>
      <c r="X55" s="69"/>
      <c r="Y55" s="203"/>
      <c r="Z55" s="69">
        <f t="shared" si="10"/>
        <v>0</v>
      </c>
      <c r="AA55" s="70"/>
      <c r="AB55" s="71"/>
      <c r="AC55" s="105">
        <f t="shared" si="8"/>
        <v>0</v>
      </c>
      <c r="AE55" s="122"/>
      <c r="AF55" s="12">
        <f t="shared" si="5"/>
        <v>22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220</v>
      </c>
    </row>
    <row r="56" spans="1:39" x14ac:dyDescent="0.25">
      <c r="A56" s="122"/>
      <c r="B56" s="12">
        <f t="shared" si="0"/>
        <v>2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20</v>
      </c>
      <c r="K56" s="122"/>
      <c r="L56" s="12">
        <f t="shared" si="2"/>
        <v>15</v>
      </c>
      <c r="M56" s="15"/>
      <c r="N56" s="69"/>
      <c r="O56" s="203"/>
      <c r="P56" s="69">
        <f t="shared" si="3"/>
        <v>0</v>
      </c>
      <c r="Q56" s="70"/>
      <c r="R56" s="71"/>
      <c r="S56" s="105">
        <f t="shared" si="7"/>
        <v>150</v>
      </c>
      <c r="U56" s="122"/>
      <c r="V56" s="12">
        <f t="shared" si="4"/>
        <v>0</v>
      </c>
      <c r="W56" s="15"/>
      <c r="X56" s="69"/>
      <c r="Y56" s="203"/>
      <c r="Z56" s="69">
        <f t="shared" si="10"/>
        <v>0</v>
      </c>
      <c r="AA56" s="70"/>
      <c r="AB56" s="71"/>
      <c r="AC56" s="105">
        <f t="shared" si="8"/>
        <v>0</v>
      </c>
      <c r="AE56" s="122"/>
      <c r="AF56" s="12">
        <f t="shared" si="5"/>
        <v>22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220</v>
      </c>
    </row>
    <row r="57" spans="1:39" x14ac:dyDescent="0.25">
      <c r="A57" s="122"/>
      <c r="B57" s="12">
        <f t="shared" si="0"/>
        <v>2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20</v>
      </c>
      <c r="K57" s="122"/>
      <c r="L57" s="12">
        <f t="shared" si="2"/>
        <v>15</v>
      </c>
      <c r="M57" s="15"/>
      <c r="N57" s="69"/>
      <c r="O57" s="203"/>
      <c r="P57" s="69">
        <f t="shared" si="3"/>
        <v>0</v>
      </c>
      <c r="Q57" s="70"/>
      <c r="R57" s="71"/>
      <c r="S57" s="105">
        <f t="shared" si="7"/>
        <v>150</v>
      </c>
      <c r="U57" s="122"/>
      <c r="V57" s="12">
        <f t="shared" si="4"/>
        <v>0</v>
      </c>
      <c r="W57" s="15"/>
      <c r="X57" s="69"/>
      <c r="Y57" s="203"/>
      <c r="Z57" s="69">
        <f t="shared" si="10"/>
        <v>0</v>
      </c>
      <c r="AA57" s="70"/>
      <c r="AB57" s="71"/>
      <c r="AC57" s="105">
        <f t="shared" si="8"/>
        <v>0</v>
      </c>
      <c r="AE57" s="122"/>
      <c r="AF57" s="12">
        <f t="shared" si="5"/>
        <v>22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220</v>
      </c>
    </row>
    <row r="58" spans="1:39" x14ac:dyDescent="0.25">
      <c r="A58" s="122"/>
      <c r="B58" s="12">
        <f t="shared" si="0"/>
        <v>2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20</v>
      </c>
      <c r="K58" s="122"/>
      <c r="L58" s="12">
        <f t="shared" si="2"/>
        <v>15</v>
      </c>
      <c r="M58" s="15"/>
      <c r="N58" s="69"/>
      <c r="O58" s="203"/>
      <c r="P58" s="69">
        <f t="shared" si="3"/>
        <v>0</v>
      </c>
      <c r="Q58" s="70"/>
      <c r="R58" s="71"/>
      <c r="S58" s="105">
        <f t="shared" si="7"/>
        <v>150</v>
      </c>
      <c r="U58" s="122"/>
      <c r="V58" s="12">
        <f t="shared" si="4"/>
        <v>0</v>
      </c>
      <c r="W58" s="15"/>
      <c r="X58" s="69"/>
      <c r="Y58" s="203"/>
      <c r="Z58" s="69">
        <f t="shared" si="10"/>
        <v>0</v>
      </c>
      <c r="AA58" s="70"/>
      <c r="AB58" s="71"/>
      <c r="AC58" s="105">
        <f t="shared" si="8"/>
        <v>0</v>
      </c>
      <c r="AE58" s="122"/>
      <c r="AF58" s="12">
        <f t="shared" si="5"/>
        <v>22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220</v>
      </c>
    </row>
    <row r="59" spans="1:39" x14ac:dyDescent="0.25">
      <c r="A59" s="122"/>
      <c r="B59" s="12">
        <f t="shared" si="0"/>
        <v>2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20</v>
      </c>
      <c r="K59" s="122"/>
      <c r="L59" s="12">
        <f t="shared" si="2"/>
        <v>15</v>
      </c>
      <c r="M59" s="15"/>
      <c r="N59" s="69"/>
      <c r="O59" s="203"/>
      <c r="P59" s="69">
        <f t="shared" si="3"/>
        <v>0</v>
      </c>
      <c r="Q59" s="70"/>
      <c r="R59" s="71"/>
      <c r="S59" s="105">
        <f t="shared" si="7"/>
        <v>150</v>
      </c>
      <c r="U59" s="122"/>
      <c r="V59" s="12">
        <f t="shared" si="4"/>
        <v>0</v>
      </c>
      <c r="W59" s="15"/>
      <c r="X59" s="69"/>
      <c r="Y59" s="203"/>
      <c r="Z59" s="69">
        <f t="shared" si="10"/>
        <v>0</v>
      </c>
      <c r="AA59" s="70"/>
      <c r="AB59" s="71"/>
      <c r="AC59" s="105">
        <f t="shared" si="8"/>
        <v>0</v>
      </c>
      <c r="AE59" s="122"/>
      <c r="AF59" s="12">
        <f t="shared" si="5"/>
        <v>22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220</v>
      </c>
    </row>
    <row r="60" spans="1:39" x14ac:dyDescent="0.25">
      <c r="A60" s="122"/>
      <c r="B60" s="12">
        <f t="shared" si="0"/>
        <v>2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20</v>
      </c>
      <c r="K60" s="122"/>
      <c r="L60" s="12">
        <f t="shared" si="2"/>
        <v>15</v>
      </c>
      <c r="M60" s="15"/>
      <c r="N60" s="69"/>
      <c r="O60" s="203"/>
      <c r="P60" s="69">
        <f t="shared" si="3"/>
        <v>0</v>
      </c>
      <c r="Q60" s="70"/>
      <c r="R60" s="71"/>
      <c r="S60" s="105">
        <f t="shared" si="7"/>
        <v>150</v>
      </c>
      <c r="U60" s="122"/>
      <c r="V60" s="12">
        <f t="shared" si="4"/>
        <v>0</v>
      </c>
      <c r="W60" s="15"/>
      <c r="X60" s="69"/>
      <c r="Y60" s="203"/>
      <c r="Z60" s="69">
        <f t="shared" si="10"/>
        <v>0</v>
      </c>
      <c r="AA60" s="70"/>
      <c r="AB60" s="71"/>
      <c r="AC60" s="105">
        <f t="shared" si="8"/>
        <v>0</v>
      </c>
      <c r="AE60" s="122"/>
      <c r="AF60" s="12">
        <f t="shared" si="5"/>
        <v>22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220</v>
      </c>
    </row>
    <row r="61" spans="1:39" x14ac:dyDescent="0.25">
      <c r="A61" s="122"/>
      <c r="B61" s="12">
        <f t="shared" si="0"/>
        <v>2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20</v>
      </c>
      <c r="K61" s="122"/>
      <c r="L61" s="12">
        <f t="shared" si="2"/>
        <v>15</v>
      </c>
      <c r="M61" s="15"/>
      <c r="N61" s="69"/>
      <c r="O61" s="203"/>
      <c r="P61" s="69">
        <f t="shared" si="3"/>
        <v>0</v>
      </c>
      <c r="Q61" s="70"/>
      <c r="R61" s="71"/>
      <c r="S61" s="105">
        <f t="shared" si="7"/>
        <v>150</v>
      </c>
      <c r="U61" s="122"/>
      <c r="V61" s="12">
        <f t="shared" si="4"/>
        <v>0</v>
      </c>
      <c r="W61" s="15"/>
      <c r="X61" s="69"/>
      <c r="Y61" s="203"/>
      <c r="Z61" s="69">
        <f t="shared" si="10"/>
        <v>0</v>
      </c>
      <c r="AA61" s="70"/>
      <c r="AB61" s="71"/>
      <c r="AC61" s="105">
        <f t="shared" si="8"/>
        <v>0</v>
      </c>
      <c r="AE61" s="122"/>
      <c r="AF61" s="12">
        <f t="shared" si="5"/>
        <v>22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220</v>
      </c>
    </row>
    <row r="62" spans="1:39" x14ac:dyDescent="0.25">
      <c r="A62" s="122"/>
      <c r="B62" s="12">
        <f t="shared" si="0"/>
        <v>2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20</v>
      </c>
      <c r="K62" s="122"/>
      <c r="L62" s="12">
        <f t="shared" si="2"/>
        <v>15</v>
      </c>
      <c r="M62" s="15"/>
      <c r="N62" s="69"/>
      <c r="O62" s="203"/>
      <c r="P62" s="69">
        <f t="shared" si="3"/>
        <v>0</v>
      </c>
      <c r="Q62" s="70"/>
      <c r="R62" s="71"/>
      <c r="S62" s="105">
        <f t="shared" si="7"/>
        <v>150</v>
      </c>
      <c r="U62" s="122"/>
      <c r="V62" s="12">
        <f t="shared" si="4"/>
        <v>0</v>
      </c>
      <c r="W62" s="15"/>
      <c r="X62" s="69"/>
      <c r="Y62" s="203"/>
      <c r="Z62" s="69">
        <f t="shared" si="10"/>
        <v>0</v>
      </c>
      <c r="AA62" s="70"/>
      <c r="AB62" s="71"/>
      <c r="AC62" s="105">
        <f t="shared" si="8"/>
        <v>0</v>
      </c>
      <c r="AE62" s="122"/>
      <c r="AF62" s="12">
        <f t="shared" si="5"/>
        <v>22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220</v>
      </c>
    </row>
    <row r="63" spans="1:39" x14ac:dyDescent="0.25">
      <c r="A63" s="122"/>
      <c r="B63" s="12">
        <f t="shared" si="0"/>
        <v>2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20</v>
      </c>
      <c r="K63" s="122"/>
      <c r="L63" s="12">
        <f t="shared" si="2"/>
        <v>15</v>
      </c>
      <c r="M63" s="15"/>
      <c r="N63" s="69"/>
      <c r="O63" s="203"/>
      <c r="P63" s="69">
        <f t="shared" si="3"/>
        <v>0</v>
      </c>
      <c r="Q63" s="70"/>
      <c r="R63" s="71"/>
      <c r="S63" s="105">
        <f t="shared" si="7"/>
        <v>150</v>
      </c>
      <c r="U63" s="122"/>
      <c r="V63" s="12">
        <f t="shared" si="4"/>
        <v>0</v>
      </c>
      <c r="W63" s="15"/>
      <c r="X63" s="69"/>
      <c r="Y63" s="203"/>
      <c r="Z63" s="69">
        <f t="shared" si="10"/>
        <v>0</v>
      </c>
      <c r="AA63" s="70"/>
      <c r="AB63" s="71"/>
      <c r="AC63" s="105">
        <f t="shared" si="8"/>
        <v>0</v>
      </c>
      <c r="AE63" s="122"/>
      <c r="AF63" s="12">
        <f t="shared" si="5"/>
        <v>22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220</v>
      </c>
    </row>
    <row r="64" spans="1:39" x14ac:dyDescent="0.25">
      <c r="A64" s="122"/>
      <c r="B64" s="12">
        <f t="shared" si="0"/>
        <v>2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20</v>
      </c>
      <c r="K64" s="122"/>
      <c r="L64" s="12">
        <f t="shared" si="2"/>
        <v>15</v>
      </c>
      <c r="M64" s="15"/>
      <c r="N64" s="69"/>
      <c r="O64" s="203"/>
      <c r="P64" s="69">
        <f t="shared" si="3"/>
        <v>0</v>
      </c>
      <c r="Q64" s="70"/>
      <c r="R64" s="71"/>
      <c r="S64" s="105">
        <f t="shared" si="7"/>
        <v>150</v>
      </c>
      <c r="U64" s="122"/>
      <c r="V64" s="12">
        <f t="shared" si="4"/>
        <v>0</v>
      </c>
      <c r="W64" s="15"/>
      <c r="X64" s="69"/>
      <c r="Y64" s="203"/>
      <c r="Z64" s="69">
        <f t="shared" si="10"/>
        <v>0</v>
      </c>
      <c r="AA64" s="70"/>
      <c r="AB64" s="71"/>
      <c r="AC64" s="105">
        <f t="shared" si="8"/>
        <v>0</v>
      </c>
      <c r="AE64" s="122"/>
      <c r="AF64" s="12">
        <f t="shared" si="5"/>
        <v>22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220</v>
      </c>
    </row>
    <row r="65" spans="1:39" x14ac:dyDescent="0.25">
      <c r="A65" s="122"/>
      <c r="B65" s="12">
        <f t="shared" si="0"/>
        <v>2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20</v>
      </c>
      <c r="K65" s="122"/>
      <c r="L65" s="12">
        <f t="shared" si="2"/>
        <v>15</v>
      </c>
      <c r="M65" s="15"/>
      <c r="N65" s="69"/>
      <c r="O65" s="203"/>
      <c r="P65" s="69">
        <f t="shared" si="3"/>
        <v>0</v>
      </c>
      <c r="Q65" s="70"/>
      <c r="R65" s="71"/>
      <c r="S65" s="105">
        <f t="shared" si="7"/>
        <v>150</v>
      </c>
      <c r="U65" s="122"/>
      <c r="V65" s="12">
        <f t="shared" si="4"/>
        <v>0</v>
      </c>
      <c r="W65" s="15"/>
      <c r="X65" s="69"/>
      <c r="Y65" s="203"/>
      <c r="Z65" s="69">
        <f t="shared" si="10"/>
        <v>0</v>
      </c>
      <c r="AA65" s="70"/>
      <c r="AB65" s="71"/>
      <c r="AC65" s="105">
        <f t="shared" si="8"/>
        <v>0</v>
      </c>
      <c r="AE65" s="122"/>
      <c r="AF65" s="12">
        <f t="shared" si="5"/>
        <v>22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220</v>
      </c>
    </row>
    <row r="66" spans="1:39" x14ac:dyDescent="0.25">
      <c r="A66" s="122"/>
      <c r="B66" s="12">
        <f t="shared" si="0"/>
        <v>2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20</v>
      </c>
      <c r="K66" s="122"/>
      <c r="L66" s="12">
        <f t="shared" si="2"/>
        <v>15</v>
      </c>
      <c r="M66" s="15"/>
      <c r="N66" s="69"/>
      <c r="O66" s="203"/>
      <c r="P66" s="69">
        <f t="shared" si="3"/>
        <v>0</v>
      </c>
      <c r="Q66" s="70"/>
      <c r="R66" s="71"/>
      <c r="S66" s="105">
        <f t="shared" si="7"/>
        <v>150</v>
      </c>
      <c r="U66" s="122"/>
      <c r="V66" s="12">
        <f t="shared" si="4"/>
        <v>0</v>
      </c>
      <c r="W66" s="15"/>
      <c r="X66" s="69"/>
      <c r="Y66" s="203"/>
      <c r="Z66" s="69">
        <f t="shared" si="10"/>
        <v>0</v>
      </c>
      <c r="AA66" s="70"/>
      <c r="AB66" s="71"/>
      <c r="AC66" s="105">
        <f t="shared" si="8"/>
        <v>0</v>
      </c>
      <c r="AE66" s="122"/>
      <c r="AF66" s="12">
        <f t="shared" si="5"/>
        <v>22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220</v>
      </c>
    </row>
    <row r="67" spans="1:39" x14ac:dyDescent="0.25">
      <c r="A67" s="122"/>
      <c r="B67" s="12">
        <f t="shared" si="0"/>
        <v>2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20</v>
      </c>
      <c r="K67" s="122"/>
      <c r="L67" s="12">
        <f t="shared" si="2"/>
        <v>15</v>
      </c>
      <c r="M67" s="15"/>
      <c r="N67" s="69"/>
      <c r="O67" s="203"/>
      <c r="P67" s="69">
        <f t="shared" si="3"/>
        <v>0</v>
      </c>
      <c r="Q67" s="70"/>
      <c r="R67" s="71"/>
      <c r="S67" s="105">
        <f t="shared" si="7"/>
        <v>150</v>
      </c>
      <c r="U67" s="122"/>
      <c r="V67" s="12">
        <f t="shared" si="4"/>
        <v>0</v>
      </c>
      <c r="W67" s="15"/>
      <c r="X67" s="69"/>
      <c r="Y67" s="203"/>
      <c r="Z67" s="69">
        <f t="shared" si="10"/>
        <v>0</v>
      </c>
      <c r="AA67" s="70"/>
      <c r="AB67" s="71"/>
      <c r="AC67" s="105">
        <f t="shared" si="8"/>
        <v>0</v>
      </c>
      <c r="AE67" s="122"/>
      <c r="AF67" s="12">
        <f t="shared" si="5"/>
        <v>22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220</v>
      </c>
    </row>
    <row r="68" spans="1:39" x14ac:dyDescent="0.25">
      <c r="A68" s="122"/>
      <c r="B68" s="12">
        <f t="shared" si="0"/>
        <v>2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20</v>
      </c>
      <c r="K68" s="122"/>
      <c r="L68" s="12">
        <f t="shared" si="2"/>
        <v>15</v>
      </c>
      <c r="M68" s="15"/>
      <c r="N68" s="59"/>
      <c r="O68" s="210"/>
      <c r="P68" s="69">
        <f t="shared" si="3"/>
        <v>0</v>
      </c>
      <c r="Q68" s="70"/>
      <c r="R68" s="71"/>
      <c r="S68" s="105">
        <f t="shared" si="7"/>
        <v>150</v>
      </c>
      <c r="U68" s="122"/>
      <c r="V68" s="12">
        <f t="shared" si="4"/>
        <v>0</v>
      </c>
      <c r="W68" s="15"/>
      <c r="X68" s="59"/>
      <c r="Y68" s="210"/>
      <c r="Z68" s="69">
        <f t="shared" si="10"/>
        <v>0</v>
      </c>
      <c r="AA68" s="70"/>
      <c r="AB68" s="71"/>
      <c r="AC68" s="105">
        <f t="shared" si="8"/>
        <v>0</v>
      </c>
      <c r="AE68" s="122"/>
      <c r="AF68" s="12">
        <f t="shared" si="5"/>
        <v>22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220</v>
      </c>
    </row>
    <row r="69" spans="1:39" x14ac:dyDescent="0.25">
      <c r="A69" s="122"/>
      <c r="B69" s="12">
        <f t="shared" si="0"/>
        <v>2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20</v>
      </c>
      <c r="K69" s="122"/>
      <c r="L69" s="12">
        <f t="shared" si="2"/>
        <v>15</v>
      </c>
      <c r="M69" s="15"/>
      <c r="N69" s="59"/>
      <c r="O69" s="210"/>
      <c r="P69" s="69">
        <f t="shared" si="3"/>
        <v>0</v>
      </c>
      <c r="Q69" s="70"/>
      <c r="R69" s="71"/>
      <c r="S69" s="105">
        <f t="shared" si="7"/>
        <v>150</v>
      </c>
      <c r="U69" s="122"/>
      <c r="V69" s="12">
        <f t="shared" si="4"/>
        <v>0</v>
      </c>
      <c r="W69" s="15"/>
      <c r="X69" s="59"/>
      <c r="Y69" s="210"/>
      <c r="Z69" s="69">
        <f t="shared" si="10"/>
        <v>0</v>
      </c>
      <c r="AA69" s="70"/>
      <c r="AB69" s="71"/>
      <c r="AC69" s="105">
        <f t="shared" si="8"/>
        <v>0</v>
      </c>
      <c r="AE69" s="122"/>
      <c r="AF69" s="12">
        <f t="shared" si="5"/>
        <v>22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220</v>
      </c>
    </row>
    <row r="70" spans="1:39" x14ac:dyDescent="0.25">
      <c r="A70" s="122"/>
      <c r="B70" s="12">
        <f t="shared" si="0"/>
        <v>2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20</v>
      </c>
      <c r="K70" s="122"/>
      <c r="L70" s="12">
        <f t="shared" si="2"/>
        <v>15</v>
      </c>
      <c r="M70" s="15"/>
      <c r="N70" s="59"/>
      <c r="O70" s="210"/>
      <c r="P70" s="69">
        <f t="shared" si="3"/>
        <v>0</v>
      </c>
      <c r="Q70" s="70"/>
      <c r="R70" s="71"/>
      <c r="S70" s="105">
        <f t="shared" si="7"/>
        <v>150</v>
      </c>
      <c r="U70" s="122"/>
      <c r="V70" s="12">
        <f t="shared" si="4"/>
        <v>0</v>
      </c>
      <c r="W70" s="15"/>
      <c r="X70" s="59"/>
      <c r="Y70" s="210"/>
      <c r="Z70" s="69">
        <f t="shared" si="10"/>
        <v>0</v>
      </c>
      <c r="AA70" s="70"/>
      <c r="AB70" s="71"/>
      <c r="AC70" s="105">
        <f t="shared" si="8"/>
        <v>0</v>
      </c>
      <c r="AE70" s="122"/>
      <c r="AF70" s="12">
        <f t="shared" si="5"/>
        <v>22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220</v>
      </c>
    </row>
    <row r="71" spans="1:39" x14ac:dyDescent="0.25">
      <c r="A71" s="122"/>
      <c r="B71" s="12">
        <f t="shared" si="0"/>
        <v>2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20</v>
      </c>
      <c r="K71" s="122"/>
      <c r="L71" s="12">
        <f t="shared" si="2"/>
        <v>15</v>
      </c>
      <c r="M71" s="15"/>
      <c r="N71" s="59"/>
      <c r="O71" s="210"/>
      <c r="P71" s="69">
        <f t="shared" si="3"/>
        <v>0</v>
      </c>
      <c r="Q71" s="70"/>
      <c r="R71" s="71"/>
      <c r="S71" s="105">
        <f t="shared" si="7"/>
        <v>150</v>
      </c>
      <c r="U71" s="122"/>
      <c r="V71" s="12">
        <f t="shared" si="4"/>
        <v>0</v>
      </c>
      <c r="W71" s="15"/>
      <c r="X71" s="59"/>
      <c r="Y71" s="210"/>
      <c r="Z71" s="69">
        <f t="shared" si="10"/>
        <v>0</v>
      </c>
      <c r="AA71" s="70"/>
      <c r="AB71" s="71"/>
      <c r="AC71" s="105">
        <f t="shared" si="8"/>
        <v>0</v>
      </c>
      <c r="AE71" s="122"/>
      <c r="AF71" s="12">
        <f t="shared" si="5"/>
        <v>22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220</v>
      </c>
    </row>
    <row r="72" spans="1:39" x14ac:dyDescent="0.25">
      <c r="A72" s="122"/>
      <c r="B72" s="12">
        <f t="shared" si="0"/>
        <v>2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20</v>
      </c>
      <c r="K72" s="122"/>
      <c r="L72" s="12">
        <f t="shared" si="2"/>
        <v>15</v>
      </c>
      <c r="M72" s="15"/>
      <c r="N72" s="59"/>
      <c r="O72" s="210"/>
      <c r="P72" s="69">
        <f t="shared" si="3"/>
        <v>0</v>
      </c>
      <c r="Q72" s="70"/>
      <c r="R72" s="71"/>
      <c r="S72" s="105">
        <f t="shared" si="7"/>
        <v>150</v>
      </c>
      <c r="U72" s="122"/>
      <c r="V72" s="12">
        <f t="shared" si="4"/>
        <v>0</v>
      </c>
      <c r="W72" s="15"/>
      <c r="X72" s="59"/>
      <c r="Y72" s="210"/>
      <c r="Z72" s="69">
        <f t="shared" si="10"/>
        <v>0</v>
      </c>
      <c r="AA72" s="70"/>
      <c r="AB72" s="71"/>
      <c r="AC72" s="105">
        <f t="shared" si="8"/>
        <v>0</v>
      </c>
      <c r="AE72" s="122"/>
      <c r="AF72" s="12">
        <f t="shared" si="5"/>
        <v>22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220</v>
      </c>
    </row>
    <row r="73" spans="1:39" x14ac:dyDescent="0.25">
      <c r="A73" s="122"/>
      <c r="B73" s="12">
        <f t="shared" si="0"/>
        <v>2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20</v>
      </c>
      <c r="K73" s="122"/>
      <c r="L73" s="12">
        <f t="shared" si="2"/>
        <v>15</v>
      </c>
      <c r="M73" s="15"/>
      <c r="N73" s="59"/>
      <c r="O73" s="210"/>
      <c r="P73" s="69">
        <f t="shared" si="3"/>
        <v>0</v>
      </c>
      <c r="Q73" s="70"/>
      <c r="R73" s="71"/>
      <c r="S73" s="105">
        <f t="shared" si="7"/>
        <v>150</v>
      </c>
      <c r="U73" s="122"/>
      <c r="V73" s="12">
        <f t="shared" si="4"/>
        <v>0</v>
      </c>
      <c r="W73" s="15"/>
      <c r="X73" s="59"/>
      <c r="Y73" s="210"/>
      <c r="Z73" s="69">
        <f t="shared" si="10"/>
        <v>0</v>
      </c>
      <c r="AA73" s="70"/>
      <c r="AB73" s="71"/>
      <c r="AC73" s="105">
        <f t="shared" si="8"/>
        <v>0</v>
      </c>
      <c r="AE73" s="122"/>
      <c r="AF73" s="12">
        <f t="shared" si="5"/>
        <v>22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220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20</v>
      </c>
      <c r="K74" s="122"/>
      <c r="L74" s="12">
        <f t="shared" ref="L74:L75" si="14">L73-M74</f>
        <v>15</v>
      </c>
      <c r="M74" s="15"/>
      <c r="N74" s="59"/>
      <c r="O74" s="210"/>
      <c r="P74" s="69">
        <f t="shared" ref="P74:P76" si="15">N74</f>
        <v>0</v>
      </c>
      <c r="Q74" s="70"/>
      <c r="R74" s="71"/>
      <c r="S74" s="105">
        <f t="shared" si="7"/>
        <v>150</v>
      </c>
      <c r="U74" s="122"/>
      <c r="V74" s="12">
        <f t="shared" ref="V74:V75" si="16">V73-W74</f>
        <v>0</v>
      </c>
      <c r="W74" s="15"/>
      <c r="X74" s="59"/>
      <c r="Y74" s="210"/>
      <c r="Z74" s="69">
        <f t="shared" si="10"/>
        <v>0</v>
      </c>
      <c r="AA74" s="70"/>
      <c r="AB74" s="71"/>
      <c r="AC74" s="105">
        <f t="shared" si="8"/>
        <v>0</v>
      </c>
      <c r="AE74" s="122"/>
      <c r="AF74" s="12">
        <f t="shared" ref="AF74:AF75" si="17">AF73-AG74</f>
        <v>22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220</v>
      </c>
    </row>
    <row r="75" spans="1:39" x14ac:dyDescent="0.25">
      <c r="A75" s="122"/>
      <c r="B75" s="12">
        <f t="shared" si="12"/>
        <v>2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20</v>
      </c>
      <c r="K75" s="122"/>
      <c r="L75" s="12">
        <f t="shared" si="14"/>
        <v>15</v>
      </c>
      <c r="M75" s="15"/>
      <c r="N75" s="59"/>
      <c r="O75" s="210"/>
      <c r="P75" s="69">
        <f t="shared" si="15"/>
        <v>0</v>
      </c>
      <c r="Q75" s="70"/>
      <c r="R75" s="71"/>
      <c r="S75" s="105">
        <f t="shared" ref="S75:S76" si="19">S74-P75</f>
        <v>150</v>
      </c>
      <c r="U75" s="122"/>
      <c r="V75" s="12">
        <f t="shared" si="16"/>
        <v>0</v>
      </c>
      <c r="W75" s="15"/>
      <c r="X75" s="59"/>
      <c r="Y75" s="210"/>
      <c r="Z75" s="69">
        <f t="shared" si="10"/>
        <v>0</v>
      </c>
      <c r="AA75" s="70"/>
      <c r="AB75" s="71"/>
      <c r="AC75" s="105">
        <f t="shared" ref="AC75:AC76" si="20">AC74-Z75</f>
        <v>0</v>
      </c>
      <c r="AE75" s="122"/>
      <c r="AF75" s="12">
        <f t="shared" si="17"/>
        <v>22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220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20</v>
      </c>
      <c r="K76" s="122"/>
      <c r="M76" s="15"/>
      <c r="N76" s="59"/>
      <c r="O76" s="210"/>
      <c r="P76" s="69">
        <f t="shared" si="15"/>
        <v>0</v>
      </c>
      <c r="Q76" s="70"/>
      <c r="R76" s="71"/>
      <c r="S76" s="105">
        <f t="shared" si="19"/>
        <v>150</v>
      </c>
      <c r="U76" s="122"/>
      <c r="W76" s="15"/>
      <c r="X76" s="59"/>
      <c r="Y76" s="210"/>
      <c r="Z76" s="69">
        <f t="shared" si="10"/>
        <v>0</v>
      </c>
      <c r="AA76" s="70"/>
      <c r="AB76" s="71"/>
      <c r="AC76" s="105">
        <f t="shared" si="20"/>
        <v>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220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17</v>
      </c>
      <c r="X78" s="6">
        <f>SUM(X9:X77)</f>
        <v>170</v>
      </c>
      <c r="Z78" s="6">
        <f>SUM(Z9:Z77)</f>
        <v>170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22</v>
      </c>
    </row>
    <row r="82" spans="3:36" ht="15.75" thickBot="1" x14ac:dyDescent="0.3"/>
    <row r="83" spans="3:36" ht="15.75" thickBot="1" x14ac:dyDescent="0.3">
      <c r="C83" s="1072" t="s">
        <v>11</v>
      </c>
      <c r="D83" s="1073"/>
      <c r="E83" s="57">
        <f>E5+E6-F78+E7</f>
        <v>20</v>
      </c>
      <c r="F83" s="73"/>
      <c r="M83" s="1072" t="s">
        <v>11</v>
      </c>
      <c r="N83" s="1073"/>
      <c r="O83" s="57">
        <f>O5+O6-P78+O7</f>
        <v>150</v>
      </c>
      <c r="P83" s="73"/>
      <c r="W83" s="1072" t="s">
        <v>11</v>
      </c>
      <c r="X83" s="1073"/>
      <c r="Y83" s="57">
        <f>Y5+Y6-Z78+Y7</f>
        <v>-20</v>
      </c>
      <c r="Z83" s="73"/>
      <c r="AG83" s="1072" t="s">
        <v>11</v>
      </c>
      <c r="AH83" s="1073"/>
      <c r="AI83" s="57">
        <f>AI5+AI6-AJ78+AI7</f>
        <v>220</v>
      </c>
      <c r="AJ83" s="73"/>
    </row>
  </sheetData>
  <mergeCells count="15">
    <mergeCell ref="AE1:AK1"/>
    <mergeCell ref="AF5:AF6"/>
    <mergeCell ref="AG83:AH83"/>
    <mergeCell ref="AE5:AE6"/>
    <mergeCell ref="A1:G1"/>
    <mergeCell ref="B5:B6"/>
    <mergeCell ref="C83:D83"/>
    <mergeCell ref="A5:A6"/>
    <mergeCell ref="U1:AA1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6"/>
  <sheetViews>
    <sheetView workbookViewId="0">
      <selection activeCell="F21" sqref="F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070" t="s">
        <v>271</v>
      </c>
      <c r="B1" s="1070"/>
      <c r="C1" s="1070"/>
      <c r="D1" s="1070"/>
      <c r="E1" s="1070"/>
      <c r="F1" s="1070"/>
      <c r="G1" s="107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ht="15" customHeight="1" x14ac:dyDescent="0.25">
      <c r="A5" s="1078" t="s">
        <v>159</v>
      </c>
      <c r="B5" s="1085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</row>
    <row r="6" spans="1:10" x14ac:dyDescent="0.25">
      <c r="A6" s="1078"/>
      <c r="B6" s="1085"/>
      <c r="C6" s="200"/>
      <c r="D6" s="149"/>
      <c r="E6" s="105"/>
      <c r="F6" s="73"/>
    </row>
    <row r="7" spans="1:10" ht="15.75" customHeight="1" thickBot="1" x14ac:dyDescent="0.3">
      <c r="B7" s="12"/>
      <c r="C7" s="200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  <c r="J8" s="1008" t="s">
        <v>3</v>
      </c>
    </row>
    <row r="9" spans="1:10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221</v>
      </c>
      <c r="H9" s="71">
        <v>50</v>
      </c>
      <c r="I9" s="602">
        <f>H9*F9</f>
        <v>1435</v>
      </c>
      <c r="J9" s="105">
        <f>E4+E5+E6+E7-F9</f>
        <v>18371.95</v>
      </c>
    </row>
    <row r="10" spans="1:10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224</v>
      </c>
      <c r="H10" s="71">
        <v>50</v>
      </c>
      <c r="I10" s="603">
        <f t="shared" ref="I10:I30" si="1">H10*F10</f>
        <v>33360</v>
      </c>
      <c r="J10" s="105">
        <f>J9-F10</f>
        <v>17704.75</v>
      </c>
    </row>
    <row r="11" spans="1:10" x14ac:dyDescent="0.25">
      <c r="A11" s="55" t="s">
        <v>32</v>
      </c>
      <c r="B11" s="577">
        <f t="shared" ref="B11:B30" si="2">B10-C11</f>
        <v>300</v>
      </c>
      <c r="C11" s="962">
        <v>327</v>
      </c>
      <c r="D11" s="963">
        <v>9207.75</v>
      </c>
      <c r="E11" s="964">
        <v>44823</v>
      </c>
      <c r="F11" s="965">
        <f t="shared" si="0"/>
        <v>9207.75</v>
      </c>
      <c r="G11" s="70" t="s">
        <v>226</v>
      </c>
      <c r="H11" s="71">
        <v>47</v>
      </c>
      <c r="I11" s="603">
        <f t="shared" si="1"/>
        <v>432764.25</v>
      </c>
      <c r="J11" s="105">
        <f t="shared" ref="J11:J30" si="3">J10-F11</f>
        <v>8497</v>
      </c>
    </row>
    <row r="12" spans="1:10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232</v>
      </c>
      <c r="H12" s="71">
        <v>50</v>
      </c>
      <c r="I12" s="603">
        <f t="shared" si="1"/>
        <v>43920</v>
      </c>
      <c r="J12" s="105">
        <f t="shared" si="3"/>
        <v>7618.6</v>
      </c>
    </row>
    <row r="13" spans="1:10" x14ac:dyDescent="0.25">
      <c r="B13" s="990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248</v>
      </c>
      <c r="H13" s="71">
        <v>50</v>
      </c>
      <c r="I13" s="603">
        <f t="shared" si="1"/>
        <v>33415</v>
      </c>
      <c r="J13" s="991">
        <f>J12-F13-2</f>
        <v>6948.3</v>
      </c>
    </row>
    <row r="14" spans="1:10" x14ac:dyDescent="0.25">
      <c r="A14" s="55" t="s">
        <v>33</v>
      </c>
      <c r="B14" s="577">
        <f t="shared" si="2"/>
        <v>216</v>
      </c>
      <c r="C14" s="15">
        <v>30</v>
      </c>
      <c r="D14" s="816">
        <v>848.5</v>
      </c>
      <c r="E14" s="814">
        <v>44838</v>
      </c>
      <c r="F14" s="549">
        <f t="shared" si="0"/>
        <v>848.5</v>
      </c>
      <c r="G14" s="331" t="s">
        <v>417</v>
      </c>
      <c r="H14" s="332">
        <v>50</v>
      </c>
      <c r="I14" s="603">
        <f t="shared" si="1"/>
        <v>42425</v>
      </c>
      <c r="J14" s="105">
        <f t="shared" si="3"/>
        <v>6099.8</v>
      </c>
    </row>
    <row r="15" spans="1:10" x14ac:dyDescent="0.25">
      <c r="A15" s="753"/>
      <c r="B15" s="577">
        <f t="shared" si="2"/>
        <v>186</v>
      </c>
      <c r="C15" s="15">
        <v>30</v>
      </c>
      <c r="D15" s="816">
        <v>826.2</v>
      </c>
      <c r="E15" s="814">
        <v>44842</v>
      </c>
      <c r="F15" s="549">
        <f t="shared" si="0"/>
        <v>826.2</v>
      </c>
      <c r="G15" s="331" t="s">
        <v>457</v>
      </c>
      <c r="H15" s="332">
        <v>50</v>
      </c>
      <c r="I15" s="603">
        <f t="shared" si="1"/>
        <v>41310</v>
      </c>
      <c r="J15" s="105">
        <f t="shared" si="3"/>
        <v>5273.6</v>
      </c>
    </row>
    <row r="16" spans="1:10" ht="15.75" x14ac:dyDescent="0.25">
      <c r="A16" s="754" t="s">
        <v>160</v>
      </c>
      <c r="B16" s="577">
        <f t="shared" si="2"/>
        <v>156</v>
      </c>
      <c r="C16" s="15">
        <v>30</v>
      </c>
      <c r="D16" s="816">
        <v>844.4</v>
      </c>
      <c r="E16" s="814">
        <v>44849</v>
      </c>
      <c r="F16" s="549">
        <f t="shared" si="0"/>
        <v>844.4</v>
      </c>
      <c r="G16" s="331" t="s">
        <v>500</v>
      </c>
      <c r="H16" s="332">
        <v>50</v>
      </c>
      <c r="I16" s="603">
        <f t="shared" si="1"/>
        <v>42220</v>
      </c>
      <c r="J16" s="105">
        <f t="shared" si="3"/>
        <v>4429.2000000000007</v>
      </c>
    </row>
    <row r="17" spans="1:10" ht="15.75" x14ac:dyDescent="0.25">
      <c r="A17" s="754" t="s">
        <v>161</v>
      </c>
      <c r="B17" s="577">
        <f t="shared" si="2"/>
        <v>136</v>
      </c>
      <c r="C17" s="15">
        <v>20</v>
      </c>
      <c r="D17" s="816">
        <v>562.1</v>
      </c>
      <c r="E17" s="814">
        <v>44855</v>
      </c>
      <c r="F17" s="549">
        <f t="shared" si="0"/>
        <v>562.1</v>
      </c>
      <c r="G17" s="331" t="s">
        <v>536</v>
      </c>
      <c r="H17" s="332">
        <v>50</v>
      </c>
      <c r="I17" s="603">
        <f t="shared" si="1"/>
        <v>28105</v>
      </c>
      <c r="J17" s="105">
        <f t="shared" si="3"/>
        <v>3867.1000000000008</v>
      </c>
    </row>
    <row r="18" spans="1:10" ht="15.75" x14ac:dyDescent="0.25">
      <c r="A18" s="754" t="s">
        <v>162</v>
      </c>
      <c r="B18" s="577">
        <f t="shared" si="2"/>
        <v>121</v>
      </c>
      <c r="C18" s="15">
        <v>15</v>
      </c>
      <c r="D18" s="816">
        <v>426.5</v>
      </c>
      <c r="E18" s="814">
        <v>44859</v>
      </c>
      <c r="F18" s="549">
        <f t="shared" si="0"/>
        <v>426.5</v>
      </c>
      <c r="G18" s="331" t="s">
        <v>551</v>
      </c>
      <c r="H18" s="332">
        <v>50</v>
      </c>
      <c r="I18" s="603">
        <f t="shared" si="1"/>
        <v>21325</v>
      </c>
      <c r="J18" s="105">
        <f t="shared" si="3"/>
        <v>3440.6000000000008</v>
      </c>
    </row>
    <row r="19" spans="1:10" x14ac:dyDescent="0.25">
      <c r="A19" s="753"/>
      <c r="B19" s="577">
        <f t="shared" si="2"/>
        <v>106</v>
      </c>
      <c r="C19" s="15">
        <v>15</v>
      </c>
      <c r="D19" s="816">
        <v>440.2</v>
      </c>
      <c r="E19" s="814">
        <v>44861</v>
      </c>
      <c r="F19" s="549">
        <f t="shared" si="0"/>
        <v>440.2</v>
      </c>
      <c r="G19" s="331" t="s">
        <v>570</v>
      </c>
      <c r="H19" s="332">
        <v>50</v>
      </c>
      <c r="I19" s="603">
        <f t="shared" si="1"/>
        <v>22010</v>
      </c>
      <c r="J19" s="105">
        <f t="shared" si="3"/>
        <v>3000.400000000001</v>
      </c>
    </row>
    <row r="20" spans="1:10" x14ac:dyDescent="0.25">
      <c r="A20" s="753"/>
      <c r="B20" s="577">
        <f t="shared" si="2"/>
        <v>82</v>
      </c>
      <c r="C20" s="15">
        <v>24</v>
      </c>
      <c r="D20" s="816">
        <v>660.7</v>
      </c>
      <c r="E20" s="814">
        <v>44862</v>
      </c>
      <c r="F20" s="549">
        <f t="shared" si="0"/>
        <v>660.7</v>
      </c>
      <c r="G20" s="331" t="s">
        <v>573</v>
      </c>
      <c r="H20" s="332">
        <v>50</v>
      </c>
      <c r="I20" s="603">
        <f t="shared" si="1"/>
        <v>33035</v>
      </c>
      <c r="J20" s="105">
        <f t="shared" si="3"/>
        <v>2339.7000000000007</v>
      </c>
    </row>
    <row r="21" spans="1:10" x14ac:dyDescent="0.25">
      <c r="B21" s="577">
        <f t="shared" si="2"/>
        <v>72</v>
      </c>
      <c r="C21" s="15">
        <v>10</v>
      </c>
      <c r="D21" s="816">
        <v>289.7</v>
      </c>
      <c r="E21" s="814">
        <v>44863</v>
      </c>
      <c r="F21" s="549">
        <f t="shared" si="0"/>
        <v>289.7</v>
      </c>
      <c r="G21" s="331" t="s">
        <v>588</v>
      </c>
      <c r="H21" s="332">
        <v>50</v>
      </c>
      <c r="I21" s="603">
        <f t="shared" si="1"/>
        <v>14485</v>
      </c>
      <c r="J21" s="105">
        <f t="shared" si="3"/>
        <v>2050.0000000000009</v>
      </c>
    </row>
    <row r="22" spans="1:10" x14ac:dyDescent="0.25">
      <c r="B22" s="577">
        <f t="shared" si="2"/>
        <v>72</v>
      </c>
      <c r="C22" s="15"/>
      <c r="D22" s="816"/>
      <c r="E22" s="814"/>
      <c r="F22" s="549">
        <f t="shared" si="0"/>
        <v>0</v>
      </c>
      <c r="G22" s="331"/>
      <c r="H22" s="332"/>
      <c r="I22" s="603">
        <f t="shared" si="1"/>
        <v>0</v>
      </c>
      <c r="J22" s="105">
        <f t="shared" si="3"/>
        <v>2050.0000000000009</v>
      </c>
    </row>
    <row r="23" spans="1:10" x14ac:dyDescent="0.25">
      <c r="B23" s="577">
        <f t="shared" si="2"/>
        <v>72</v>
      </c>
      <c r="C23" s="15"/>
      <c r="D23" s="816"/>
      <c r="E23" s="814"/>
      <c r="F23" s="549">
        <f t="shared" si="0"/>
        <v>0</v>
      </c>
      <c r="G23" s="331"/>
      <c r="H23" s="332"/>
      <c r="I23" s="603">
        <f t="shared" si="1"/>
        <v>0</v>
      </c>
      <c r="J23" s="105">
        <f t="shared" si="3"/>
        <v>2050.0000000000009</v>
      </c>
    </row>
    <row r="24" spans="1:10" x14ac:dyDescent="0.25">
      <c r="B24" s="577">
        <f t="shared" si="2"/>
        <v>72</v>
      </c>
      <c r="C24" s="15"/>
      <c r="D24" s="816"/>
      <c r="E24" s="814"/>
      <c r="F24" s="549">
        <f t="shared" si="0"/>
        <v>0</v>
      </c>
      <c r="G24" s="331"/>
      <c r="H24" s="332"/>
      <c r="I24" s="603">
        <f t="shared" si="1"/>
        <v>0</v>
      </c>
      <c r="J24" s="105">
        <f t="shared" si="3"/>
        <v>2050.0000000000009</v>
      </c>
    </row>
    <row r="25" spans="1:10" x14ac:dyDescent="0.25">
      <c r="B25" s="577">
        <f t="shared" si="2"/>
        <v>72</v>
      </c>
      <c r="C25" s="15"/>
      <c r="D25" s="816"/>
      <c r="E25" s="814"/>
      <c r="F25" s="549">
        <f t="shared" si="0"/>
        <v>0</v>
      </c>
      <c r="G25" s="331"/>
      <c r="H25" s="332"/>
      <c r="I25" s="603">
        <f t="shared" si="1"/>
        <v>0</v>
      </c>
      <c r="J25" s="105">
        <f t="shared" si="3"/>
        <v>2050.0000000000009</v>
      </c>
    </row>
    <row r="26" spans="1:10" x14ac:dyDescent="0.25">
      <c r="B26" s="577">
        <f t="shared" si="2"/>
        <v>72</v>
      </c>
      <c r="C26" s="15"/>
      <c r="D26" s="816"/>
      <c r="E26" s="814"/>
      <c r="F26" s="549">
        <f t="shared" si="0"/>
        <v>0</v>
      </c>
      <c r="G26" s="331"/>
      <c r="H26" s="332"/>
      <c r="I26" s="603">
        <f t="shared" si="1"/>
        <v>0</v>
      </c>
      <c r="J26" s="105">
        <f t="shared" si="3"/>
        <v>2050.0000000000009</v>
      </c>
    </row>
    <row r="27" spans="1:10" x14ac:dyDescent="0.25">
      <c r="B27" s="577">
        <f t="shared" si="2"/>
        <v>72</v>
      </c>
      <c r="C27" s="15"/>
      <c r="D27" s="816"/>
      <c r="E27" s="814"/>
      <c r="F27" s="549">
        <f t="shared" si="0"/>
        <v>0</v>
      </c>
      <c r="G27" s="331"/>
      <c r="H27" s="332"/>
      <c r="I27" s="603">
        <f t="shared" si="1"/>
        <v>0</v>
      </c>
      <c r="J27" s="105">
        <f t="shared" si="3"/>
        <v>2050.0000000000009</v>
      </c>
    </row>
    <row r="28" spans="1:10" x14ac:dyDescent="0.25">
      <c r="B28" s="577">
        <f t="shared" si="2"/>
        <v>72</v>
      </c>
      <c r="C28" s="15"/>
      <c r="D28" s="549"/>
      <c r="E28" s="814"/>
      <c r="F28" s="549">
        <f t="shared" si="0"/>
        <v>0</v>
      </c>
      <c r="G28" s="331"/>
      <c r="H28" s="332"/>
      <c r="I28" s="603">
        <f t="shared" si="1"/>
        <v>0</v>
      </c>
      <c r="J28" s="105">
        <f t="shared" si="3"/>
        <v>2050.0000000000009</v>
      </c>
    </row>
    <row r="29" spans="1:10" ht="15.75" thickBot="1" x14ac:dyDescent="0.3">
      <c r="B29" s="577">
        <f t="shared" si="2"/>
        <v>72</v>
      </c>
      <c r="C29" s="15"/>
      <c r="D29" s="549"/>
      <c r="E29" s="814"/>
      <c r="F29" s="549">
        <f t="shared" si="0"/>
        <v>0</v>
      </c>
      <c r="G29" s="331"/>
      <c r="H29" s="332"/>
      <c r="I29" s="604">
        <f t="shared" si="1"/>
        <v>0</v>
      </c>
      <c r="J29" s="105">
        <f t="shared" si="3"/>
        <v>2050.0000000000009</v>
      </c>
    </row>
    <row r="30" spans="1:10" ht="15.75" thickBot="1" x14ac:dyDescent="0.3">
      <c r="B30" s="577">
        <f t="shared" si="2"/>
        <v>72</v>
      </c>
      <c r="C30" s="37"/>
      <c r="D30" s="150">
        <f t="shared" ref="D30" si="4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  <c r="J30" s="105">
        <f t="shared" si="3"/>
        <v>2050.0000000000009</v>
      </c>
    </row>
    <row r="31" spans="1:10" ht="16.5" thickTop="1" x14ac:dyDescent="0.25">
      <c r="C31" s="15">
        <f>SUM(C9:C30)</f>
        <v>580</v>
      </c>
      <c r="D31" s="513">
        <f>SUM(D9:D30)</f>
        <v>16348.650000000001</v>
      </c>
      <c r="E31" s="13"/>
      <c r="F31" s="69">
        <f>SUM(F9:F30)</f>
        <v>16348.650000000001</v>
      </c>
      <c r="G31" s="31"/>
      <c r="H31" s="17"/>
      <c r="I31" s="605">
        <f>SUM(I9:I30)</f>
        <v>789809.25</v>
      </c>
    </row>
    <row r="32" spans="1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72</v>
      </c>
      <c r="E33" s="40"/>
      <c r="F33" s="6"/>
      <c r="G33" s="31"/>
      <c r="H33" s="17"/>
    </row>
    <row r="34" spans="3:8" x14ac:dyDescent="0.25">
      <c r="C34" s="1121" t="s">
        <v>19</v>
      </c>
      <c r="D34" s="1122"/>
      <c r="E34" s="39">
        <f>E4+E5+E6+E7-F31</f>
        <v>2052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96"/>
  <sheetViews>
    <sheetView topLeftCell="G1" workbookViewId="0">
      <pane ySplit="9" topLeftCell="A61" activePane="bottomLeft" state="frozen"/>
      <selection pane="bottomLeft" activeCell="V76" sqref="V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31" t="s">
        <v>272</v>
      </c>
      <c r="B1" s="1131"/>
      <c r="C1" s="1131"/>
      <c r="D1" s="1131"/>
      <c r="E1" s="1131"/>
      <c r="F1" s="1131"/>
      <c r="G1" s="1131"/>
      <c r="H1" s="1131"/>
      <c r="I1" s="1131"/>
      <c r="J1" s="99">
        <v>1</v>
      </c>
      <c r="L1" s="1131" t="str">
        <f>A1</f>
        <v>INVENTARIO      DEL MES DE   SEPTIEMBRE       2022</v>
      </c>
      <c r="M1" s="1131"/>
      <c r="N1" s="1131"/>
      <c r="O1" s="1131"/>
      <c r="P1" s="1131"/>
      <c r="Q1" s="1131"/>
      <c r="R1" s="1131"/>
      <c r="S1" s="1131"/>
      <c r="T1" s="1131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132" t="s">
        <v>52</v>
      </c>
      <c r="B5" s="1133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F93</f>
        <v>5198.82</v>
      </c>
      <c r="H5" s="58">
        <f>E4+E5+E6-G5+E7</f>
        <v>1818.0300000000007</v>
      </c>
      <c r="L5" s="1132" t="s">
        <v>52</v>
      </c>
      <c r="M5" s="1133" t="s">
        <v>89</v>
      </c>
      <c r="N5" s="237"/>
      <c r="O5" s="337"/>
      <c r="P5" s="256"/>
      <c r="Q5" s="242"/>
      <c r="R5" s="147">
        <f>Q93</f>
        <v>0</v>
      </c>
      <c r="S5" s="58">
        <f>P4+P5+P6-R5+P7</f>
        <v>1299.74</v>
      </c>
    </row>
    <row r="6" spans="1:21" ht="16.5" customHeight="1" x14ac:dyDescent="0.25">
      <c r="A6" s="1132"/>
      <c r="B6" s="1085"/>
      <c r="C6" s="237">
        <v>85</v>
      </c>
      <c r="D6" s="337">
        <v>44764</v>
      </c>
      <c r="E6" s="256">
        <v>4005.63</v>
      </c>
      <c r="F6" s="242">
        <v>160</v>
      </c>
      <c r="G6" s="73"/>
      <c r="L6" s="1132"/>
      <c r="M6" s="1085"/>
      <c r="N6" s="237"/>
      <c r="O6" s="337"/>
      <c r="P6" s="256"/>
      <c r="Q6" s="242"/>
      <c r="R6" s="73"/>
    </row>
    <row r="7" spans="1:21" ht="15.75" customHeight="1" thickBot="1" x14ac:dyDescent="0.35">
      <c r="A7" s="1132"/>
      <c r="B7" s="1085"/>
      <c r="C7" s="237"/>
      <c r="D7" s="337"/>
      <c r="E7" s="256"/>
      <c r="F7" s="242"/>
      <c r="G7" s="73"/>
      <c r="I7" s="378"/>
      <c r="J7" s="378"/>
      <c r="L7" s="1132"/>
      <c r="M7" s="1085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124" t="s">
        <v>47</v>
      </c>
      <c r="J8" s="1129" t="s">
        <v>4</v>
      </c>
      <c r="M8" s="421"/>
      <c r="N8" s="237"/>
      <c r="O8" s="337"/>
      <c r="P8" s="240"/>
      <c r="Q8" s="241"/>
      <c r="R8" s="73"/>
      <c r="T8" s="1124" t="s">
        <v>47</v>
      </c>
      <c r="U8" s="112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25"/>
      <c r="J9" s="113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25"/>
      <c r="U9" s="1130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92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9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170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171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174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175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184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189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190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191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188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200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208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8" si="6">T50-Q51</f>
        <v>1299.74</v>
      </c>
      <c r="U51" s="127">
        <f t="shared" ref="U51:U68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212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213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224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227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228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229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232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233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234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246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255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>
        <v>2</v>
      </c>
      <c r="D63" s="821">
        <v>50.31</v>
      </c>
      <c r="E63" s="590">
        <v>44838</v>
      </c>
      <c r="F63" s="549">
        <f t="shared" si="4"/>
        <v>50.31</v>
      </c>
      <c r="G63" s="331" t="s">
        <v>421</v>
      </c>
      <c r="H63" s="332">
        <v>84</v>
      </c>
      <c r="I63" s="209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>
        <v>2</v>
      </c>
      <c r="D64" s="821">
        <v>58.25</v>
      </c>
      <c r="E64" s="590">
        <v>44840</v>
      </c>
      <c r="F64" s="549">
        <f t="shared" si="4"/>
        <v>58.25</v>
      </c>
      <c r="G64" s="331" t="s">
        <v>424</v>
      </c>
      <c r="H64" s="332">
        <v>84</v>
      </c>
      <c r="I64" s="209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>
        <v>8</v>
      </c>
      <c r="D65" s="821">
        <v>220.52</v>
      </c>
      <c r="E65" s="590">
        <v>44840</v>
      </c>
      <c r="F65" s="549">
        <f t="shared" si="4"/>
        <v>220.52</v>
      </c>
      <c r="G65" s="331" t="s">
        <v>430</v>
      </c>
      <c r="H65" s="332">
        <v>84</v>
      </c>
      <c r="I65" s="209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>
        <v>1</v>
      </c>
      <c r="D66" s="821">
        <v>23.95</v>
      </c>
      <c r="E66" s="590">
        <v>44841</v>
      </c>
      <c r="F66" s="549">
        <f t="shared" si="4"/>
        <v>23.95</v>
      </c>
      <c r="G66" s="331" t="s">
        <v>443</v>
      </c>
      <c r="H66" s="332">
        <v>84</v>
      </c>
      <c r="I66" s="209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>
        <v>6</v>
      </c>
      <c r="D67" s="821">
        <v>149.43</v>
      </c>
      <c r="E67" s="590">
        <v>44842</v>
      </c>
      <c r="F67" s="549">
        <f t="shared" si="4"/>
        <v>149.43</v>
      </c>
      <c r="G67" s="331" t="s">
        <v>444</v>
      </c>
      <c r="H67" s="332">
        <v>84</v>
      </c>
      <c r="I67" s="209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>
        <v>5</v>
      </c>
      <c r="D68" s="821">
        <v>113.59</v>
      </c>
      <c r="E68" s="590">
        <v>44845</v>
      </c>
      <c r="F68" s="549">
        <f t="shared" si="4"/>
        <v>113.59</v>
      </c>
      <c r="G68" s="331" t="s">
        <v>467</v>
      </c>
      <c r="H68" s="332">
        <v>84</v>
      </c>
      <c r="I68" s="209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x14ac:dyDescent="0.25">
      <c r="A69" s="2"/>
      <c r="B69" s="83"/>
      <c r="C69" s="15">
        <v>5</v>
      </c>
      <c r="D69" s="821">
        <v>111.26</v>
      </c>
      <c r="E69" s="590">
        <v>44853</v>
      </c>
      <c r="F69" s="549">
        <f t="shared" si="4"/>
        <v>111.26</v>
      </c>
      <c r="G69" s="331" t="s">
        <v>516</v>
      </c>
      <c r="H69" s="332">
        <v>84</v>
      </c>
      <c r="I69" s="209">
        <f t="shared" ref="I69:I91" si="8">I68-F69</f>
        <v>2434.630000000001</v>
      </c>
      <c r="J69" s="127">
        <f t="shared" ref="J69:J91" si="9">J68-C69</f>
        <v>100</v>
      </c>
      <c r="L69" s="2"/>
      <c r="M69" s="83"/>
      <c r="N69" s="15"/>
      <c r="O69" s="151"/>
      <c r="P69" s="247"/>
      <c r="Q69" s="69"/>
      <c r="R69" s="70"/>
      <c r="S69" s="71"/>
      <c r="T69" s="209"/>
      <c r="U69" s="127"/>
    </row>
    <row r="70" spans="1:21" x14ac:dyDescent="0.25">
      <c r="A70" s="2"/>
      <c r="B70" s="83"/>
      <c r="C70" s="15">
        <v>5</v>
      </c>
      <c r="D70" s="821">
        <v>123.65</v>
      </c>
      <c r="E70" s="590">
        <v>44853</v>
      </c>
      <c r="F70" s="549">
        <f t="shared" si="4"/>
        <v>123.65</v>
      </c>
      <c r="G70" s="331" t="s">
        <v>517</v>
      </c>
      <c r="H70" s="332">
        <v>84</v>
      </c>
      <c r="I70" s="209">
        <f t="shared" si="8"/>
        <v>2310.9800000000009</v>
      </c>
      <c r="J70" s="127">
        <f t="shared" si="9"/>
        <v>95</v>
      </c>
      <c r="L70" s="2"/>
      <c r="M70" s="83"/>
      <c r="N70" s="15"/>
      <c r="O70" s="151"/>
      <c r="P70" s="247"/>
      <c r="Q70" s="69"/>
      <c r="R70" s="70"/>
      <c r="S70" s="71"/>
      <c r="T70" s="209"/>
      <c r="U70" s="127"/>
    </row>
    <row r="71" spans="1:21" x14ac:dyDescent="0.25">
      <c r="A71" s="2"/>
      <c r="B71" s="83"/>
      <c r="C71" s="15">
        <v>4</v>
      </c>
      <c r="D71" s="821">
        <v>102.95</v>
      </c>
      <c r="E71" s="590">
        <v>44854</v>
      </c>
      <c r="F71" s="549">
        <f t="shared" si="4"/>
        <v>102.95</v>
      </c>
      <c r="G71" s="331" t="s">
        <v>528</v>
      </c>
      <c r="H71" s="332">
        <v>84</v>
      </c>
      <c r="I71" s="209">
        <f t="shared" si="8"/>
        <v>2208.0300000000011</v>
      </c>
      <c r="J71" s="127">
        <f t="shared" si="9"/>
        <v>91</v>
      </c>
      <c r="L71" s="2"/>
      <c r="M71" s="83"/>
      <c r="N71" s="15"/>
      <c r="O71" s="151"/>
      <c r="P71" s="247"/>
      <c r="Q71" s="69"/>
      <c r="R71" s="70"/>
      <c r="S71" s="71"/>
      <c r="T71" s="209"/>
      <c r="U71" s="127"/>
    </row>
    <row r="72" spans="1:21" x14ac:dyDescent="0.25">
      <c r="A72" s="2"/>
      <c r="B72" s="83"/>
      <c r="C72" s="15">
        <v>4</v>
      </c>
      <c r="D72" s="821">
        <v>105.15</v>
      </c>
      <c r="E72" s="590">
        <v>44855</v>
      </c>
      <c r="F72" s="549">
        <f t="shared" si="4"/>
        <v>105.15</v>
      </c>
      <c r="G72" s="331" t="s">
        <v>536</v>
      </c>
      <c r="H72" s="332">
        <v>84</v>
      </c>
      <c r="I72" s="209">
        <f t="shared" si="8"/>
        <v>2102.880000000001</v>
      </c>
      <c r="J72" s="127">
        <f t="shared" si="9"/>
        <v>87</v>
      </c>
      <c r="L72" s="2"/>
      <c r="M72" s="83"/>
      <c r="N72" s="15"/>
      <c r="O72" s="151"/>
      <c r="P72" s="247"/>
      <c r="Q72" s="69"/>
      <c r="R72" s="70"/>
      <c r="S72" s="71"/>
      <c r="T72" s="209"/>
      <c r="U72" s="127"/>
    </row>
    <row r="73" spans="1:21" x14ac:dyDescent="0.25">
      <c r="A73" s="2"/>
      <c r="B73" s="83"/>
      <c r="C73" s="15">
        <v>2</v>
      </c>
      <c r="D73" s="821">
        <v>56.1</v>
      </c>
      <c r="E73" s="590">
        <v>44856</v>
      </c>
      <c r="F73" s="549">
        <f t="shared" si="4"/>
        <v>56.1</v>
      </c>
      <c r="G73" s="331" t="s">
        <v>540</v>
      </c>
      <c r="H73" s="332">
        <v>84</v>
      </c>
      <c r="I73" s="209">
        <f t="shared" si="8"/>
        <v>2046.7800000000011</v>
      </c>
      <c r="J73" s="127">
        <f t="shared" si="9"/>
        <v>85</v>
      </c>
      <c r="L73" s="2"/>
      <c r="M73" s="83"/>
      <c r="N73" s="15"/>
      <c r="O73" s="151"/>
      <c r="P73" s="247"/>
      <c r="Q73" s="69"/>
      <c r="R73" s="70"/>
      <c r="S73" s="71"/>
      <c r="T73" s="209"/>
      <c r="U73" s="127"/>
    </row>
    <row r="74" spans="1:21" x14ac:dyDescent="0.25">
      <c r="A74" s="2"/>
      <c r="B74" s="83"/>
      <c r="C74" s="15">
        <v>5</v>
      </c>
      <c r="D74" s="821">
        <v>114.44</v>
      </c>
      <c r="E74" s="590">
        <v>44860</v>
      </c>
      <c r="F74" s="549">
        <f t="shared" si="4"/>
        <v>114.44</v>
      </c>
      <c r="G74" s="331" t="s">
        <v>558</v>
      </c>
      <c r="H74" s="332">
        <v>84</v>
      </c>
      <c r="I74" s="209">
        <f t="shared" si="8"/>
        <v>1932.3400000000011</v>
      </c>
      <c r="J74" s="127">
        <f t="shared" si="9"/>
        <v>80</v>
      </c>
      <c r="L74" s="2"/>
      <c r="M74" s="83"/>
      <c r="N74" s="15"/>
      <c r="O74" s="151"/>
      <c r="P74" s="247"/>
      <c r="Q74" s="69"/>
      <c r="R74" s="70"/>
      <c r="S74" s="71"/>
      <c r="T74" s="209"/>
      <c r="U74" s="127"/>
    </row>
    <row r="75" spans="1:21" x14ac:dyDescent="0.25">
      <c r="A75" s="2"/>
      <c r="B75" s="83"/>
      <c r="C75" s="15">
        <v>5</v>
      </c>
      <c r="D75" s="821">
        <v>114.31</v>
      </c>
      <c r="E75" s="590">
        <v>44862</v>
      </c>
      <c r="F75" s="549">
        <f t="shared" si="4"/>
        <v>114.31</v>
      </c>
      <c r="G75" s="331" t="s">
        <v>573</v>
      </c>
      <c r="H75" s="332">
        <v>84</v>
      </c>
      <c r="I75" s="209">
        <f t="shared" si="8"/>
        <v>1818.0300000000011</v>
      </c>
      <c r="J75" s="127">
        <f t="shared" si="9"/>
        <v>75</v>
      </c>
      <c r="L75" s="2"/>
      <c r="M75" s="83"/>
      <c r="N75" s="15"/>
      <c r="O75" s="151"/>
      <c r="P75" s="247"/>
      <c r="Q75" s="69"/>
      <c r="R75" s="70"/>
      <c r="S75" s="71"/>
      <c r="T75" s="209"/>
      <c r="U75" s="127"/>
    </row>
    <row r="76" spans="1:21" x14ac:dyDescent="0.25">
      <c r="A76" s="2"/>
      <c r="B76" s="83"/>
      <c r="C76" s="15"/>
      <c r="D76" s="821"/>
      <c r="E76" s="590"/>
      <c r="F76" s="549">
        <f t="shared" si="4"/>
        <v>0</v>
      </c>
      <c r="G76" s="331"/>
      <c r="H76" s="332"/>
      <c r="I76" s="209">
        <f t="shared" si="8"/>
        <v>1818.0300000000011</v>
      </c>
      <c r="J76" s="127">
        <f t="shared" si="9"/>
        <v>75</v>
      </c>
      <c r="L76" s="2"/>
      <c r="M76" s="83"/>
      <c r="N76" s="15"/>
      <c r="O76" s="151"/>
      <c r="P76" s="247"/>
      <c r="Q76" s="69"/>
      <c r="R76" s="70"/>
      <c r="S76" s="71"/>
      <c r="T76" s="209"/>
      <c r="U76" s="127"/>
    </row>
    <row r="77" spans="1:21" x14ac:dyDescent="0.25">
      <c r="A77" s="2"/>
      <c r="B77" s="83"/>
      <c r="C77" s="15"/>
      <c r="D77" s="821"/>
      <c r="E77" s="590"/>
      <c r="F77" s="549">
        <f t="shared" si="4"/>
        <v>0</v>
      </c>
      <c r="G77" s="331"/>
      <c r="H77" s="332"/>
      <c r="I77" s="209">
        <f t="shared" si="8"/>
        <v>1818.0300000000011</v>
      </c>
      <c r="J77" s="127">
        <f t="shared" si="9"/>
        <v>75</v>
      </c>
      <c r="L77" s="2"/>
      <c r="M77" s="83"/>
      <c r="N77" s="15"/>
      <c r="O77" s="151"/>
      <c r="P77" s="247"/>
      <c r="Q77" s="69"/>
      <c r="R77" s="70"/>
      <c r="S77" s="71"/>
      <c r="T77" s="209"/>
      <c r="U77" s="127"/>
    </row>
    <row r="78" spans="1:21" x14ac:dyDescent="0.25">
      <c r="A78" s="2"/>
      <c r="B78" s="83"/>
      <c r="C78" s="15"/>
      <c r="D78" s="821"/>
      <c r="E78" s="590"/>
      <c r="F78" s="549">
        <f t="shared" si="4"/>
        <v>0</v>
      </c>
      <c r="G78" s="331"/>
      <c r="H78" s="332"/>
      <c r="I78" s="209">
        <f t="shared" si="8"/>
        <v>1818.0300000000011</v>
      </c>
      <c r="J78" s="127">
        <f t="shared" si="9"/>
        <v>75</v>
      </c>
      <c r="L78" s="2"/>
      <c r="M78" s="83"/>
      <c r="N78" s="15"/>
      <c r="O78" s="151"/>
      <c r="P78" s="247"/>
      <c r="Q78" s="69"/>
      <c r="R78" s="70"/>
      <c r="S78" s="71"/>
      <c r="T78" s="209"/>
      <c r="U78" s="127"/>
    </row>
    <row r="79" spans="1:21" x14ac:dyDescent="0.25">
      <c r="A79" s="2"/>
      <c r="B79" s="83"/>
      <c r="C79" s="15"/>
      <c r="D79" s="821"/>
      <c r="E79" s="590"/>
      <c r="F79" s="549">
        <f t="shared" si="4"/>
        <v>0</v>
      </c>
      <c r="G79" s="331"/>
      <c r="H79" s="332"/>
      <c r="I79" s="209">
        <f t="shared" si="8"/>
        <v>1818.0300000000011</v>
      </c>
      <c r="J79" s="127">
        <f t="shared" si="9"/>
        <v>75</v>
      </c>
      <c r="L79" s="2"/>
      <c r="M79" s="83"/>
      <c r="N79" s="15"/>
      <c r="O79" s="151"/>
      <c r="P79" s="247"/>
      <c r="Q79" s="69"/>
      <c r="R79" s="70"/>
      <c r="S79" s="71"/>
      <c r="T79" s="209"/>
      <c r="U79" s="127"/>
    </row>
    <row r="80" spans="1:21" x14ac:dyDescent="0.25">
      <c r="A80" s="2"/>
      <c r="B80" s="83"/>
      <c r="C80" s="15"/>
      <c r="D80" s="821"/>
      <c r="E80" s="590"/>
      <c r="F80" s="549">
        <f t="shared" si="4"/>
        <v>0</v>
      </c>
      <c r="G80" s="331"/>
      <c r="H80" s="332"/>
      <c r="I80" s="209">
        <f t="shared" si="8"/>
        <v>1818.0300000000011</v>
      </c>
      <c r="J80" s="127">
        <f t="shared" si="9"/>
        <v>75</v>
      </c>
      <c r="L80" s="2"/>
      <c r="M80" s="83"/>
      <c r="N80" s="15"/>
      <c r="O80" s="151"/>
      <c r="P80" s="247"/>
      <c r="Q80" s="69"/>
      <c r="R80" s="70"/>
      <c r="S80" s="71"/>
      <c r="T80" s="209"/>
      <c r="U80" s="127"/>
    </row>
    <row r="81" spans="1:21" x14ac:dyDescent="0.25">
      <c r="A81" s="2"/>
      <c r="B81" s="83"/>
      <c r="C81" s="15"/>
      <c r="D81" s="821"/>
      <c r="E81" s="590"/>
      <c r="F81" s="549">
        <f t="shared" si="4"/>
        <v>0</v>
      </c>
      <c r="G81" s="331"/>
      <c r="H81" s="332"/>
      <c r="I81" s="209">
        <f t="shared" si="8"/>
        <v>1818.0300000000011</v>
      </c>
      <c r="J81" s="127">
        <f t="shared" si="9"/>
        <v>75</v>
      </c>
      <c r="L81" s="2"/>
      <c r="M81" s="83"/>
      <c r="N81" s="15"/>
      <c r="O81" s="151"/>
      <c r="P81" s="247"/>
      <c r="Q81" s="69"/>
      <c r="R81" s="70"/>
      <c r="S81" s="71"/>
      <c r="T81" s="209"/>
      <c r="U81" s="127"/>
    </row>
    <row r="82" spans="1:21" x14ac:dyDescent="0.25">
      <c r="A82" s="2"/>
      <c r="B82" s="83"/>
      <c r="C82" s="15"/>
      <c r="D82" s="821"/>
      <c r="E82" s="590"/>
      <c r="F82" s="549">
        <f t="shared" si="4"/>
        <v>0</v>
      </c>
      <c r="G82" s="331"/>
      <c r="H82" s="332"/>
      <c r="I82" s="209">
        <f t="shared" si="8"/>
        <v>1818.0300000000011</v>
      </c>
      <c r="J82" s="127">
        <f t="shared" si="9"/>
        <v>75</v>
      </c>
      <c r="L82" s="2"/>
      <c r="M82" s="83"/>
      <c r="N82" s="15"/>
      <c r="O82" s="151"/>
      <c r="P82" s="247"/>
      <c r="Q82" s="69"/>
      <c r="R82" s="70"/>
      <c r="S82" s="71"/>
      <c r="T82" s="209"/>
      <c r="U82" s="127"/>
    </row>
    <row r="83" spans="1:21" x14ac:dyDescent="0.25">
      <c r="A83" s="2"/>
      <c r="B83" s="83"/>
      <c r="C83" s="15"/>
      <c r="D83" s="821"/>
      <c r="E83" s="590"/>
      <c r="F83" s="549">
        <f t="shared" si="4"/>
        <v>0</v>
      </c>
      <c r="G83" s="331"/>
      <c r="H83" s="332"/>
      <c r="I83" s="209">
        <f t="shared" si="8"/>
        <v>1818.0300000000011</v>
      </c>
      <c r="J83" s="127">
        <f t="shared" si="9"/>
        <v>75</v>
      </c>
      <c r="L83" s="2"/>
      <c r="M83" s="83"/>
      <c r="N83" s="15"/>
      <c r="O83" s="151"/>
      <c r="P83" s="247"/>
      <c r="Q83" s="69"/>
      <c r="R83" s="70"/>
      <c r="S83" s="71"/>
      <c r="T83" s="209"/>
      <c r="U83" s="127"/>
    </row>
    <row r="84" spans="1:21" x14ac:dyDescent="0.25">
      <c r="A84" s="2"/>
      <c r="B84" s="83"/>
      <c r="C84" s="15"/>
      <c r="D84" s="821"/>
      <c r="E84" s="590"/>
      <c r="F84" s="549">
        <f t="shared" si="4"/>
        <v>0</v>
      </c>
      <c r="G84" s="331"/>
      <c r="H84" s="332"/>
      <c r="I84" s="209">
        <f t="shared" si="8"/>
        <v>1818.0300000000011</v>
      </c>
      <c r="J84" s="127">
        <f t="shared" si="9"/>
        <v>75</v>
      </c>
      <c r="L84" s="2"/>
      <c r="M84" s="83"/>
      <c r="N84" s="15"/>
      <c r="O84" s="151"/>
      <c r="P84" s="247"/>
      <c r="Q84" s="69"/>
      <c r="R84" s="70"/>
      <c r="S84" s="71"/>
      <c r="T84" s="209"/>
      <c r="U84" s="127"/>
    </row>
    <row r="85" spans="1:21" x14ac:dyDescent="0.25">
      <c r="A85" s="2"/>
      <c r="B85" s="83"/>
      <c r="C85" s="15"/>
      <c r="D85" s="821"/>
      <c r="E85" s="590"/>
      <c r="F85" s="549">
        <f t="shared" si="4"/>
        <v>0</v>
      </c>
      <c r="G85" s="331"/>
      <c r="H85" s="332"/>
      <c r="I85" s="209">
        <f t="shared" si="8"/>
        <v>1818.0300000000011</v>
      </c>
      <c r="J85" s="127">
        <f t="shared" si="9"/>
        <v>75</v>
      </c>
      <c r="L85" s="2"/>
      <c r="M85" s="83"/>
      <c r="N85" s="15"/>
      <c r="O85" s="151"/>
      <c r="P85" s="247"/>
      <c r="Q85" s="69"/>
      <c r="R85" s="70"/>
      <c r="S85" s="71"/>
      <c r="T85" s="209"/>
      <c r="U85" s="127"/>
    </row>
    <row r="86" spans="1:21" x14ac:dyDescent="0.25">
      <c r="A86" s="2"/>
      <c r="B86" s="83"/>
      <c r="C86" s="15"/>
      <c r="D86" s="821"/>
      <c r="E86" s="590"/>
      <c r="F86" s="549">
        <f t="shared" si="4"/>
        <v>0</v>
      </c>
      <c r="G86" s="331"/>
      <c r="H86" s="332"/>
      <c r="I86" s="209">
        <f t="shared" si="8"/>
        <v>1818.0300000000011</v>
      </c>
      <c r="J86" s="127">
        <f t="shared" si="9"/>
        <v>75</v>
      </c>
      <c r="L86" s="2"/>
      <c r="M86" s="83"/>
      <c r="N86" s="15"/>
      <c r="O86" s="151"/>
      <c r="P86" s="247"/>
      <c r="Q86" s="69"/>
      <c r="R86" s="70"/>
      <c r="S86" s="71"/>
      <c r="T86" s="209"/>
      <c r="U86" s="127"/>
    </row>
    <row r="87" spans="1:21" x14ac:dyDescent="0.25">
      <c r="A87" s="2"/>
      <c r="B87" s="83"/>
      <c r="C87" s="15"/>
      <c r="D87" s="821"/>
      <c r="E87" s="590"/>
      <c r="F87" s="549">
        <f t="shared" si="4"/>
        <v>0</v>
      </c>
      <c r="G87" s="331"/>
      <c r="H87" s="332"/>
      <c r="I87" s="209">
        <f t="shared" si="8"/>
        <v>1818.0300000000011</v>
      </c>
      <c r="J87" s="127">
        <f t="shared" si="9"/>
        <v>75</v>
      </c>
      <c r="L87" s="2"/>
      <c r="M87" s="83"/>
      <c r="N87" s="15"/>
      <c r="O87" s="151"/>
      <c r="P87" s="247"/>
      <c r="Q87" s="69"/>
      <c r="R87" s="70"/>
      <c r="S87" s="71"/>
      <c r="T87" s="209"/>
      <c r="U87" s="127"/>
    </row>
    <row r="88" spans="1:21" x14ac:dyDescent="0.25">
      <c r="A88" s="2"/>
      <c r="B88" s="83"/>
      <c r="C88" s="15"/>
      <c r="D88" s="821"/>
      <c r="E88" s="590"/>
      <c r="F88" s="549">
        <f t="shared" si="4"/>
        <v>0</v>
      </c>
      <c r="G88" s="331"/>
      <c r="H88" s="332"/>
      <c r="I88" s="209">
        <f t="shared" si="8"/>
        <v>1818.0300000000011</v>
      </c>
      <c r="J88" s="127">
        <f t="shared" si="9"/>
        <v>75</v>
      </c>
      <c r="L88" s="2"/>
      <c r="M88" s="83"/>
      <c r="N88" s="15"/>
      <c r="O88" s="151"/>
      <c r="P88" s="247"/>
      <c r="Q88" s="69"/>
      <c r="R88" s="70"/>
      <c r="S88" s="71"/>
      <c r="T88" s="209"/>
      <c r="U88" s="127"/>
    </row>
    <row r="89" spans="1:21" x14ac:dyDescent="0.25">
      <c r="A89" s="2"/>
      <c r="B89" s="83"/>
      <c r="C89" s="15"/>
      <c r="D89" s="821"/>
      <c r="E89" s="590"/>
      <c r="F89" s="549">
        <f t="shared" si="4"/>
        <v>0</v>
      </c>
      <c r="G89" s="331"/>
      <c r="H89" s="332"/>
      <c r="I89" s="209">
        <f t="shared" si="8"/>
        <v>1818.0300000000011</v>
      </c>
      <c r="J89" s="127">
        <f t="shared" si="9"/>
        <v>75</v>
      </c>
      <c r="L89" s="2"/>
      <c r="M89" s="83"/>
      <c r="N89" s="15"/>
      <c r="O89" s="151"/>
      <c r="P89" s="247"/>
      <c r="Q89" s="69"/>
      <c r="R89" s="70"/>
      <c r="S89" s="71"/>
      <c r="T89" s="209"/>
      <c r="U89" s="127"/>
    </row>
    <row r="90" spans="1:21" x14ac:dyDescent="0.25">
      <c r="A90" s="2"/>
      <c r="B90" s="83"/>
      <c r="C90" s="15"/>
      <c r="D90" s="821"/>
      <c r="E90" s="590"/>
      <c r="F90" s="549">
        <f t="shared" si="4"/>
        <v>0</v>
      </c>
      <c r="G90" s="331"/>
      <c r="H90" s="332"/>
      <c r="I90" s="209">
        <f t="shared" si="8"/>
        <v>1818.0300000000011</v>
      </c>
      <c r="J90" s="127">
        <f t="shared" si="9"/>
        <v>75</v>
      </c>
      <c r="L90" s="2"/>
      <c r="M90" s="83"/>
      <c r="N90" s="15"/>
      <c r="O90" s="151"/>
      <c r="P90" s="247"/>
      <c r="Q90" s="69"/>
      <c r="R90" s="70"/>
      <c r="S90" s="71"/>
      <c r="T90" s="209"/>
      <c r="U90" s="127"/>
    </row>
    <row r="91" spans="1:21" ht="14.25" customHeight="1" x14ac:dyDescent="0.25">
      <c r="A91" s="2"/>
      <c r="B91" s="83"/>
      <c r="C91" s="15"/>
      <c r="D91" s="821">
        <v>0</v>
      </c>
      <c r="E91" s="590"/>
      <c r="F91" s="549">
        <f t="shared" si="4"/>
        <v>0</v>
      </c>
      <c r="G91" s="331"/>
      <c r="H91" s="332"/>
      <c r="I91" s="209">
        <f t="shared" si="8"/>
        <v>1818.0300000000011</v>
      </c>
      <c r="J91" s="127">
        <f t="shared" si="9"/>
        <v>75</v>
      </c>
      <c r="L91" s="2"/>
      <c r="M91" s="83"/>
      <c r="N91" s="15"/>
      <c r="O91" s="151">
        <v>0</v>
      </c>
      <c r="P91" s="247"/>
      <c r="Q91" s="69">
        <f t="shared" si="5"/>
        <v>0</v>
      </c>
      <c r="R91" s="70"/>
      <c r="S91" s="71"/>
      <c r="T91" s="209">
        <f>T68-Q91</f>
        <v>1299.74</v>
      </c>
      <c r="U91" s="127">
        <f>U68-N91</f>
        <v>48</v>
      </c>
    </row>
    <row r="92" spans="1:21" ht="15.75" thickBot="1" x14ac:dyDescent="0.3">
      <c r="A92" s="4"/>
      <c r="B92" s="74"/>
      <c r="C92" s="37"/>
      <c r="D92" s="311">
        <v>0</v>
      </c>
      <c r="E92" s="157"/>
      <c r="F92" s="150">
        <f t="shared" si="4"/>
        <v>0</v>
      </c>
      <c r="G92" s="139"/>
      <c r="H92" s="765"/>
      <c r="I92" s="24"/>
      <c r="J92" s="24"/>
      <c r="L92" s="4"/>
      <c r="M92" s="74"/>
      <c r="N92" s="37"/>
      <c r="O92" s="311">
        <v>0</v>
      </c>
      <c r="P92" s="157"/>
      <c r="Q92" s="150">
        <f t="shared" si="5"/>
        <v>0</v>
      </c>
      <c r="R92" s="139"/>
      <c r="S92" s="199"/>
      <c r="T92" s="24"/>
      <c r="U92" s="24"/>
    </row>
    <row r="93" spans="1:21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</row>
    <row r="94" spans="1:21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</row>
    <row r="95" spans="1:21" ht="15.75" thickBot="1" x14ac:dyDescent="0.3">
      <c r="A95" s="119"/>
      <c r="D95" s="47"/>
      <c r="F95" s="5"/>
      <c r="L95" s="119"/>
      <c r="O95" s="47"/>
      <c r="Q95" s="5"/>
    </row>
    <row r="96" spans="1:21" ht="16.5" thickTop="1" thickBot="1" x14ac:dyDescent="0.3">
      <c r="A96" s="47"/>
      <c r="C96" s="1115" t="s">
        <v>11</v>
      </c>
      <c r="D96" s="1116"/>
      <c r="E96" s="145">
        <f>E5+E4+E6+-F93+E7</f>
        <v>1818.0300000000007</v>
      </c>
      <c r="F96" s="5"/>
      <c r="L96" s="47"/>
      <c r="N96" s="1115" t="s">
        <v>11</v>
      </c>
      <c r="O96" s="1116"/>
      <c r="P96" s="145">
        <f>P5+P4+P6+-Q93+P7</f>
        <v>1299.74</v>
      </c>
      <c r="Q96" s="5"/>
    </row>
  </sheetData>
  <mergeCells count="12">
    <mergeCell ref="U8:U9"/>
    <mergeCell ref="A1:I1"/>
    <mergeCell ref="J8:J9"/>
    <mergeCell ref="C96:D96"/>
    <mergeCell ref="A5:A7"/>
    <mergeCell ref="B5:B7"/>
    <mergeCell ref="I8:I9"/>
    <mergeCell ref="N96:O9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136"/>
      <c r="B5" s="1138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137"/>
      <c r="B6" s="1139"/>
      <c r="C6" s="226"/>
      <c r="D6" s="118"/>
      <c r="E6" s="503"/>
      <c r="F6" s="241"/>
      <c r="I6" s="1140" t="s">
        <v>3</v>
      </c>
      <c r="J6" s="113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1"/>
      <c r="J7" s="1135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15" t="s">
        <v>11</v>
      </c>
      <c r="D100" s="111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4"/>
      <c r="B1" s="1074"/>
      <c r="C1" s="1074"/>
      <c r="D1" s="1074"/>
      <c r="E1" s="1074"/>
      <c r="F1" s="1074"/>
      <c r="G1" s="107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111"/>
      <c r="B5" s="1142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112"/>
      <c r="B6" s="1143"/>
      <c r="C6" s="226"/>
      <c r="D6" s="118"/>
      <c r="E6" s="144"/>
      <c r="F6" s="242"/>
      <c r="I6" s="1140" t="s">
        <v>3</v>
      </c>
      <c r="J6" s="113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1"/>
      <c r="J7" s="1135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15" t="s">
        <v>11</v>
      </c>
      <c r="D33" s="111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A4" workbookViewId="0">
      <selection activeCell="G29" sqref="G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31" t="s">
        <v>271</v>
      </c>
      <c r="B1" s="1131"/>
      <c r="C1" s="1131"/>
      <c r="D1" s="1131"/>
      <c r="E1" s="1131"/>
      <c r="F1" s="1131"/>
      <c r="G1" s="1131"/>
      <c r="H1" s="1131"/>
      <c r="I1" s="1131"/>
      <c r="J1" s="99">
        <v>1</v>
      </c>
      <c r="L1" s="1146" t="s">
        <v>260</v>
      </c>
      <c r="M1" s="1146"/>
      <c r="N1" s="1146"/>
      <c r="O1" s="1146"/>
      <c r="P1" s="1146"/>
      <c r="Q1" s="1146"/>
      <c r="R1" s="1146"/>
      <c r="S1" s="1146"/>
      <c r="T1" s="1146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144" t="s">
        <v>166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144" t="s">
        <v>166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165</v>
      </c>
      <c r="B6" s="1145"/>
      <c r="C6" s="237"/>
      <c r="D6" s="337"/>
      <c r="E6" s="256"/>
      <c r="F6" s="242"/>
      <c r="G6" s="73"/>
      <c r="L6" s="600" t="s">
        <v>287</v>
      </c>
      <c r="M6" s="1145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145"/>
      <c r="C7" s="237"/>
      <c r="D7" s="337"/>
      <c r="E7" s="256"/>
      <c r="F7" s="242"/>
      <c r="G7" s="73"/>
      <c r="I7" s="378"/>
      <c r="J7" s="378"/>
      <c r="L7" s="600"/>
      <c r="M7" s="1145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124" t="s">
        <v>47</v>
      </c>
      <c r="J8" s="1129" t="s">
        <v>4</v>
      </c>
      <c r="M8" s="421"/>
      <c r="N8" s="237"/>
      <c r="O8" s="118"/>
      <c r="P8" s="335"/>
      <c r="Q8" s="336"/>
      <c r="R8" s="73"/>
      <c r="T8" s="1124" t="s">
        <v>47</v>
      </c>
      <c r="U8" s="112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25"/>
      <c r="J9" s="113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25"/>
      <c r="U9" s="1130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242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243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258</v>
      </c>
      <c r="H12" s="71">
        <v>93</v>
      </c>
      <c r="I12" s="1009">
        <f t="shared" ref="I12:I37" si="3">I11-F12</f>
        <v>825</v>
      </c>
      <c r="J12" s="1010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821">
        <f t="shared" si="2"/>
        <v>30</v>
      </c>
      <c r="E13" s="822">
        <v>44837</v>
      </c>
      <c r="F13" s="549">
        <f t="shared" si="0"/>
        <v>30</v>
      </c>
      <c r="G13" s="331" t="s">
        <v>411</v>
      </c>
      <c r="H13" s="332">
        <v>91</v>
      </c>
      <c r="I13" s="209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821">
        <f t="shared" si="2"/>
        <v>15</v>
      </c>
      <c r="E14" s="822">
        <v>44837</v>
      </c>
      <c r="F14" s="549">
        <f t="shared" si="0"/>
        <v>15</v>
      </c>
      <c r="G14" s="331" t="s">
        <v>412</v>
      </c>
      <c r="H14" s="332">
        <v>91</v>
      </c>
      <c r="I14" s="209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821">
        <f t="shared" si="2"/>
        <v>90</v>
      </c>
      <c r="E15" s="822">
        <v>44839</v>
      </c>
      <c r="F15" s="549">
        <f t="shared" si="0"/>
        <v>90</v>
      </c>
      <c r="G15" s="331" t="s">
        <v>422</v>
      </c>
      <c r="H15" s="332">
        <v>91</v>
      </c>
      <c r="I15" s="209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821">
        <f t="shared" si="2"/>
        <v>15</v>
      </c>
      <c r="E16" s="811">
        <v>44841</v>
      </c>
      <c r="F16" s="549">
        <f t="shared" si="0"/>
        <v>15</v>
      </c>
      <c r="G16" s="331" t="s">
        <v>438</v>
      </c>
      <c r="H16" s="332">
        <v>91</v>
      </c>
      <c r="I16" s="209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821">
        <f t="shared" si="2"/>
        <v>75</v>
      </c>
      <c r="E17" s="822">
        <v>44841</v>
      </c>
      <c r="F17" s="549">
        <f t="shared" si="0"/>
        <v>75</v>
      </c>
      <c r="G17" s="331" t="s">
        <v>440</v>
      </c>
      <c r="H17" s="332">
        <v>91</v>
      </c>
      <c r="I17" s="209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821">
        <f t="shared" si="2"/>
        <v>15</v>
      </c>
      <c r="E18" s="822">
        <v>44844</v>
      </c>
      <c r="F18" s="549">
        <f t="shared" si="0"/>
        <v>15</v>
      </c>
      <c r="G18" s="823" t="s">
        <v>460</v>
      </c>
      <c r="H18" s="332">
        <v>91</v>
      </c>
      <c r="I18" s="209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821">
        <f t="shared" si="2"/>
        <v>15</v>
      </c>
      <c r="E19" s="822">
        <v>44847</v>
      </c>
      <c r="F19" s="549">
        <f t="shared" si="0"/>
        <v>15</v>
      </c>
      <c r="G19" s="331" t="s">
        <v>483</v>
      </c>
      <c r="H19" s="332">
        <v>93</v>
      </c>
      <c r="I19" s="209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821">
        <f t="shared" si="2"/>
        <v>15</v>
      </c>
      <c r="E20" s="811">
        <v>44847</v>
      </c>
      <c r="F20" s="549">
        <f t="shared" si="0"/>
        <v>15</v>
      </c>
      <c r="G20" s="331" t="s">
        <v>484</v>
      </c>
      <c r="H20" s="332">
        <v>91</v>
      </c>
      <c r="I20" s="209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821">
        <f t="shared" ref="D21:D27" si="8">B21*C21</f>
        <v>120</v>
      </c>
      <c r="E21" s="811">
        <v>44852</v>
      </c>
      <c r="F21" s="549">
        <f t="shared" ref="F21:F27" si="9">D21</f>
        <v>120</v>
      </c>
      <c r="G21" s="331" t="s">
        <v>511</v>
      </c>
      <c r="H21" s="332">
        <v>93</v>
      </c>
      <c r="I21" s="209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821">
        <f t="shared" si="8"/>
        <v>15</v>
      </c>
      <c r="E22" s="590">
        <v>44852</v>
      </c>
      <c r="F22" s="549">
        <f t="shared" si="9"/>
        <v>15</v>
      </c>
      <c r="G22" s="331" t="s">
        <v>511</v>
      </c>
      <c r="H22" s="332">
        <v>93</v>
      </c>
      <c r="I22" s="209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821">
        <f t="shared" si="8"/>
        <v>15</v>
      </c>
      <c r="E23" s="590">
        <v>44853</v>
      </c>
      <c r="F23" s="549">
        <f t="shared" si="9"/>
        <v>15</v>
      </c>
      <c r="G23" s="331" t="s">
        <v>516</v>
      </c>
      <c r="H23" s="332">
        <v>93</v>
      </c>
      <c r="I23" s="209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821">
        <f t="shared" si="8"/>
        <v>30</v>
      </c>
      <c r="E24" s="590">
        <v>44855</v>
      </c>
      <c r="F24" s="549">
        <f t="shared" si="9"/>
        <v>30</v>
      </c>
      <c r="G24" s="331" t="s">
        <v>535</v>
      </c>
      <c r="H24" s="332">
        <v>93</v>
      </c>
      <c r="I24" s="209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821">
        <f t="shared" si="8"/>
        <v>15</v>
      </c>
      <c r="E25" s="590">
        <v>44858</v>
      </c>
      <c r="F25" s="549">
        <f t="shared" si="9"/>
        <v>15</v>
      </c>
      <c r="G25" s="331" t="s">
        <v>547</v>
      </c>
      <c r="H25" s="332">
        <v>93</v>
      </c>
      <c r="I25" s="209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821">
        <f t="shared" si="8"/>
        <v>75</v>
      </c>
      <c r="E26" s="590">
        <v>44858</v>
      </c>
      <c r="F26" s="549">
        <f t="shared" si="9"/>
        <v>75</v>
      </c>
      <c r="G26" s="331" t="s">
        <v>549</v>
      </c>
      <c r="H26" s="332">
        <v>93</v>
      </c>
      <c r="I26" s="209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821">
        <f t="shared" si="8"/>
        <v>150</v>
      </c>
      <c r="E27" s="590">
        <v>44861</v>
      </c>
      <c r="F27" s="549">
        <f t="shared" si="9"/>
        <v>150</v>
      </c>
      <c r="G27" s="331" t="s">
        <v>570</v>
      </c>
      <c r="H27" s="332">
        <v>93</v>
      </c>
      <c r="I27" s="209">
        <f t="shared" si="3"/>
        <v>135</v>
      </c>
      <c r="J27" s="127">
        <f t="shared" si="4"/>
        <v>9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1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1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1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1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1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1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1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1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15" t="s">
        <v>11</v>
      </c>
      <c r="D42" s="1116"/>
      <c r="E42" s="145">
        <f>E5+E4+E6+-F39</f>
        <v>1005</v>
      </c>
      <c r="F42" s="5"/>
      <c r="L42" s="47"/>
      <c r="N42" s="1115" t="s">
        <v>11</v>
      </c>
      <c r="O42" s="1116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3" t="s">
        <v>260</v>
      </c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88" t="s">
        <v>79</v>
      </c>
      <c r="C5" s="245">
        <v>55</v>
      </c>
      <c r="D5" s="134">
        <v>44840</v>
      </c>
      <c r="E5" s="75">
        <v>937.14</v>
      </c>
      <c r="F5" s="73">
        <v>1</v>
      </c>
      <c r="G5" s="48">
        <f>F73</f>
        <v>937.14</v>
      </c>
      <c r="H5" s="138">
        <f>E5-G5</f>
        <v>0</v>
      </c>
      <c r="I5" s="405"/>
    </row>
    <row r="6" spans="1:10" ht="15.75" thickBot="1" x14ac:dyDescent="0.3">
      <c r="A6" s="227" t="s">
        <v>286</v>
      </c>
      <c r="B6" s="1147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>
        <v>1</v>
      </c>
      <c r="D9" s="69">
        <v>937.14</v>
      </c>
      <c r="E9" s="254">
        <v>44841</v>
      </c>
      <c r="F9" s="92">
        <f t="shared" ref="F9:F15" si="0">D9</f>
        <v>937.14</v>
      </c>
      <c r="G9" s="70" t="s">
        <v>439</v>
      </c>
      <c r="H9" s="71">
        <v>56</v>
      </c>
      <c r="I9" s="402">
        <f>E4+E5+E6-F9+E7</f>
        <v>0</v>
      </c>
      <c r="J9" s="60">
        <f>H9*F9</f>
        <v>52479.839999999997</v>
      </c>
    </row>
    <row r="10" spans="1:10" x14ac:dyDescent="0.25">
      <c r="A10" s="75"/>
      <c r="B10" s="183">
        <f>B9-C10</f>
        <v>0</v>
      </c>
      <c r="C10" s="15"/>
      <c r="D10" s="69"/>
      <c r="E10" s="984"/>
      <c r="F10" s="985">
        <f t="shared" si="0"/>
        <v>0</v>
      </c>
      <c r="G10" s="981"/>
      <c r="H10" s="982"/>
      <c r="I10" s="986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987"/>
      <c r="F11" s="985">
        <f t="shared" si="0"/>
        <v>0</v>
      </c>
      <c r="G11" s="981"/>
      <c r="H11" s="982"/>
      <c r="I11" s="986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987"/>
      <c r="F12" s="985">
        <f t="shared" si="0"/>
        <v>0</v>
      </c>
      <c r="G12" s="981"/>
      <c r="H12" s="982"/>
      <c r="I12" s="986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987"/>
      <c r="F13" s="985">
        <f t="shared" si="0"/>
        <v>0</v>
      </c>
      <c r="G13" s="981"/>
      <c r="H13" s="982"/>
      <c r="I13" s="986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0</v>
      </c>
      <c r="J72" s="60">
        <f>SUM(J9:J37)</f>
        <v>52479.839999999997</v>
      </c>
    </row>
    <row r="73" spans="1:10" ht="15.75" thickTop="1" x14ac:dyDescent="0.25">
      <c r="A73" s="47">
        <f>SUM(A72:A72)</f>
        <v>0</v>
      </c>
      <c r="C73" s="73"/>
      <c r="D73" s="105">
        <f>SUM(D9:D72)</f>
        <v>937.14</v>
      </c>
      <c r="E73" s="134"/>
      <c r="F73" s="105">
        <f>SUM(F9:F72)</f>
        <v>937.14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1059" t="s">
        <v>21</v>
      </c>
      <c r="E75" s="1060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71" t="s">
        <v>96</v>
      </c>
      <c r="C5" s="400"/>
      <c r="D5" s="134"/>
      <c r="E5" s="209"/>
      <c r="F5" s="62"/>
      <c r="G5" s="5"/>
    </row>
    <row r="6" spans="1:9" x14ac:dyDescent="0.25">
      <c r="A6" s="413"/>
      <c r="B6" s="1071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2" t="s">
        <v>11</v>
      </c>
      <c r="D83" s="107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1078"/>
      <c r="B5" s="1148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78"/>
      <c r="B6" s="1148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72" t="s">
        <v>11</v>
      </c>
      <c r="D60" s="107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3"/>
      <c r="B1" s="1063"/>
      <c r="C1" s="1063"/>
      <c r="D1" s="1063"/>
      <c r="E1" s="1063"/>
      <c r="F1" s="1063"/>
      <c r="G1" s="1063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1088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1088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88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059" t="s">
        <v>21</v>
      </c>
      <c r="E41" s="1060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F1" zoomScaleNormal="100" workbookViewId="0">
      <pane ySplit="9" topLeftCell="A10" activePane="bottomLeft" state="frozen"/>
      <selection pane="bottomLeft" activeCell="K10" sqref="K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070" t="s">
        <v>273</v>
      </c>
      <c r="B1" s="1070"/>
      <c r="C1" s="1070"/>
      <c r="D1" s="1070"/>
      <c r="E1" s="1070"/>
      <c r="F1" s="1070"/>
      <c r="G1" s="1070"/>
      <c r="H1" s="11">
        <v>1</v>
      </c>
      <c r="K1" s="1074" t="s">
        <v>273</v>
      </c>
      <c r="L1" s="1074"/>
      <c r="M1" s="1074"/>
      <c r="N1" s="1074"/>
      <c r="O1" s="1074"/>
      <c r="P1" s="1074"/>
      <c r="Q1" s="1074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149" t="s">
        <v>52</v>
      </c>
      <c r="B4" s="495"/>
      <c r="C4" s="128"/>
      <c r="D4" s="135"/>
      <c r="E4" s="86">
        <v>58.59</v>
      </c>
      <c r="F4" s="73">
        <v>1</v>
      </c>
      <c r="G4" s="239"/>
      <c r="K4" s="1149" t="s">
        <v>52</v>
      </c>
      <c r="L4" s="495"/>
      <c r="M4" s="128"/>
      <c r="N4" s="135"/>
      <c r="O4" s="86">
        <v>142.04</v>
      </c>
      <c r="P4" s="73">
        <v>4</v>
      </c>
      <c r="Q4" s="916"/>
    </row>
    <row r="5" spans="1:19" ht="15" customHeight="1" x14ac:dyDescent="0.25">
      <c r="A5" s="1150"/>
      <c r="B5" s="1152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2059.59</v>
      </c>
      <c r="H5" s="138">
        <f>E5-G5+E4+E6+E7+E8</f>
        <v>-1.1368683772161603E-13</v>
      </c>
      <c r="K5" s="1150"/>
      <c r="L5" s="1152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1754.1899999999998</v>
      </c>
      <c r="R5" s="138">
        <f>O5-Q5+O4+O6+O7+O8</f>
        <v>1426.0000000000002</v>
      </c>
    </row>
    <row r="6" spans="1:19" ht="16.5" thickBot="1" x14ac:dyDescent="0.3">
      <c r="A6" s="1151"/>
      <c r="B6" s="1153"/>
      <c r="C6" s="564">
        <v>32</v>
      </c>
      <c r="D6" s="135">
        <v>44819</v>
      </c>
      <c r="E6" s="86">
        <v>1008.28</v>
      </c>
      <c r="F6" s="73">
        <v>35</v>
      </c>
      <c r="G6" s="73"/>
      <c r="K6" s="1151"/>
      <c r="L6" s="1153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6.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197</v>
      </c>
      <c r="H10" s="747">
        <v>42</v>
      </c>
      <c r="I10" s="132">
        <f>E6+E5+E4-F10+E7+E8</f>
        <v>1885.73</v>
      </c>
      <c r="K10" s="971" t="s">
        <v>479</v>
      </c>
      <c r="L10" s="236">
        <f>P4+P5+P6+P7+P8-M10</f>
        <v>99</v>
      </c>
      <c r="M10" s="972">
        <v>5</v>
      </c>
      <c r="N10" s="339">
        <v>142.13999999999999</v>
      </c>
      <c r="O10" s="748">
        <v>44844</v>
      </c>
      <c r="P10" s="339">
        <f t="shared" ref="P10:P57" si="1">N10</f>
        <v>142.13999999999999</v>
      </c>
      <c r="Q10" s="719" t="s">
        <v>461</v>
      </c>
      <c r="R10" s="747">
        <v>42</v>
      </c>
      <c r="S10" s="132">
        <f>O6+O5+O4-P10+O7+O8</f>
        <v>3038.05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202</v>
      </c>
      <c r="H11" s="747">
        <v>42</v>
      </c>
      <c r="I11" s="132">
        <f>I10-F11</f>
        <v>1824.27</v>
      </c>
      <c r="K11" s="75"/>
      <c r="L11" s="354">
        <f>L10-M11</f>
        <v>98</v>
      </c>
      <c r="M11" s="338">
        <v>1</v>
      </c>
      <c r="N11" s="339">
        <v>29.16</v>
      </c>
      <c r="O11" s="748">
        <v>44847</v>
      </c>
      <c r="P11" s="339">
        <f t="shared" si="1"/>
        <v>29.16</v>
      </c>
      <c r="Q11" s="719" t="s">
        <v>478</v>
      </c>
      <c r="R11" s="747">
        <v>42</v>
      </c>
      <c r="S11" s="132">
        <f>S10-P11</f>
        <v>3008.8900000000003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204</v>
      </c>
      <c r="H12" s="747">
        <v>42</v>
      </c>
      <c r="I12" s="132">
        <f t="shared" ref="I12:I13" si="3">I11-F12</f>
        <v>1606.83</v>
      </c>
      <c r="K12" s="75"/>
      <c r="L12" s="354">
        <f t="shared" ref="L12:L58" si="4">L11-M12</f>
        <v>88</v>
      </c>
      <c r="M12" s="338">
        <v>10</v>
      </c>
      <c r="N12" s="339">
        <v>273.66000000000003</v>
      </c>
      <c r="O12" s="748">
        <v>44847</v>
      </c>
      <c r="P12" s="339">
        <f t="shared" si="1"/>
        <v>273.66000000000003</v>
      </c>
      <c r="Q12" s="719" t="s">
        <v>485</v>
      </c>
      <c r="R12" s="747">
        <v>30</v>
      </c>
      <c r="S12" s="132">
        <f t="shared" ref="S12:S13" si="5">S11-P12</f>
        <v>2735.2300000000005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207</v>
      </c>
      <c r="H13" s="747">
        <v>42</v>
      </c>
      <c r="I13" s="132">
        <f t="shared" si="3"/>
        <v>1310.83</v>
      </c>
      <c r="K13" s="55"/>
      <c r="L13" s="354">
        <f t="shared" si="4"/>
        <v>83</v>
      </c>
      <c r="M13" s="338">
        <v>5</v>
      </c>
      <c r="N13" s="339">
        <v>155.86000000000001</v>
      </c>
      <c r="O13" s="748">
        <v>44849</v>
      </c>
      <c r="P13" s="339">
        <f t="shared" si="1"/>
        <v>155.86000000000001</v>
      </c>
      <c r="Q13" s="719" t="s">
        <v>499</v>
      </c>
      <c r="R13" s="747">
        <v>30</v>
      </c>
      <c r="S13" s="132">
        <f t="shared" si="5"/>
        <v>2579.3700000000003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209</v>
      </c>
      <c r="H14" s="747">
        <v>42</v>
      </c>
      <c r="I14" s="132">
        <f>I13-F14</f>
        <v>1215.8899999999999</v>
      </c>
      <c r="K14" s="75"/>
      <c r="L14" s="354">
        <f t="shared" si="4"/>
        <v>82</v>
      </c>
      <c r="M14" s="338">
        <v>1</v>
      </c>
      <c r="N14" s="339">
        <v>29.67</v>
      </c>
      <c r="O14" s="748">
        <v>44853</v>
      </c>
      <c r="P14" s="339">
        <f t="shared" si="1"/>
        <v>29.67</v>
      </c>
      <c r="Q14" s="719" t="s">
        <v>516</v>
      </c>
      <c r="R14" s="747">
        <v>30</v>
      </c>
      <c r="S14" s="132">
        <f>S13-P14</f>
        <v>2549.7000000000003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210</v>
      </c>
      <c r="H15" s="747">
        <v>42</v>
      </c>
      <c r="I15" s="132">
        <f t="shared" ref="I15:I58" si="6">I14-F15</f>
        <v>1184.07</v>
      </c>
      <c r="K15" s="75"/>
      <c r="L15" s="354">
        <f t="shared" si="4"/>
        <v>81</v>
      </c>
      <c r="M15" s="338">
        <v>1</v>
      </c>
      <c r="N15" s="339">
        <v>28.68</v>
      </c>
      <c r="O15" s="748">
        <v>44854</v>
      </c>
      <c r="P15" s="339">
        <f t="shared" si="1"/>
        <v>28.68</v>
      </c>
      <c r="Q15" s="719" t="s">
        <v>524</v>
      </c>
      <c r="R15" s="747">
        <v>30</v>
      </c>
      <c r="S15" s="132">
        <f t="shared" ref="S15:S58" si="7">S14-P15</f>
        <v>2521.0200000000004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229</v>
      </c>
      <c r="H16" s="747">
        <v>45</v>
      </c>
      <c r="I16" s="132">
        <f t="shared" si="6"/>
        <v>1128.73</v>
      </c>
      <c r="L16" s="354">
        <f t="shared" si="4"/>
        <v>78</v>
      </c>
      <c r="M16" s="338">
        <v>3</v>
      </c>
      <c r="N16" s="339">
        <v>90.38</v>
      </c>
      <c r="O16" s="748">
        <v>44854</v>
      </c>
      <c r="P16" s="339">
        <f t="shared" si="1"/>
        <v>90.38</v>
      </c>
      <c r="Q16" s="719" t="s">
        <v>528</v>
      </c>
      <c r="R16" s="747">
        <v>30</v>
      </c>
      <c r="S16" s="132">
        <f t="shared" si="7"/>
        <v>2430.6400000000003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235</v>
      </c>
      <c r="H17" s="747">
        <v>45</v>
      </c>
      <c r="I17" s="132">
        <f t="shared" si="6"/>
        <v>921.05</v>
      </c>
      <c r="L17" s="354">
        <f t="shared" si="4"/>
        <v>77</v>
      </c>
      <c r="M17" s="338">
        <v>1</v>
      </c>
      <c r="N17" s="339">
        <v>30.55</v>
      </c>
      <c r="O17" s="748">
        <v>44855</v>
      </c>
      <c r="P17" s="339">
        <f t="shared" si="1"/>
        <v>30.55</v>
      </c>
      <c r="Q17" s="719" t="s">
        <v>533</v>
      </c>
      <c r="R17" s="747">
        <v>30</v>
      </c>
      <c r="S17" s="132">
        <f t="shared" si="7"/>
        <v>2400.09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240</v>
      </c>
      <c r="H18" s="747">
        <v>45</v>
      </c>
      <c r="I18" s="132">
        <f t="shared" si="6"/>
        <v>719.83999999999992</v>
      </c>
      <c r="L18" s="354">
        <f t="shared" si="4"/>
        <v>76</v>
      </c>
      <c r="M18" s="338">
        <v>1</v>
      </c>
      <c r="N18" s="339">
        <v>30.65</v>
      </c>
      <c r="O18" s="748">
        <v>44856</v>
      </c>
      <c r="P18" s="339">
        <f t="shared" si="1"/>
        <v>30.65</v>
      </c>
      <c r="Q18" s="719" t="s">
        <v>539</v>
      </c>
      <c r="R18" s="747">
        <v>30</v>
      </c>
      <c r="S18" s="132">
        <f t="shared" si="7"/>
        <v>2369.44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249</v>
      </c>
      <c r="H19" s="747">
        <v>45</v>
      </c>
      <c r="I19" s="132">
        <f t="shared" si="6"/>
        <v>663.05</v>
      </c>
      <c r="L19" s="354">
        <f t="shared" si="4"/>
        <v>70</v>
      </c>
      <c r="M19" s="338">
        <v>6</v>
      </c>
      <c r="N19" s="339">
        <v>178.63</v>
      </c>
      <c r="O19" s="748">
        <v>44856</v>
      </c>
      <c r="P19" s="339">
        <f t="shared" si="1"/>
        <v>178.63</v>
      </c>
      <c r="Q19" s="719" t="s">
        <v>542</v>
      </c>
      <c r="R19" s="747">
        <v>30</v>
      </c>
      <c r="S19" s="132">
        <f t="shared" si="7"/>
        <v>2190.81</v>
      </c>
    </row>
    <row r="20" spans="2:19" x14ac:dyDescent="0.25">
      <c r="B20" s="1005">
        <f t="shared" si="2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250</v>
      </c>
      <c r="H20" s="747">
        <v>45</v>
      </c>
      <c r="I20" s="996">
        <f t="shared" si="6"/>
        <v>458.40999999999997</v>
      </c>
      <c r="L20" s="354">
        <f t="shared" si="4"/>
        <v>68</v>
      </c>
      <c r="M20" s="338">
        <v>2</v>
      </c>
      <c r="N20" s="339">
        <v>61</v>
      </c>
      <c r="O20" s="748">
        <v>44858</v>
      </c>
      <c r="P20" s="339">
        <f t="shared" si="1"/>
        <v>61</v>
      </c>
      <c r="Q20" s="719" t="s">
        <v>545</v>
      </c>
      <c r="R20" s="747">
        <v>30</v>
      </c>
      <c r="S20" s="132">
        <f t="shared" si="7"/>
        <v>2129.81</v>
      </c>
    </row>
    <row r="21" spans="2:19" x14ac:dyDescent="0.25">
      <c r="B21" s="354">
        <f t="shared" si="2"/>
        <v>8</v>
      </c>
      <c r="C21" s="338">
        <v>7</v>
      </c>
      <c r="D21" s="591">
        <v>201.1</v>
      </c>
      <c r="E21" s="592">
        <v>44839</v>
      </c>
      <c r="F21" s="591">
        <f t="shared" ref="F21:F57" si="8">D21</f>
        <v>201.1</v>
      </c>
      <c r="G21" s="593" t="s">
        <v>422</v>
      </c>
      <c r="H21" s="594">
        <v>42</v>
      </c>
      <c r="I21" s="132">
        <f t="shared" si="6"/>
        <v>257.30999999999995</v>
      </c>
      <c r="L21" s="354">
        <f t="shared" si="4"/>
        <v>61</v>
      </c>
      <c r="M21" s="338">
        <v>7</v>
      </c>
      <c r="N21" s="339">
        <v>214.24</v>
      </c>
      <c r="O21" s="356">
        <v>44858</v>
      </c>
      <c r="P21" s="339">
        <f t="shared" si="1"/>
        <v>214.24</v>
      </c>
      <c r="Q21" s="719" t="s">
        <v>549</v>
      </c>
      <c r="R21" s="747">
        <v>30</v>
      </c>
      <c r="S21" s="132">
        <f t="shared" si="7"/>
        <v>1915.57</v>
      </c>
    </row>
    <row r="22" spans="2:19" x14ac:dyDescent="0.25">
      <c r="B22" s="354">
        <f t="shared" si="2"/>
        <v>7</v>
      </c>
      <c r="C22" s="338">
        <v>1</v>
      </c>
      <c r="D22" s="591">
        <v>27.67</v>
      </c>
      <c r="E22" s="592">
        <v>44839</v>
      </c>
      <c r="F22" s="591">
        <f t="shared" si="8"/>
        <v>27.67</v>
      </c>
      <c r="G22" s="593" t="s">
        <v>427</v>
      </c>
      <c r="H22" s="594">
        <v>42</v>
      </c>
      <c r="I22" s="132">
        <f t="shared" si="6"/>
        <v>229.63999999999993</v>
      </c>
      <c r="L22" s="354">
        <f t="shared" si="4"/>
        <v>60</v>
      </c>
      <c r="M22" s="338">
        <v>1</v>
      </c>
      <c r="N22" s="339">
        <v>30.11</v>
      </c>
      <c r="O22" s="356">
        <v>44860</v>
      </c>
      <c r="P22" s="339">
        <f t="shared" si="1"/>
        <v>30.11</v>
      </c>
      <c r="Q22" s="719" t="s">
        <v>556</v>
      </c>
      <c r="R22" s="747">
        <v>30</v>
      </c>
      <c r="S22" s="132">
        <f t="shared" si="7"/>
        <v>1885.46</v>
      </c>
    </row>
    <row r="23" spans="2:19" x14ac:dyDescent="0.25">
      <c r="B23" s="354">
        <f t="shared" si="2"/>
        <v>5</v>
      </c>
      <c r="C23" s="338">
        <v>2</v>
      </c>
      <c r="D23" s="591">
        <v>58.26</v>
      </c>
      <c r="E23" s="592">
        <v>44842</v>
      </c>
      <c r="F23" s="591">
        <f t="shared" si="8"/>
        <v>58.26</v>
      </c>
      <c r="G23" s="593" t="s">
        <v>444</v>
      </c>
      <c r="H23" s="594">
        <v>42</v>
      </c>
      <c r="I23" s="132">
        <f t="shared" si="6"/>
        <v>171.37999999999994</v>
      </c>
      <c r="L23" s="354">
        <f t="shared" si="4"/>
        <v>53</v>
      </c>
      <c r="M23" s="338">
        <v>7</v>
      </c>
      <c r="N23" s="339">
        <v>210.71</v>
      </c>
      <c r="O23" s="356">
        <v>44860</v>
      </c>
      <c r="P23" s="339">
        <f t="shared" si="1"/>
        <v>210.71</v>
      </c>
      <c r="Q23" s="719" t="s">
        <v>558</v>
      </c>
      <c r="R23" s="747">
        <v>30</v>
      </c>
      <c r="S23" s="132">
        <f t="shared" si="7"/>
        <v>1674.75</v>
      </c>
    </row>
    <row r="24" spans="2:19" x14ac:dyDescent="0.25">
      <c r="B24" s="354">
        <f t="shared" si="2"/>
        <v>4</v>
      </c>
      <c r="C24" s="338">
        <v>1</v>
      </c>
      <c r="D24" s="591">
        <v>29.34</v>
      </c>
      <c r="E24" s="592">
        <v>44844</v>
      </c>
      <c r="F24" s="591">
        <f t="shared" si="8"/>
        <v>29.34</v>
      </c>
      <c r="G24" s="593" t="s">
        <v>459</v>
      </c>
      <c r="H24" s="594">
        <v>42</v>
      </c>
      <c r="I24" s="132">
        <f t="shared" si="6"/>
        <v>142.03999999999994</v>
      </c>
      <c r="L24" s="354">
        <f t="shared" si="4"/>
        <v>52</v>
      </c>
      <c r="M24" s="338">
        <v>1</v>
      </c>
      <c r="N24" s="339">
        <v>31.99</v>
      </c>
      <c r="O24" s="356">
        <v>44863</v>
      </c>
      <c r="P24" s="339">
        <f t="shared" si="1"/>
        <v>31.99</v>
      </c>
      <c r="Q24" s="719" t="s">
        <v>578</v>
      </c>
      <c r="R24" s="747">
        <v>30</v>
      </c>
      <c r="S24" s="132">
        <f t="shared" si="7"/>
        <v>1642.76</v>
      </c>
    </row>
    <row r="25" spans="2:19" x14ac:dyDescent="0.25">
      <c r="B25" s="354">
        <f t="shared" si="2"/>
        <v>4</v>
      </c>
      <c r="C25" s="338"/>
      <c r="D25" s="591"/>
      <c r="E25" s="592"/>
      <c r="F25" s="591">
        <f t="shared" si="8"/>
        <v>0</v>
      </c>
      <c r="G25" s="966"/>
      <c r="H25" s="967"/>
      <c r="I25" s="968">
        <f t="shared" si="6"/>
        <v>142.03999999999994</v>
      </c>
      <c r="L25" s="354">
        <f t="shared" si="4"/>
        <v>45</v>
      </c>
      <c r="M25" s="338">
        <v>7</v>
      </c>
      <c r="N25" s="339">
        <v>216.76</v>
      </c>
      <c r="O25" s="356">
        <v>44863</v>
      </c>
      <c r="P25" s="339">
        <f t="shared" si="1"/>
        <v>216.76</v>
      </c>
      <c r="Q25" s="719" t="s">
        <v>580</v>
      </c>
      <c r="R25" s="747">
        <v>30</v>
      </c>
      <c r="S25" s="132">
        <f t="shared" si="7"/>
        <v>1426</v>
      </c>
    </row>
    <row r="26" spans="2:19" x14ac:dyDescent="0.25">
      <c r="B26" s="354">
        <f t="shared" si="2"/>
        <v>4</v>
      </c>
      <c r="C26" s="338"/>
      <c r="D26" s="591"/>
      <c r="E26" s="592"/>
      <c r="F26" s="591">
        <f t="shared" si="8"/>
        <v>0</v>
      </c>
      <c r="G26" s="966"/>
      <c r="H26" s="967"/>
      <c r="I26" s="968">
        <f t="shared" si="6"/>
        <v>142.03999999999994</v>
      </c>
      <c r="L26" s="354">
        <f t="shared" si="4"/>
        <v>45</v>
      </c>
      <c r="M26" s="338"/>
      <c r="N26" s="339"/>
      <c r="O26" s="356"/>
      <c r="P26" s="339">
        <f t="shared" si="1"/>
        <v>0</v>
      </c>
      <c r="Q26" s="719"/>
      <c r="R26" s="747"/>
      <c r="S26" s="132">
        <f t="shared" si="7"/>
        <v>1426</v>
      </c>
    </row>
    <row r="27" spans="2:19" x14ac:dyDescent="0.25">
      <c r="B27" s="354">
        <f t="shared" si="2"/>
        <v>0</v>
      </c>
      <c r="C27" s="338">
        <v>4</v>
      </c>
      <c r="D27" s="591"/>
      <c r="E27" s="592"/>
      <c r="F27" s="591">
        <v>142.04</v>
      </c>
      <c r="G27" s="966"/>
      <c r="H27" s="967"/>
      <c r="I27" s="968">
        <f t="shared" si="6"/>
        <v>0</v>
      </c>
      <c r="L27" s="354">
        <f t="shared" si="4"/>
        <v>45</v>
      </c>
      <c r="M27" s="338"/>
      <c r="N27" s="339"/>
      <c r="O27" s="356"/>
      <c r="P27" s="339">
        <f t="shared" si="1"/>
        <v>0</v>
      </c>
      <c r="Q27" s="719"/>
      <c r="R27" s="747"/>
      <c r="S27" s="132">
        <f t="shared" si="7"/>
        <v>1426</v>
      </c>
    </row>
    <row r="28" spans="2:19" x14ac:dyDescent="0.25">
      <c r="B28" s="354">
        <f t="shared" si="2"/>
        <v>0</v>
      </c>
      <c r="C28" s="338"/>
      <c r="D28" s="591"/>
      <c r="E28" s="592"/>
      <c r="F28" s="591">
        <f t="shared" si="8"/>
        <v>0</v>
      </c>
      <c r="G28" s="966"/>
      <c r="H28" s="967"/>
      <c r="I28" s="968">
        <f t="shared" si="6"/>
        <v>0</v>
      </c>
      <c r="L28" s="354">
        <f t="shared" si="4"/>
        <v>45</v>
      </c>
      <c r="M28" s="338"/>
      <c r="N28" s="339"/>
      <c r="O28" s="356"/>
      <c r="P28" s="339">
        <f t="shared" si="1"/>
        <v>0</v>
      </c>
      <c r="Q28" s="719"/>
      <c r="R28" s="747"/>
      <c r="S28" s="132">
        <f t="shared" si="7"/>
        <v>1426</v>
      </c>
    </row>
    <row r="29" spans="2:19" x14ac:dyDescent="0.25">
      <c r="B29" s="354">
        <f t="shared" si="2"/>
        <v>0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0</v>
      </c>
      <c r="L29" s="354">
        <f t="shared" si="4"/>
        <v>45</v>
      </c>
      <c r="M29" s="338"/>
      <c r="N29" s="339"/>
      <c r="O29" s="356"/>
      <c r="P29" s="339">
        <f t="shared" si="1"/>
        <v>0</v>
      </c>
      <c r="Q29" s="719"/>
      <c r="R29" s="747"/>
      <c r="S29" s="132">
        <f t="shared" si="7"/>
        <v>1426</v>
      </c>
    </row>
    <row r="30" spans="2:19" x14ac:dyDescent="0.25">
      <c r="B30" s="354">
        <f t="shared" si="2"/>
        <v>0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0</v>
      </c>
      <c r="L30" s="354">
        <f t="shared" si="4"/>
        <v>45</v>
      </c>
      <c r="M30" s="338"/>
      <c r="N30" s="339"/>
      <c r="O30" s="356"/>
      <c r="P30" s="339">
        <f t="shared" si="1"/>
        <v>0</v>
      </c>
      <c r="Q30" s="719"/>
      <c r="R30" s="747"/>
      <c r="S30" s="132">
        <f t="shared" si="7"/>
        <v>1426</v>
      </c>
    </row>
    <row r="31" spans="2:19" x14ac:dyDescent="0.25">
      <c r="B31" s="354">
        <f t="shared" si="2"/>
        <v>0</v>
      </c>
      <c r="C31" s="338"/>
      <c r="D31" s="591"/>
      <c r="E31" s="714"/>
      <c r="F31" s="591">
        <f t="shared" si="8"/>
        <v>0</v>
      </c>
      <c r="G31" s="593"/>
      <c r="H31" s="594"/>
      <c r="I31" s="132">
        <f t="shared" si="6"/>
        <v>0</v>
      </c>
      <c r="L31" s="354">
        <f t="shared" si="4"/>
        <v>45</v>
      </c>
      <c r="M31" s="338"/>
      <c r="N31" s="339"/>
      <c r="O31" s="748"/>
      <c r="P31" s="339">
        <f t="shared" si="1"/>
        <v>0</v>
      </c>
      <c r="Q31" s="719"/>
      <c r="R31" s="747"/>
      <c r="S31" s="132">
        <f t="shared" si="7"/>
        <v>1426</v>
      </c>
    </row>
    <row r="32" spans="2:19" x14ac:dyDescent="0.25">
      <c r="B32" s="354">
        <f t="shared" si="2"/>
        <v>0</v>
      </c>
      <c r="C32" s="338"/>
      <c r="D32" s="591"/>
      <c r="E32" s="714"/>
      <c r="F32" s="591">
        <f t="shared" si="8"/>
        <v>0</v>
      </c>
      <c r="G32" s="593"/>
      <c r="H32" s="594"/>
      <c r="I32" s="132">
        <f t="shared" si="6"/>
        <v>0</v>
      </c>
      <c r="L32" s="354">
        <f t="shared" si="4"/>
        <v>45</v>
      </c>
      <c r="M32" s="338"/>
      <c r="N32" s="339"/>
      <c r="O32" s="748"/>
      <c r="P32" s="339">
        <f t="shared" si="1"/>
        <v>0</v>
      </c>
      <c r="Q32" s="719"/>
      <c r="R32" s="747"/>
      <c r="S32" s="132">
        <f t="shared" si="7"/>
        <v>1426</v>
      </c>
    </row>
    <row r="33" spans="1:19" x14ac:dyDescent="0.25">
      <c r="B33" s="354">
        <f t="shared" si="2"/>
        <v>0</v>
      </c>
      <c r="C33" s="338"/>
      <c r="D33" s="591"/>
      <c r="E33" s="714"/>
      <c r="F33" s="591">
        <f t="shared" si="8"/>
        <v>0</v>
      </c>
      <c r="G33" s="593"/>
      <c r="H33" s="594"/>
      <c r="I33" s="132">
        <f t="shared" si="6"/>
        <v>0</v>
      </c>
      <c r="L33" s="354">
        <f t="shared" si="4"/>
        <v>45</v>
      </c>
      <c r="M33" s="338"/>
      <c r="N33" s="339"/>
      <c r="O33" s="748"/>
      <c r="P33" s="339">
        <f t="shared" si="1"/>
        <v>0</v>
      </c>
      <c r="Q33" s="719"/>
      <c r="R33" s="747"/>
      <c r="S33" s="132">
        <f t="shared" si="7"/>
        <v>1426</v>
      </c>
    </row>
    <row r="34" spans="1:19" x14ac:dyDescent="0.25">
      <c r="B34" s="354">
        <f t="shared" si="2"/>
        <v>0</v>
      </c>
      <c r="C34" s="338"/>
      <c r="D34" s="591"/>
      <c r="E34" s="714"/>
      <c r="F34" s="591">
        <f t="shared" si="8"/>
        <v>0</v>
      </c>
      <c r="G34" s="593"/>
      <c r="H34" s="594"/>
      <c r="I34" s="132">
        <f t="shared" si="6"/>
        <v>0</v>
      </c>
      <c r="L34" s="354">
        <f t="shared" si="4"/>
        <v>45</v>
      </c>
      <c r="M34" s="338"/>
      <c r="N34" s="339"/>
      <c r="O34" s="748"/>
      <c r="P34" s="339">
        <f t="shared" si="1"/>
        <v>0</v>
      </c>
      <c r="Q34" s="719"/>
      <c r="R34" s="747"/>
      <c r="S34" s="132">
        <f t="shared" si="7"/>
        <v>1426</v>
      </c>
    </row>
    <row r="35" spans="1:19" x14ac:dyDescent="0.25">
      <c r="B35" s="354">
        <f t="shared" si="2"/>
        <v>0</v>
      </c>
      <c r="C35" s="338"/>
      <c r="D35" s="591"/>
      <c r="E35" s="714"/>
      <c r="F35" s="591">
        <f t="shared" si="8"/>
        <v>0</v>
      </c>
      <c r="G35" s="593"/>
      <c r="H35" s="594"/>
      <c r="I35" s="132">
        <f t="shared" si="6"/>
        <v>0</v>
      </c>
      <c r="L35" s="354">
        <f t="shared" si="4"/>
        <v>45</v>
      </c>
      <c r="M35" s="338"/>
      <c r="N35" s="339"/>
      <c r="O35" s="748"/>
      <c r="P35" s="339">
        <f t="shared" si="1"/>
        <v>0</v>
      </c>
      <c r="Q35" s="719"/>
      <c r="R35" s="747"/>
      <c r="S35" s="132">
        <f t="shared" si="7"/>
        <v>1426</v>
      </c>
    </row>
    <row r="36" spans="1:19" x14ac:dyDescent="0.25">
      <c r="B36" s="354">
        <f t="shared" si="2"/>
        <v>0</v>
      </c>
      <c r="C36" s="338"/>
      <c r="D36" s="591"/>
      <c r="E36" s="714"/>
      <c r="F36" s="591">
        <f t="shared" si="8"/>
        <v>0</v>
      </c>
      <c r="G36" s="593"/>
      <c r="H36" s="594"/>
      <c r="I36" s="132">
        <f t="shared" si="6"/>
        <v>0</v>
      </c>
      <c r="L36" s="354">
        <f t="shared" si="4"/>
        <v>45</v>
      </c>
      <c r="M36" s="338"/>
      <c r="N36" s="339"/>
      <c r="O36" s="748"/>
      <c r="P36" s="339">
        <f t="shared" si="1"/>
        <v>0</v>
      </c>
      <c r="Q36" s="719"/>
      <c r="R36" s="747"/>
      <c r="S36" s="132">
        <f t="shared" si="7"/>
        <v>1426</v>
      </c>
    </row>
    <row r="37" spans="1:19" x14ac:dyDescent="0.25">
      <c r="B37" s="354">
        <f t="shared" si="2"/>
        <v>0</v>
      </c>
      <c r="C37" s="338"/>
      <c r="D37" s="591"/>
      <c r="E37" s="714"/>
      <c r="F37" s="591">
        <f t="shared" si="8"/>
        <v>0</v>
      </c>
      <c r="G37" s="593"/>
      <c r="H37" s="594"/>
      <c r="I37" s="132">
        <f t="shared" si="6"/>
        <v>0</v>
      </c>
      <c r="L37" s="354">
        <f t="shared" si="4"/>
        <v>45</v>
      </c>
      <c r="M37" s="338"/>
      <c r="N37" s="339"/>
      <c r="O37" s="748"/>
      <c r="P37" s="339">
        <f t="shared" si="1"/>
        <v>0</v>
      </c>
      <c r="Q37" s="719"/>
      <c r="R37" s="747"/>
      <c r="S37" s="132">
        <f t="shared" si="7"/>
        <v>1426</v>
      </c>
    </row>
    <row r="38" spans="1:19" x14ac:dyDescent="0.25">
      <c r="B38" s="354">
        <f t="shared" si="2"/>
        <v>0</v>
      </c>
      <c r="C38" s="338"/>
      <c r="D38" s="591"/>
      <c r="E38" s="714"/>
      <c r="F38" s="591">
        <f t="shared" si="8"/>
        <v>0</v>
      </c>
      <c r="G38" s="593"/>
      <c r="H38" s="594"/>
      <c r="I38" s="132">
        <f t="shared" si="6"/>
        <v>0</v>
      </c>
      <c r="L38" s="354">
        <f t="shared" si="4"/>
        <v>45</v>
      </c>
      <c r="M38" s="338"/>
      <c r="N38" s="339"/>
      <c r="O38" s="748"/>
      <c r="P38" s="339">
        <f t="shared" si="1"/>
        <v>0</v>
      </c>
      <c r="Q38" s="719"/>
      <c r="R38" s="747"/>
      <c r="S38" s="132">
        <f t="shared" si="7"/>
        <v>1426</v>
      </c>
    </row>
    <row r="39" spans="1:19" x14ac:dyDescent="0.25">
      <c r="B39" s="354">
        <f t="shared" si="2"/>
        <v>0</v>
      </c>
      <c r="C39" s="338"/>
      <c r="D39" s="591"/>
      <c r="E39" s="714"/>
      <c r="F39" s="591">
        <f t="shared" si="8"/>
        <v>0</v>
      </c>
      <c r="G39" s="593"/>
      <c r="H39" s="594"/>
      <c r="I39" s="132">
        <f t="shared" si="6"/>
        <v>0</v>
      </c>
      <c r="L39" s="354">
        <f t="shared" si="4"/>
        <v>45</v>
      </c>
      <c r="M39" s="338"/>
      <c r="N39" s="339"/>
      <c r="O39" s="748"/>
      <c r="P39" s="339">
        <f t="shared" si="1"/>
        <v>0</v>
      </c>
      <c r="Q39" s="719"/>
      <c r="R39" s="747"/>
      <c r="S39" s="132">
        <f t="shared" si="7"/>
        <v>1426</v>
      </c>
    </row>
    <row r="40" spans="1:19" x14ac:dyDescent="0.25">
      <c r="A40" s="75"/>
      <c r="B40" s="354">
        <f t="shared" si="2"/>
        <v>0</v>
      </c>
      <c r="C40" s="338"/>
      <c r="D40" s="591"/>
      <c r="E40" s="714"/>
      <c r="F40" s="591">
        <f t="shared" si="8"/>
        <v>0</v>
      </c>
      <c r="G40" s="593"/>
      <c r="H40" s="594"/>
      <c r="I40" s="132">
        <f t="shared" si="6"/>
        <v>0</v>
      </c>
      <c r="K40" s="75"/>
      <c r="L40" s="354">
        <f t="shared" si="4"/>
        <v>45</v>
      </c>
      <c r="M40" s="338"/>
      <c r="N40" s="339"/>
      <c r="O40" s="748"/>
      <c r="P40" s="339">
        <f t="shared" si="1"/>
        <v>0</v>
      </c>
      <c r="Q40" s="719"/>
      <c r="R40" s="747"/>
      <c r="S40" s="132">
        <f t="shared" si="7"/>
        <v>1426</v>
      </c>
    </row>
    <row r="41" spans="1:19" x14ac:dyDescent="0.25">
      <c r="B41" s="354">
        <f t="shared" si="2"/>
        <v>0</v>
      </c>
      <c r="C41" s="338"/>
      <c r="D41" s="591"/>
      <c r="E41" s="714"/>
      <c r="F41" s="591">
        <f t="shared" si="8"/>
        <v>0</v>
      </c>
      <c r="G41" s="593"/>
      <c r="H41" s="594"/>
      <c r="I41" s="132">
        <f t="shared" si="6"/>
        <v>0</v>
      </c>
      <c r="L41" s="354">
        <f t="shared" si="4"/>
        <v>45</v>
      </c>
      <c r="M41" s="338"/>
      <c r="N41" s="339"/>
      <c r="O41" s="748"/>
      <c r="P41" s="339">
        <f t="shared" si="1"/>
        <v>0</v>
      </c>
      <c r="Q41" s="719"/>
      <c r="R41" s="747"/>
      <c r="S41" s="132">
        <f t="shared" si="7"/>
        <v>1426</v>
      </c>
    </row>
    <row r="42" spans="1:19" x14ac:dyDescent="0.25">
      <c r="B42" s="354">
        <f t="shared" si="2"/>
        <v>0</v>
      </c>
      <c r="C42" s="338"/>
      <c r="D42" s="591"/>
      <c r="E42" s="714"/>
      <c r="F42" s="591">
        <f t="shared" si="8"/>
        <v>0</v>
      </c>
      <c r="G42" s="593"/>
      <c r="H42" s="594"/>
      <c r="I42" s="132">
        <f t="shared" si="6"/>
        <v>0</v>
      </c>
      <c r="L42" s="354">
        <f t="shared" si="4"/>
        <v>45</v>
      </c>
      <c r="M42" s="338"/>
      <c r="N42" s="339"/>
      <c r="O42" s="748"/>
      <c r="P42" s="339">
        <f t="shared" si="1"/>
        <v>0</v>
      </c>
      <c r="Q42" s="719"/>
      <c r="R42" s="747"/>
      <c r="S42" s="132">
        <f t="shared" si="7"/>
        <v>1426</v>
      </c>
    </row>
    <row r="43" spans="1:19" x14ac:dyDescent="0.25">
      <c r="B43" s="354">
        <f t="shared" si="2"/>
        <v>0</v>
      </c>
      <c r="C43" s="338"/>
      <c r="D43" s="591"/>
      <c r="E43" s="714"/>
      <c r="F43" s="591">
        <f t="shared" si="8"/>
        <v>0</v>
      </c>
      <c r="G43" s="593"/>
      <c r="H43" s="594"/>
      <c r="I43" s="132">
        <f t="shared" si="6"/>
        <v>0</v>
      </c>
      <c r="L43" s="354">
        <f t="shared" si="4"/>
        <v>45</v>
      </c>
      <c r="M43" s="338"/>
      <c r="N43" s="339"/>
      <c r="O43" s="748"/>
      <c r="P43" s="339">
        <f t="shared" si="1"/>
        <v>0</v>
      </c>
      <c r="Q43" s="719"/>
      <c r="R43" s="747"/>
      <c r="S43" s="132">
        <f t="shared" si="7"/>
        <v>1426</v>
      </c>
    </row>
    <row r="44" spans="1:19" x14ac:dyDescent="0.25">
      <c r="B44" s="354">
        <f t="shared" si="2"/>
        <v>0</v>
      </c>
      <c r="C44" s="338"/>
      <c r="D44" s="591"/>
      <c r="E44" s="714"/>
      <c r="F44" s="591">
        <f t="shared" si="8"/>
        <v>0</v>
      </c>
      <c r="G44" s="593"/>
      <c r="H44" s="594"/>
      <c r="I44" s="132">
        <f t="shared" si="6"/>
        <v>0</v>
      </c>
      <c r="L44" s="354">
        <f t="shared" si="4"/>
        <v>45</v>
      </c>
      <c r="M44" s="338"/>
      <c r="N44" s="339"/>
      <c r="O44" s="748"/>
      <c r="P44" s="339">
        <f t="shared" si="1"/>
        <v>0</v>
      </c>
      <c r="Q44" s="719"/>
      <c r="R44" s="747"/>
      <c r="S44" s="132">
        <f t="shared" si="7"/>
        <v>1426</v>
      </c>
    </row>
    <row r="45" spans="1:19" x14ac:dyDescent="0.25">
      <c r="B45" s="354">
        <f t="shared" si="2"/>
        <v>0</v>
      </c>
      <c r="C45" s="338"/>
      <c r="D45" s="591"/>
      <c r="E45" s="714"/>
      <c r="F45" s="591">
        <f t="shared" si="8"/>
        <v>0</v>
      </c>
      <c r="G45" s="593"/>
      <c r="H45" s="594"/>
      <c r="I45" s="132">
        <f t="shared" si="6"/>
        <v>0</v>
      </c>
      <c r="L45" s="354">
        <f t="shared" si="4"/>
        <v>45</v>
      </c>
      <c r="M45" s="338"/>
      <c r="N45" s="339"/>
      <c r="O45" s="748"/>
      <c r="P45" s="339">
        <f t="shared" si="1"/>
        <v>0</v>
      </c>
      <c r="Q45" s="719"/>
      <c r="R45" s="747"/>
      <c r="S45" s="132">
        <f t="shared" si="7"/>
        <v>1426</v>
      </c>
    </row>
    <row r="46" spans="1:19" x14ac:dyDescent="0.25">
      <c r="B46" s="354">
        <f t="shared" si="2"/>
        <v>0</v>
      </c>
      <c r="C46" s="338"/>
      <c r="D46" s="591"/>
      <c r="E46" s="714"/>
      <c r="F46" s="591">
        <f t="shared" si="8"/>
        <v>0</v>
      </c>
      <c r="G46" s="593"/>
      <c r="H46" s="594"/>
      <c r="I46" s="132">
        <f t="shared" si="6"/>
        <v>0</v>
      </c>
      <c r="L46" s="354">
        <f t="shared" si="4"/>
        <v>45</v>
      </c>
      <c r="M46" s="338"/>
      <c r="N46" s="339"/>
      <c r="O46" s="748"/>
      <c r="P46" s="339">
        <f t="shared" si="1"/>
        <v>0</v>
      </c>
      <c r="Q46" s="719"/>
      <c r="R46" s="747"/>
      <c r="S46" s="132">
        <f t="shared" si="7"/>
        <v>1426</v>
      </c>
    </row>
    <row r="47" spans="1:19" x14ac:dyDescent="0.25">
      <c r="B47" s="354">
        <f t="shared" si="2"/>
        <v>0</v>
      </c>
      <c r="C47" s="338"/>
      <c r="D47" s="591"/>
      <c r="E47" s="714"/>
      <c r="F47" s="591">
        <f t="shared" si="8"/>
        <v>0</v>
      </c>
      <c r="G47" s="593"/>
      <c r="H47" s="594"/>
      <c r="I47" s="132">
        <f t="shared" si="6"/>
        <v>0</v>
      </c>
      <c r="L47" s="354">
        <f t="shared" si="4"/>
        <v>45</v>
      </c>
      <c r="M47" s="338"/>
      <c r="N47" s="339"/>
      <c r="O47" s="748"/>
      <c r="P47" s="339">
        <f t="shared" si="1"/>
        <v>0</v>
      </c>
      <c r="Q47" s="719"/>
      <c r="R47" s="747"/>
      <c r="S47" s="132">
        <f t="shared" si="7"/>
        <v>1426</v>
      </c>
    </row>
    <row r="48" spans="1:19" x14ac:dyDescent="0.25">
      <c r="B48" s="354">
        <f t="shared" si="2"/>
        <v>0</v>
      </c>
      <c r="C48" s="338"/>
      <c r="D48" s="591"/>
      <c r="E48" s="714"/>
      <c r="F48" s="591">
        <f t="shared" si="8"/>
        <v>0</v>
      </c>
      <c r="G48" s="593"/>
      <c r="H48" s="594"/>
      <c r="I48" s="132">
        <f t="shared" si="6"/>
        <v>0</v>
      </c>
      <c r="L48" s="354">
        <f t="shared" si="4"/>
        <v>45</v>
      </c>
      <c r="M48" s="338"/>
      <c r="N48" s="339"/>
      <c r="O48" s="748"/>
      <c r="P48" s="339">
        <f t="shared" si="1"/>
        <v>0</v>
      </c>
      <c r="Q48" s="719"/>
      <c r="R48" s="747"/>
      <c r="S48" s="132">
        <f t="shared" si="7"/>
        <v>1426</v>
      </c>
    </row>
    <row r="49" spans="1:19" x14ac:dyDescent="0.25">
      <c r="B49" s="354">
        <f t="shared" si="2"/>
        <v>0</v>
      </c>
      <c r="C49" s="338"/>
      <c r="D49" s="591"/>
      <c r="E49" s="714"/>
      <c r="F49" s="591">
        <f t="shared" si="8"/>
        <v>0</v>
      </c>
      <c r="G49" s="593"/>
      <c r="H49" s="594"/>
      <c r="I49" s="132">
        <f t="shared" si="6"/>
        <v>0</v>
      </c>
      <c r="L49" s="354">
        <f t="shared" si="4"/>
        <v>45</v>
      </c>
      <c r="M49" s="338"/>
      <c r="N49" s="339"/>
      <c r="O49" s="748"/>
      <c r="P49" s="339">
        <f t="shared" si="1"/>
        <v>0</v>
      </c>
      <c r="Q49" s="719"/>
      <c r="R49" s="747"/>
      <c r="S49" s="132">
        <f t="shared" si="7"/>
        <v>1426</v>
      </c>
    </row>
    <row r="50" spans="1:19" x14ac:dyDescent="0.25">
      <c r="B50" s="354">
        <f t="shared" si="2"/>
        <v>0</v>
      </c>
      <c r="C50" s="338"/>
      <c r="D50" s="339"/>
      <c r="E50" s="748"/>
      <c r="F50" s="339">
        <f t="shared" si="8"/>
        <v>0</v>
      </c>
      <c r="G50" s="719"/>
      <c r="H50" s="747"/>
      <c r="I50" s="132">
        <f t="shared" si="6"/>
        <v>0</v>
      </c>
      <c r="L50" s="354">
        <f t="shared" si="4"/>
        <v>45</v>
      </c>
      <c r="M50" s="338"/>
      <c r="N50" s="339"/>
      <c r="O50" s="748"/>
      <c r="P50" s="339">
        <f t="shared" si="1"/>
        <v>0</v>
      </c>
      <c r="Q50" s="719"/>
      <c r="R50" s="747"/>
      <c r="S50" s="132">
        <f t="shared" si="7"/>
        <v>1426</v>
      </c>
    </row>
    <row r="51" spans="1:19" x14ac:dyDescent="0.25">
      <c r="B51" s="354">
        <f t="shared" si="2"/>
        <v>0</v>
      </c>
      <c r="C51" s="338"/>
      <c r="D51" s="339"/>
      <c r="E51" s="748"/>
      <c r="F51" s="339">
        <f t="shared" si="8"/>
        <v>0</v>
      </c>
      <c r="G51" s="719"/>
      <c r="H51" s="747"/>
      <c r="I51" s="132">
        <f t="shared" si="6"/>
        <v>0</v>
      </c>
      <c r="L51" s="354">
        <f t="shared" si="4"/>
        <v>45</v>
      </c>
      <c r="M51" s="338"/>
      <c r="N51" s="339"/>
      <c r="O51" s="748"/>
      <c r="P51" s="339">
        <f t="shared" si="1"/>
        <v>0</v>
      </c>
      <c r="Q51" s="719"/>
      <c r="R51" s="747"/>
      <c r="S51" s="132">
        <f t="shared" si="7"/>
        <v>1426</v>
      </c>
    </row>
    <row r="52" spans="1:19" x14ac:dyDescent="0.25">
      <c r="B52" s="354">
        <f t="shared" si="2"/>
        <v>0</v>
      </c>
      <c r="C52" s="338"/>
      <c r="D52" s="339"/>
      <c r="E52" s="748"/>
      <c r="F52" s="339">
        <f t="shared" si="8"/>
        <v>0</v>
      </c>
      <c r="G52" s="719"/>
      <c r="H52" s="747"/>
      <c r="I52" s="132">
        <f t="shared" si="6"/>
        <v>0</v>
      </c>
      <c r="L52" s="354">
        <f t="shared" si="4"/>
        <v>45</v>
      </c>
      <c r="M52" s="338"/>
      <c r="N52" s="339"/>
      <c r="O52" s="748"/>
      <c r="P52" s="339">
        <f t="shared" si="1"/>
        <v>0</v>
      </c>
      <c r="Q52" s="719"/>
      <c r="R52" s="747"/>
      <c r="S52" s="132">
        <f t="shared" si="7"/>
        <v>1426</v>
      </c>
    </row>
    <row r="53" spans="1:19" x14ac:dyDescent="0.25">
      <c r="B53" s="354">
        <f t="shared" si="2"/>
        <v>0</v>
      </c>
      <c r="C53" s="338"/>
      <c r="D53" s="339"/>
      <c r="E53" s="748"/>
      <c r="F53" s="339">
        <f t="shared" si="8"/>
        <v>0</v>
      </c>
      <c r="G53" s="719"/>
      <c r="H53" s="747"/>
      <c r="I53" s="132">
        <f t="shared" si="6"/>
        <v>0</v>
      </c>
      <c r="L53" s="354">
        <f t="shared" si="4"/>
        <v>45</v>
      </c>
      <c r="M53" s="338"/>
      <c r="N53" s="339"/>
      <c r="O53" s="748"/>
      <c r="P53" s="339">
        <f t="shared" si="1"/>
        <v>0</v>
      </c>
      <c r="Q53" s="719"/>
      <c r="R53" s="747"/>
      <c r="S53" s="132">
        <f t="shared" si="7"/>
        <v>1426</v>
      </c>
    </row>
    <row r="54" spans="1:19" x14ac:dyDescent="0.25">
      <c r="B54" s="354">
        <f t="shared" si="2"/>
        <v>0</v>
      </c>
      <c r="C54" s="338"/>
      <c r="D54" s="339"/>
      <c r="E54" s="748"/>
      <c r="F54" s="339">
        <f t="shared" si="8"/>
        <v>0</v>
      </c>
      <c r="G54" s="719"/>
      <c r="H54" s="747"/>
      <c r="I54" s="132">
        <f t="shared" si="6"/>
        <v>0</v>
      </c>
      <c r="L54" s="354">
        <f t="shared" si="4"/>
        <v>45</v>
      </c>
      <c r="M54" s="338"/>
      <c r="N54" s="339"/>
      <c r="O54" s="748"/>
      <c r="P54" s="339">
        <f t="shared" si="1"/>
        <v>0</v>
      </c>
      <c r="Q54" s="719"/>
      <c r="R54" s="747"/>
      <c r="S54" s="132">
        <f t="shared" si="7"/>
        <v>1426</v>
      </c>
    </row>
    <row r="55" spans="1:19" x14ac:dyDescent="0.25">
      <c r="B55" s="354">
        <f t="shared" si="2"/>
        <v>0</v>
      </c>
      <c r="C55" s="338"/>
      <c r="D55" s="339"/>
      <c r="E55" s="748"/>
      <c r="F55" s="339">
        <f t="shared" si="8"/>
        <v>0</v>
      </c>
      <c r="G55" s="719"/>
      <c r="H55" s="747"/>
      <c r="I55" s="132">
        <f t="shared" si="6"/>
        <v>0</v>
      </c>
      <c r="L55" s="354">
        <f t="shared" si="4"/>
        <v>45</v>
      </c>
      <c r="M55" s="338"/>
      <c r="N55" s="339"/>
      <c r="O55" s="748"/>
      <c r="P55" s="339">
        <f t="shared" si="1"/>
        <v>0</v>
      </c>
      <c r="Q55" s="719"/>
      <c r="R55" s="747"/>
      <c r="S55" s="132">
        <f t="shared" si="7"/>
        <v>1426</v>
      </c>
    </row>
    <row r="56" spans="1:19" x14ac:dyDescent="0.25">
      <c r="B56" s="354">
        <f t="shared" si="2"/>
        <v>0</v>
      </c>
      <c r="C56" s="338"/>
      <c r="D56" s="339"/>
      <c r="E56" s="748"/>
      <c r="F56" s="339">
        <f t="shared" si="8"/>
        <v>0</v>
      </c>
      <c r="G56" s="719"/>
      <c r="H56" s="747"/>
      <c r="I56" s="132">
        <f t="shared" si="6"/>
        <v>0</v>
      </c>
      <c r="L56" s="354">
        <f t="shared" si="4"/>
        <v>45</v>
      </c>
      <c r="M56" s="338"/>
      <c r="N56" s="339"/>
      <c r="O56" s="748"/>
      <c r="P56" s="339">
        <f t="shared" si="1"/>
        <v>0</v>
      </c>
      <c r="Q56" s="719"/>
      <c r="R56" s="747"/>
      <c r="S56" s="132">
        <f t="shared" si="7"/>
        <v>1426</v>
      </c>
    </row>
    <row r="57" spans="1:19" x14ac:dyDescent="0.25">
      <c r="B57" s="354">
        <f t="shared" si="2"/>
        <v>0</v>
      </c>
      <c r="C57" s="338"/>
      <c r="D57" s="339"/>
      <c r="E57" s="748"/>
      <c r="F57" s="339">
        <f t="shared" si="8"/>
        <v>0</v>
      </c>
      <c r="G57" s="719"/>
      <c r="H57" s="747"/>
      <c r="I57" s="132">
        <f t="shared" si="6"/>
        <v>0</v>
      </c>
      <c r="L57" s="354">
        <f t="shared" si="4"/>
        <v>45</v>
      </c>
      <c r="M57" s="338"/>
      <c r="N57" s="339"/>
      <c r="O57" s="748"/>
      <c r="P57" s="339">
        <f t="shared" si="1"/>
        <v>0</v>
      </c>
      <c r="Q57" s="719"/>
      <c r="R57" s="747"/>
      <c r="S57" s="132">
        <f t="shared" si="7"/>
        <v>1426</v>
      </c>
    </row>
    <row r="58" spans="1:19" x14ac:dyDescent="0.25">
      <c r="B58" s="354">
        <f t="shared" si="2"/>
        <v>0</v>
      </c>
      <c r="C58" s="338"/>
      <c r="D58" s="339"/>
      <c r="E58" s="499"/>
      <c r="F58" s="339"/>
      <c r="G58" s="719"/>
      <c r="H58" s="747"/>
      <c r="I58" s="132">
        <f t="shared" si="6"/>
        <v>0</v>
      </c>
      <c r="L58" s="354">
        <f t="shared" si="4"/>
        <v>45</v>
      </c>
      <c r="M58" s="338"/>
      <c r="N58" s="339"/>
      <c r="O58" s="499"/>
      <c r="P58" s="339"/>
      <c r="Q58" s="719"/>
      <c r="R58" s="747"/>
      <c r="S58" s="132">
        <f t="shared" si="7"/>
        <v>1426</v>
      </c>
    </row>
    <row r="59" spans="1:19" x14ac:dyDescent="0.25">
      <c r="B59" s="354">
        <v>0</v>
      </c>
      <c r="C59" s="338"/>
      <c r="D59" s="339"/>
      <c r="E59" s="499"/>
      <c r="F59" s="339"/>
      <c r="G59" s="749"/>
      <c r="H59" s="499"/>
      <c r="I59" s="132"/>
      <c r="L59" s="354"/>
      <c r="M59" s="338"/>
      <c r="N59" s="339"/>
      <c r="O59" s="499"/>
      <c r="P59" s="339"/>
      <c r="Q59" s="749"/>
      <c r="R59" s="499"/>
      <c r="S59" s="132"/>
    </row>
    <row r="60" spans="1:19" x14ac:dyDescent="0.25">
      <c r="B60" s="354">
        <v>0</v>
      </c>
      <c r="C60" s="338"/>
      <c r="D60" s="339"/>
      <c r="E60" s="499"/>
      <c r="F60" s="339"/>
      <c r="G60" s="749"/>
      <c r="H60" s="499"/>
      <c r="I60" s="132"/>
      <c r="L60" s="354"/>
      <c r="M60" s="338"/>
      <c r="N60" s="339"/>
      <c r="O60" s="499"/>
      <c r="P60" s="339"/>
      <c r="Q60" s="749"/>
      <c r="R60" s="499"/>
      <c r="S60" s="132"/>
    </row>
    <row r="61" spans="1:19" ht="15.75" thickBot="1" x14ac:dyDescent="0.3">
      <c r="B61" s="74">
        <v>0</v>
      </c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69</v>
      </c>
      <c r="D62" s="105">
        <f>SUM(D10:D61)</f>
        <v>1917.5500000000002</v>
      </c>
      <c r="E62" s="75"/>
      <c r="F62" s="105">
        <f>SUM(F10:F61)</f>
        <v>2059.59</v>
      </c>
      <c r="G62" s="75"/>
      <c r="H62" s="75"/>
      <c r="K62" s="75"/>
      <c r="L62" s="75"/>
      <c r="M62" s="75">
        <f>SUM(M10:M61)</f>
        <v>59</v>
      </c>
      <c r="N62" s="105">
        <f>SUM(N10:N61)</f>
        <v>1754.1899999999998</v>
      </c>
      <c r="O62" s="75"/>
      <c r="P62" s="105">
        <f>SUM(P10:P61)</f>
        <v>1754.1899999999998</v>
      </c>
      <c r="Q62" s="75"/>
      <c r="R62" s="75"/>
    </row>
    <row r="63" spans="1:19" x14ac:dyDescent="0.25">
      <c r="A63" s="75"/>
      <c r="B63" s="75"/>
      <c r="C63" s="773"/>
      <c r="D63" s="772"/>
      <c r="E63" s="772"/>
      <c r="F63" s="774"/>
      <c r="G63" s="75"/>
      <c r="H63" s="75"/>
      <c r="K63" s="75"/>
      <c r="L63" s="75"/>
      <c r="M63" s="773"/>
      <c r="N63" s="772"/>
      <c r="O63" s="772"/>
      <c r="P63" s="774"/>
      <c r="Q63" s="75"/>
      <c r="R63" s="75"/>
    </row>
    <row r="64" spans="1:19" ht="15.75" thickBot="1" x14ac:dyDescent="0.3">
      <c r="A64" s="75"/>
      <c r="B64" s="75"/>
      <c r="C64" s="773"/>
      <c r="D64" s="772"/>
      <c r="E64" s="772"/>
      <c r="F64" s="772"/>
      <c r="G64" s="75"/>
      <c r="H64" s="75"/>
      <c r="K64" s="75"/>
      <c r="L64" s="75"/>
      <c r="M64" s="773"/>
      <c r="N64" s="772"/>
      <c r="O64" s="772"/>
      <c r="P64" s="772"/>
      <c r="Q64" s="75"/>
      <c r="R64" s="75"/>
    </row>
    <row r="65" spans="1:1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0</v>
      </c>
      <c r="G65" s="75"/>
      <c r="H65" s="75"/>
      <c r="K65" s="75"/>
      <c r="L65" s="75"/>
      <c r="M65" s="75"/>
      <c r="N65" s="775" t="s">
        <v>21</v>
      </c>
      <c r="O65" s="776"/>
      <c r="P65" s="777">
        <f>O4+O5+O6+O7+O8-P62</f>
        <v>1426.0000000000002</v>
      </c>
      <c r="Q65" s="75"/>
      <c r="R65" s="75"/>
    </row>
    <row r="66" spans="1:1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0</v>
      </c>
      <c r="G66" s="75"/>
      <c r="H66" s="75"/>
      <c r="K66" s="75"/>
      <c r="L66" s="75"/>
      <c r="M66" s="75"/>
      <c r="N66" s="778" t="s">
        <v>4</v>
      </c>
      <c r="O66" s="779"/>
      <c r="P66" s="780">
        <f>P4+P5+P6+P7+P8-M62</f>
        <v>45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N1" workbookViewId="0">
      <selection activeCell="AB10" sqref="AB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3.7109375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070" t="s">
        <v>156</v>
      </c>
      <c r="B1" s="1070"/>
      <c r="C1" s="1070"/>
      <c r="D1" s="1070"/>
      <c r="E1" s="1070"/>
      <c r="F1" s="1070"/>
      <c r="G1" s="1070"/>
      <c r="H1" s="11">
        <v>1</v>
      </c>
      <c r="K1" s="1070" t="s">
        <v>271</v>
      </c>
      <c r="L1" s="1070"/>
      <c r="M1" s="1070"/>
      <c r="N1" s="1070"/>
      <c r="O1" s="1070"/>
      <c r="P1" s="1070"/>
      <c r="Q1" s="1070"/>
      <c r="R1" s="11">
        <v>2</v>
      </c>
      <c r="U1" s="1074" t="s">
        <v>260</v>
      </c>
      <c r="V1" s="1074"/>
      <c r="W1" s="1074"/>
      <c r="X1" s="1074"/>
      <c r="Y1" s="1074"/>
      <c r="Z1" s="1074"/>
      <c r="AA1" s="107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154" t="s">
        <v>127</v>
      </c>
      <c r="C4" s="102"/>
      <c r="D4" s="135"/>
      <c r="E4" s="86"/>
      <c r="F4" s="73"/>
      <c r="G4" s="239"/>
      <c r="L4" s="1154" t="s">
        <v>127</v>
      </c>
      <c r="M4" s="102"/>
      <c r="N4" s="135"/>
      <c r="O4" s="86"/>
      <c r="P4" s="73"/>
      <c r="Q4" s="239"/>
      <c r="V4" s="1154" t="s">
        <v>127</v>
      </c>
      <c r="W4" s="102"/>
      <c r="X4" s="135"/>
      <c r="Y4" s="86"/>
      <c r="Z4" s="73"/>
      <c r="AA4" s="916"/>
    </row>
    <row r="5" spans="1:29" x14ac:dyDescent="0.25">
      <c r="A5" s="75" t="s">
        <v>52</v>
      </c>
      <c r="B5" s="1155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956.76</v>
      </c>
      <c r="H5" s="138">
        <f>E5-G5+E6</f>
        <v>-9.9999999999909051E-3</v>
      </c>
      <c r="K5" s="75" t="s">
        <v>52</v>
      </c>
      <c r="L5" s="1155"/>
      <c r="M5" s="128">
        <v>90</v>
      </c>
      <c r="N5" s="135">
        <v>44819</v>
      </c>
      <c r="O5" s="86">
        <v>1999.52</v>
      </c>
      <c r="P5" s="73">
        <v>70</v>
      </c>
      <c r="Q5" s="48">
        <f>P32</f>
        <v>1188.51</v>
      </c>
      <c r="R5" s="138">
        <f>O5-Q5+O6</f>
        <v>811.01</v>
      </c>
      <c r="U5" s="75" t="s">
        <v>52</v>
      </c>
      <c r="V5" s="1155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  <c r="V7" s="675" t="s">
        <v>7</v>
      </c>
      <c r="W7" s="676" t="s">
        <v>8</v>
      </c>
      <c r="X7" s="677" t="s">
        <v>17</v>
      </c>
      <c r="Y7" s="678" t="s">
        <v>2</v>
      </c>
      <c r="Z7" s="679" t="s">
        <v>18</v>
      </c>
      <c r="AA7" s="680" t="s">
        <v>15</v>
      </c>
      <c r="AB7" s="24"/>
    </row>
    <row r="8" spans="1:2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34</v>
      </c>
      <c r="M8" s="651">
        <v>36</v>
      </c>
      <c r="N8" s="657">
        <v>1018.38</v>
      </c>
      <c r="O8" s="742">
        <v>44862</v>
      </c>
      <c r="P8" s="529">
        <f>N8</f>
        <v>1018.38</v>
      </c>
      <c r="Q8" s="530" t="s">
        <v>574</v>
      </c>
      <c r="R8" s="224">
        <v>92</v>
      </c>
      <c r="S8" s="132">
        <f>O4+O5+O6-P8</f>
        <v>981.14</v>
      </c>
      <c r="U8" s="55"/>
      <c r="V8" s="425">
        <f>Z4+Z5+Z6-W8</f>
        <v>70</v>
      </c>
      <c r="W8" s="651"/>
      <c r="X8" s="657"/>
      <c r="Y8" s="742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206</v>
      </c>
      <c r="H9" s="741">
        <v>119</v>
      </c>
      <c r="I9" s="132">
        <f>I8-F9</f>
        <v>584.52</v>
      </c>
      <c r="K9" s="75"/>
      <c r="L9" s="425">
        <f>L8-M9</f>
        <v>28</v>
      </c>
      <c r="M9" s="652">
        <v>6</v>
      </c>
      <c r="N9" s="551">
        <v>170.13</v>
      </c>
      <c r="O9" s="742">
        <v>44863</v>
      </c>
      <c r="P9" s="529">
        <f>N9</f>
        <v>170.13</v>
      </c>
      <c r="Q9" s="556" t="s">
        <v>584</v>
      </c>
      <c r="R9" s="743">
        <v>92</v>
      </c>
      <c r="S9" s="132">
        <f>S8-P9</f>
        <v>811.01</v>
      </c>
      <c r="U9" s="75"/>
      <c r="V9" s="425">
        <f>V8-W9</f>
        <v>70</v>
      </c>
      <c r="W9" s="652"/>
      <c r="X9" s="551"/>
      <c r="Y9" s="742"/>
      <c r="Z9" s="529">
        <f>X9</f>
        <v>0</v>
      </c>
      <c r="AA9" s="556"/>
      <c r="AB9" s="743"/>
      <c r="AC9" s="132">
        <f>AC8-Z9</f>
        <v>2025.36</v>
      </c>
    </row>
    <row r="10" spans="1:29" x14ac:dyDescent="0.25">
      <c r="A10" s="75"/>
      <c r="B10" s="425">
        <f t="shared" ref="B10:B28" si="0">B9-C10</f>
        <v>20</v>
      </c>
      <c r="C10" s="652">
        <v>1</v>
      </c>
      <c r="D10" s="824">
        <v>27.18</v>
      </c>
      <c r="E10" s="825">
        <v>44847</v>
      </c>
      <c r="F10" s="826">
        <f t="shared" ref="F10:F28" si="1">D10</f>
        <v>27.18</v>
      </c>
      <c r="G10" s="827" t="s">
        <v>481</v>
      </c>
      <c r="H10" s="828">
        <v>119</v>
      </c>
      <c r="I10" s="132">
        <f t="shared" ref="I10:I28" si="2">I9-F10</f>
        <v>557.34</v>
      </c>
      <c r="K10" s="75"/>
      <c r="L10" s="425">
        <f t="shared" ref="L10:L28" si="3">L9-M10</f>
        <v>28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811.01</v>
      </c>
      <c r="U10" s="75"/>
      <c r="V10" s="425">
        <f t="shared" ref="V10:V28" si="6">V9-W10</f>
        <v>70</v>
      </c>
      <c r="W10" s="652"/>
      <c r="X10" s="551"/>
      <c r="Y10" s="742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18</v>
      </c>
      <c r="C11" s="652">
        <v>2</v>
      </c>
      <c r="D11" s="824">
        <v>58.64</v>
      </c>
      <c r="E11" s="825">
        <v>44847</v>
      </c>
      <c r="F11" s="826">
        <f t="shared" si="1"/>
        <v>58.64</v>
      </c>
      <c r="G11" s="827" t="s">
        <v>481</v>
      </c>
      <c r="H11" s="828">
        <v>119</v>
      </c>
      <c r="I11" s="132">
        <f t="shared" si="2"/>
        <v>498.70000000000005</v>
      </c>
      <c r="K11" s="55"/>
      <c r="L11" s="425">
        <f t="shared" si="3"/>
        <v>28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811.01</v>
      </c>
      <c r="U11" s="55"/>
      <c r="V11" s="425">
        <f t="shared" si="6"/>
        <v>70</v>
      </c>
      <c r="W11" s="652"/>
      <c r="X11" s="551"/>
      <c r="Y11" s="742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0</v>
      </c>
      <c r="C12" s="652">
        <v>18</v>
      </c>
      <c r="D12" s="824">
        <v>498.71</v>
      </c>
      <c r="E12" s="825">
        <v>44848</v>
      </c>
      <c r="F12" s="826">
        <f t="shared" si="1"/>
        <v>498.71</v>
      </c>
      <c r="G12" s="827" t="s">
        <v>494</v>
      </c>
      <c r="H12" s="828">
        <v>119</v>
      </c>
      <c r="I12" s="132">
        <f t="shared" si="2"/>
        <v>-9.9999999999340616E-3</v>
      </c>
      <c r="K12" s="75"/>
      <c r="L12" s="425">
        <f t="shared" si="3"/>
        <v>28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811.01</v>
      </c>
      <c r="U12" s="75"/>
      <c r="V12" s="425">
        <f t="shared" si="6"/>
        <v>70</v>
      </c>
      <c r="W12" s="652"/>
      <c r="X12" s="551"/>
      <c r="Y12" s="742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0</v>
      </c>
      <c r="C13" s="652"/>
      <c r="D13" s="824"/>
      <c r="E13" s="825"/>
      <c r="F13" s="975">
        <f t="shared" si="1"/>
        <v>0</v>
      </c>
      <c r="G13" s="976"/>
      <c r="H13" s="977"/>
      <c r="I13" s="968">
        <f t="shared" si="2"/>
        <v>-9.9999999999340616E-3</v>
      </c>
      <c r="K13" s="75"/>
      <c r="L13" s="425">
        <f t="shared" si="3"/>
        <v>28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811.01</v>
      </c>
      <c r="U13" s="75"/>
      <c r="V13" s="425">
        <f t="shared" si="6"/>
        <v>70</v>
      </c>
      <c r="W13" s="652"/>
      <c r="X13" s="551"/>
      <c r="Y13" s="742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0</v>
      </c>
      <c r="C14" s="652"/>
      <c r="D14" s="824"/>
      <c r="E14" s="825"/>
      <c r="F14" s="975">
        <f t="shared" si="1"/>
        <v>0</v>
      </c>
      <c r="G14" s="976"/>
      <c r="H14" s="977"/>
      <c r="I14" s="968">
        <f t="shared" si="2"/>
        <v>-9.9999999999340616E-3</v>
      </c>
      <c r="L14" s="425">
        <f t="shared" si="3"/>
        <v>28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811.01</v>
      </c>
      <c r="V14" s="425">
        <f t="shared" si="6"/>
        <v>70</v>
      </c>
      <c r="W14" s="652"/>
      <c r="X14" s="551"/>
      <c r="Y14" s="742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0</v>
      </c>
      <c r="C15" s="652"/>
      <c r="D15" s="824"/>
      <c r="E15" s="825"/>
      <c r="F15" s="975">
        <f t="shared" si="1"/>
        <v>0</v>
      </c>
      <c r="G15" s="976"/>
      <c r="H15" s="977"/>
      <c r="I15" s="968">
        <f t="shared" si="2"/>
        <v>-9.9999999999340616E-3</v>
      </c>
      <c r="L15" s="425">
        <f t="shared" si="3"/>
        <v>28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811.01</v>
      </c>
      <c r="V15" s="425">
        <f t="shared" si="6"/>
        <v>70</v>
      </c>
      <c r="W15" s="652"/>
      <c r="X15" s="551"/>
      <c r="Y15" s="742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0</v>
      </c>
      <c r="C16" s="652"/>
      <c r="D16" s="824"/>
      <c r="E16" s="825"/>
      <c r="F16" s="975">
        <f t="shared" si="1"/>
        <v>0</v>
      </c>
      <c r="G16" s="976"/>
      <c r="H16" s="977"/>
      <c r="I16" s="968">
        <f t="shared" si="2"/>
        <v>-9.9999999999340616E-3</v>
      </c>
      <c r="L16" s="425">
        <f t="shared" si="3"/>
        <v>28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811.01</v>
      </c>
      <c r="V16" s="425">
        <f t="shared" si="6"/>
        <v>70</v>
      </c>
      <c r="W16" s="652"/>
      <c r="X16" s="551"/>
      <c r="Y16" s="742"/>
      <c r="Z16" s="529">
        <f t="shared" si="7"/>
        <v>0</v>
      </c>
      <c r="AA16" s="556"/>
      <c r="AB16" s="743"/>
      <c r="AC16" s="132">
        <f t="shared" si="8"/>
        <v>2025.36</v>
      </c>
    </row>
    <row r="17" spans="1:29" x14ac:dyDescent="0.25">
      <c r="B17" s="425">
        <f t="shared" si="0"/>
        <v>0</v>
      </c>
      <c r="C17" s="652"/>
      <c r="D17" s="824"/>
      <c r="E17" s="825"/>
      <c r="F17" s="975">
        <f t="shared" si="1"/>
        <v>0</v>
      </c>
      <c r="G17" s="976"/>
      <c r="H17" s="977"/>
      <c r="I17" s="968">
        <f t="shared" si="2"/>
        <v>-9.9999999999340616E-3</v>
      </c>
      <c r="L17" s="425">
        <f t="shared" si="3"/>
        <v>28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811.01</v>
      </c>
      <c r="V17" s="425">
        <f t="shared" si="6"/>
        <v>70</v>
      </c>
      <c r="W17" s="652"/>
      <c r="X17" s="551"/>
      <c r="Y17" s="742"/>
      <c r="Z17" s="529">
        <f t="shared" si="7"/>
        <v>0</v>
      </c>
      <c r="AA17" s="556"/>
      <c r="AB17" s="743"/>
      <c r="AC17" s="132">
        <f t="shared" si="8"/>
        <v>2025.36</v>
      </c>
    </row>
    <row r="18" spans="1:29" x14ac:dyDescent="0.25">
      <c r="B18" s="425">
        <f t="shared" si="0"/>
        <v>0</v>
      </c>
      <c r="C18" s="652"/>
      <c r="D18" s="824"/>
      <c r="E18" s="825"/>
      <c r="F18" s="826">
        <f t="shared" si="1"/>
        <v>0</v>
      </c>
      <c r="G18" s="827"/>
      <c r="H18" s="829"/>
      <c r="I18" s="132">
        <f t="shared" si="2"/>
        <v>-9.9999999999340616E-3</v>
      </c>
      <c r="L18" s="425">
        <f t="shared" si="3"/>
        <v>28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811.01</v>
      </c>
      <c r="V18" s="425">
        <f t="shared" si="6"/>
        <v>70</v>
      </c>
      <c r="W18" s="652"/>
      <c r="X18" s="551"/>
      <c r="Y18" s="742"/>
      <c r="Z18" s="529">
        <f t="shared" si="7"/>
        <v>0</v>
      </c>
      <c r="AA18" s="556"/>
      <c r="AB18" s="743"/>
      <c r="AC18" s="132">
        <f t="shared" si="8"/>
        <v>2025.36</v>
      </c>
    </row>
    <row r="19" spans="1:29" x14ac:dyDescent="0.25">
      <c r="B19" s="425">
        <f t="shared" si="0"/>
        <v>0</v>
      </c>
      <c r="C19" s="652"/>
      <c r="D19" s="824"/>
      <c r="E19" s="825"/>
      <c r="F19" s="826">
        <f t="shared" si="1"/>
        <v>0</v>
      </c>
      <c r="G19" s="827"/>
      <c r="H19" s="829"/>
      <c r="I19" s="132">
        <f t="shared" si="2"/>
        <v>-9.9999999999340616E-3</v>
      </c>
      <c r="L19" s="425">
        <f t="shared" si="3"/>
        <v>28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811.01</v>
      </c>
      <c r="V19" s="425">
        <f t="shared" si="6"/>
        <v>70</v>
      </c>
      <c r="W19" s="652"/>
      <c r="X19" s="551"/>
      <c r="Y19" s="742"/>
      <c r="Z19" s="529">
        <f t="shared" si="7"/>
        <v>0</v>
      </c>
      <c r="AA19" s="556"/>
      <c r="AB19" s="743"/>
      <c r="AC19" s="132">
        <f t="shared" si="8"/>
        <v>2025.36</v>
      </c>
    </row>
    <row r="20" spans="1:29" x14ac:dyDescent="0.25">
      <c r="B20" s="425">
        <f t="shared" si="0"/>
        <v>0</v>
      </c>
      <c r="C20" s="652"/>
      <c r="D20" s="824"/>
      <c r="E20" s="825"/>
      <c r="F20" s="826">
        <f t="shared" si="1"/>
        <v>0</v>
      </c>
      <c r="G20" s="827"/>
      <c r="H20" s="829"/>
      <c r="I20" s="132">
        <f t="shared" si="2"/>
        <v>-9.9999999999340616E-3</v>
      </c>
      <c r="L20" s="425">
        <f t="shared" si="3"/>
        <v>28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811.01</v>
      </c>
      <c r="V20" s="425">
        <f t="shared" si="6"/>
        <v>70</v>
      </c>
      <c r="W20" s="652"/>
      <c r="X20" s="551"/>
      <c r="Y20" s="742"/>
      <c r="Z20" s="529">
        <f t="shared" si="7"/>
        <v>0</v>
      </c>
      <c r="AA20" s="556"/>
      <c r="AB20" s="743"/>
      <c r="AC20" s="132">
        <f t="shared" si="8"/>
        <v>2025.36</v>
      </c>
    </row>
    <row r="21" spans="1:29" x14ac:dyDescent="0.25">
      <c r="B21" s="425">
        <f t="shared" si="0"/>
        <v>0</v>
      </c>
      <c r="C21" s="652"/>
      <c r="D21" s="824"/>
      <c r="E21" s="825"/>
      <c r="F21" s="826">
        <f t="shared" si="1"/>
        <v>0</v>
      </c>
      <c r="G21" s="827"/>
      <c r="H21" s="830"/>
      <c r="I21" s="132">
        <f t="shared" si="2"/>
        <v>-9.9999999999340616E-3</v>
      </c>
      <c r="L21" s="425">
        <f t="shared" si="3"/>
        <v>28</v>
      </c>
      <c r="M21" s="652"/>
      <c r="N21" s="551"/>
      <c r="O21" s="742"/>
      <c r="P21" s="529">
        <f t="shared" si="4"/>
        <v>0</v>
      </c>
      <c r="Q21" s="556"/>
      <c r="R21" s="831"/>
      <c r="S21" s="132">
        <f t="shared" si="5"/>
        <v>811.01</v>
      </c>
      <c r="V21" s="425">
        <f t="shared" si="6"/>
        <v>70</v>
      </c>
      <c r="W21" s="652"/>
      <c r="X21" s="551"/>
      <c r="Y21" s="742"/>
      <c r="Z21" s="529">
        <f t="shared" si="7"/>
        <v>0</v>
      </c>
      <c r="AA21" s="556"/>
      <c r="AB21" s="831"/>
      <c r="AC21" s="132">
        <f t="shared" si="8"/>
        <v>2025.36</v>
      </c>
    </row>
    <row r="22" spans="1:29" x14ac:dyDescent="0.25">
      <c r="B22" s="425">
        <f t="shared" si="0"/>
        <v>0</v>
      </c>
      <c r="C22" s="652"/>
      <c r="D22" s="824"/>
      <c r="E22" s="825"/>
      <c r="F22" s="826">
        <f t="shared" si="1"/>
        <v>0</v>
      </c>
      <c r="G22" s="827"/>
      <c r="H22" s="830"/>
      <c r="I22" s="132">
        <f t="shared" si="2"/>
        <v>-9.9999999999340616E-3</v>
      </c>
      <c r="L22" s="425">
        <f t="shared" si="3"/>
        <v>28</v>
      </c>
      <c r="M22" s="652"/>
      <c r="N22" s="551"/>
      <c r="O22" s="742"/>
      <c r="P22" s="529">
        <f t="shared" si="4"/>
        <v>0</v>
      </c>
      <c r="Q22" s="556"/>
      <c r="R22" s="831"/>
      <c r="S22" s="132">
        <f t="shared" si="5"/>
        <v>811.01</v>
      </c>
      <c r="V22" s="425">
        <f t="shared" si="6"/>
        <v>70</v>
      </c>
      <c r="W22" s="652"/>
      <c r="X22" s="551"/>
      <c r="Y22" s="742"/>
      <c r="Z22" s="529">
        <f t="shared" si="7"/>
        <v>0</v>
      </c>
      <c r="AA22" s="556"/>
      <c r="AB22" s="831"/>
      <c r="AC22" s="132">
        <f t="shared" si="8"/>
        <v>2025.36</v>
      </c>
    </row>
    <row r="23" spans="1:29" x14ac:dyDescent="0.25">
      <c r="B23" s="425">
        <f t="shared" si="0"/>
        <v>0</v>
      </c>
      <c r="C23" s="652"/>
      <c r="D23" s="824"/>
      <c r="E23" s="825"/>
      <c r="F23" s="826">
        <f t="shared" si="1"/>
        <v>0</v>
      </c>
      <c r="G23" s="827"/>
      <c r="H23" s="830"/>
      <c r="I23" s="132">
        <f t="shared" si="2"/>
        <v>-9.9999999999340616E-3</v>
      </c>
      <c r="L23" s="425">
        <f t="shared" si="3"/>
        <v>28</v>
      </c>
      <c r="M23" s="652"/>
      <c r="N23" s="551"/>
      <c r="O23" s="742"/>
      <c r="P23" s="529">
        <f t="shared" si="4"/>
        <v>0</v>
      </c>
      <c r="Q23" s="556"/>
      <c r="R23" s="831"/>
      <c r="S23" s="132">
        <f t="shared" si="5"/>
        <v>811.01</v>
      </c>
      <c r="V23" s="425">
        <f t="shared" si="6"/>
        <v>70</v>
      </c>
      <c r="W23" s="652"/>
      <c r="X23" s="551"/>
      <c r="Y23" s="742"/>
      <c r="Z23" s="529">
        <f t="shared" si="7"/>
        <v>0</v>
      </c>
      <c r="AA23" s="556"/>
      <c r="AB23" s="831"/>
      <c r="AC23" s="132">
        <f t="shared" si="8"/>
        <v>2025.36</v>
      </c>
    </row>
    <row r="24" spans="1:29" x14ac:dyDescent="0.25">
      <c r="B24" s="425">
        <f t="shared" si="0"/>
        <v>0</v>
      </c>
      <c r="C24" s="652"/>
      <c r="D24" s="824"/>
      <c r="E24" s="825"/>
      <c r="F24" s="826">
        <f t="shared" si="1"/>
        <v>0</v>
      </c>
      <c r="G24" s="827"/>
      <c r="H24" s="830"/>
      <c r="I24" s="132">
        <f t="shared" si="2"/>
        <v>-9.9999999999340616E-3</v>
      </c>
      <c r="L24" s="425">
        <f t="shared" si="3"/>
        <v>28</v>
      </c>
      <c r="M24" s="652"/>
      <c r="N24" s="551"/>
      <c r="O24" s="742"/>
      <c r="P24" s="529">
        <f t="shared" si="4"/>
        <v>0</v>
      </c>
      <c r="Q24" s="556"/>
      <c r="R24" s="831"/>
      <c r="S24" s="132">
        <f t="shared" si="5"/>
        <v>811.01</v>
      </c>
      <c r="V24" s="425">
        <f t="shared" si="6"/>
        <v>70</v>
      </c>
      <c r="W24" s="652"/>
      <c r="X24" s="551"/>
      <c r="Y24" s="742"/>
      <c r="Z24" s="529">
        <f t="shared" si="7"/>
        <v>0</v>
      </c>
      <c r="AA24" s="556"/>
      <c r="AB24" s="831"/>
      <c r="AC24" s="132">
        <f t="shared" si="8"/>
        <v>2025.36</v>
      </c>
    </row>
    <row r="25" spans="1:29" x14ac:dyDescent="0.25">
      <c r="B25" s="425">
        <f t="shared" si="0"/>
        <v>0</v>
      </c>
      <c r="C25" s="652"/>
      <c r="D25" s="824"/>
      <c r="E25" s="825"/>
      <c r="F25" s="826">
        <f t="shared" si="1"/>
        <v>0</v>
      </c>
      <c r="G25" s="827"/>
      <c r="H25" s="830"/>
      <c r="I25" s="132">
        <f t="shared" si="2"/>
        <v>-9.9999999999340616E-3</v>
      </c>
      <c r="L25" s="425">
        <f t="shared" si="3"/>
        <v>28</v>
      </c>
      <c r="M25" s="652"/>
      <c r="N25" s="551"/>
      <c r="O25" s="742"/>
      <c r="P25" s="529">
        <f t="shared" si="4"/>
        <v>0</v>
      </c>
      <c r="Q25" s="556"/>
      <c r="S25" s="132">
        <f t="shared" si="5"/>
        <v>811.01</v>
      </c>
      <c r="V25" s="425">
        <f t="shared" si="6"/>
        <v>70</v>
      </c>
      <c r="W25" s="652"/>
      <c r="X25" s="551"/>
      <c r="Y25" s="742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0</v>
      </c>
      <c r="C26" s="652"/>
      <c r="D26" s="551"/>
      <c r="E26" s="742"/>
      <c r="F26" s="529">
        <f t="shared" si="1"/>
        <v>0</v>
      </c>
      <c r="G26" s="557"/>
      <c r="I26" s="132">
        <f t="shared" si="2"/>
        <v>-9.9999999999340616E-3</v>
      </c>
      <c r="L26" s="425">
        <f t="shared" si="3"/>
        <v>28</v>
      </c>
      <c r="M26" s="652"/>
      <c r="N26" s="551"/>
      <c r="O26" s="742"/>
      <c r="P26" s="529">
        <f t="shared" si="4"/>
        <v>0</v>
      </c>
      <c r="Q26" s="557"/>
      <c r="S26" s="132">
        <f t="shared" si="5"/>
        <v>811.01</v>
      </c>
      <c r="V26" s="425">
        <f t="shared" si="6"/>
        <v>70</v>
      </c>
      <c r="W26" s="652"/>
      <c r="X26" s="551"/>
      <c r="Y26" s="742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0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-9.9999999999340616E-3</v>
      </c>
      <c r="L27" s="425">
        <f t="shared" si="3"/>
        <v>28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811.01</v>
      </c>
      <c r="V27" s="425">
        <f t="shared" si="6"/>
        <v>70</v>
      </c>
      <c r="W27" s="652"/>
      <c r="X27" s="744"/>
      <c r="Y27" s="742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0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-9.9999999999340616E-3</v>
      </c>
      <c r="L28" s="425">
        <f t="shared" si="3"/>
        <v>28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811.01</v>
      </c>
      <c r="V28" s="425">
        <f t="shared" si="6"/>
        <v>70</v>
      </c>
      <c r="W28" s="652"/>
      <c r="X28" s="744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  <c r="V29" s="426"/>
      <c r="W29" s="652"/>
      <c r="X29" s="745"/>
      <c r="Y29" s="118"/>
      <c r="Z29" s="14"/>
      <c r="AA29" s="31"/>
      <c r="AB29" s="17"/>
    </row>
    <row r="30" spans="1:2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  <c r="V30" s="426"/>
      <c r="W30" s="652"/>
      <c r="X30" s="552"/>
      <c r="Y30" s="118"/>
      <c r="Z30" s="6"/>
    </row>
    <row r="31" spans="1:2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  <c r="V31" s="505"/>
      <c r="W31" s="653"/>
      <c r="X31" s="649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34</v>
      </c>
      <c r="E32" s="75"/>
      <c r="F32" s="105">
        <f>SUM(F8:F31)</f>
        <v>956.76</v>
      </c>
      <c r="G32" s="75"/>
      <c r="H32" s="75"/>
      <c r="K32" s="75"/>
      <c r="L32" s="75"/>
      <c r="M32" s="127" t="e">
        <f>SUM(#REF!)</f>
        <v>#REF!</v>
      </c>
      <c r="N32" s="105">
        <f>SUM(M8:M31)</f>
        <v>42</v>
      </c>
      <c r="O32" s="75"/>
      <c r="P32" s="105">
        <f>SUM(P8:P31)</f>
        <v>1188.51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922.75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1957.52</v>
      </c>
      <c r="Q33" s="75"/>
      <c r="R33" s="75"/>
      <c r="U33" s="75"/>
      <c r="V33" s="75"/>
      <c r="W33" s="75"/>
      <c r="X33" s="912" t="s">
        <v>21</v>
      </c>
      <c r="Y33" s="913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14" t="s">
        <v>4</v>
      </c>
      <c r="Y34" s="915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1" sqref="C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0" t="s">
        <v>267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4" t="s">
        <v>163</v>
      </c>
      <c r="C4" s="102"/>
      <c r="D4" s="135"/>
      <c r="E4" s="86"/>
      <c r="F4" s="73"/>
      <c r="G4" s="239"/>
    </row>
    <row r="5" spans="1:9" x14ac:dyDescent="0.25">
      <c r="A5" s="1084" t="s">
        <v>99</v>
      </c>
      <c r="B5" s="1155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08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239</v>
      </c>
      <c r="H8" s="71">
        <v>57</v>
      </c>
      <c r="I8" s="996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816">
        <v>13.61</v>
      </c>
      <c r="E9" s="619">
        <v>44840</v>
      </c>
      <c r="F9" s="816">
        <f t="shared" si="0"/>
        <v>13.61</v>
      </c>
      <c r="G9" s="832" t="s">
        <v>428</v>
      </c>
      <c r="H9" s="332">
        <v>57</v>
      </c>
      <c r="I9" s="132">
        <f>I8-D9</f>
        <v>1946.2300000000002</v>
      </c>
    </row>
    <row r="10" spans="1:9" x14ac:dyDescent="0.25">
      <c r="A10" s="75"/>
      <c r="B10" s="106">
        <f t="shared" ref="B10:B26" si="1">B9-C10</f>
        <v>141</v>
      </c>
      <c r="C10" s="15">
        <v>2</v>
      </c>
      <c r="D10" s="816">
        <v>27.22</v>
      </c>
      <c r="E10" s="619">
        <v>44846</v>
      </c>
      <c r="F10" s="816">
        <f t="shared" si="0"/>
        <v>27.22</v>
      </c>
      <c r="G10" s="833" t="s">
        <v>473</v>
      </c>
      <c r="H10" s="834">
        <v>57</v>
      </c>
      <c r="I10" s="132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816"/>
      <c r="E11" s="619"/>
      <c r="F11" s="816">
        <f t="shared" si="0"/>
        <v>0</v>
      </c>
      <c r="G11" s="833"/>
      <c r="H11" s="332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816"/>
      <c r="E12" s="619"/>
      <c r="F12" s="816">
        <f t="shared" si="0"/>
        <v>0</v>
      </c>
      <c r="G12" s="833"/>
      <c r="H12" s="332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816"/>
      <c r="E13" s="619"/>
      <c r="F13" s="816">
        <f t="shared" si="0"/>
        <v>0</v>
      </c>
      <c r="G13" s="833"/>
      <c r="H13" s="332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816"/>
      <c r="E14" s="619"/>
      <c r="F14" s="816">
        <f t="shared" si="0"/>
        <v>0</v>
      </c>
      <c r="G14" s="833"/>
      <c r="H14" s="332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816"/>
      <c r="E15" s="619"/>
      <c r="F15" s="816">
        <f t="shared" si="0"/>
        <v>0</v>
      </c>
      <c r="G15" s="833"/>
      <c r="H15" s="332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816"/>
      <c r="E16" s="619"/>
      <c r="F16" s="816">
        <f t="shared" si="0"/>
        <v>0</v>
      </c>
      <c r="G16" s="833"/>
      <c r="H16" s="332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9"/>
      <c r="E17" s="619"/>
      <c r="F17" s="816">
        <f t="shared" si="0"/>
        <v>0</v>
      </c>
      <c r="G17" s="833"/>
      <c r="H17" s="332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816"/>
      <c r="E18" s="619"/>
      <c r="F18" s="816">
        <f t="shared" si="0"/>
        <v>0</v>
      </c>
      <c r="G18" s="833"/>
      <c r="H18" s="332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816"/>
      <c r="E19" s="619"/>
      <c r="F19" s="816">
        <f t="shared" si="0"/>
        <v>0</v>
      </c>
      <c r="G19" s="833"/>
      <c r="H19" s="332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816"/>
      <c r="E20" s="619"/>
      <c r="F20" s="816">
        <f t="shared" si="0"/>
        <v>0</v>
      </c>
      <c r="G20" s="833"/>
      <c r="H20" s="332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816"/>
      <c r="E21" s="619"/>
      <c r="F21" s="816">
        <f t="shared" si="0"/>
        <v>0</v>
      </c>
      <c r="G21" s="833"/>
      <c r="H21" s="332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816"/>
      <c r="E22" s="619"/>
      <c r="F22" s="816">
        <f t="shared" si="0"/>
        <v>0</v>
      </c>
      <c r="G22" s="833"/>
      <c r="H22" s="332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816"/>
      <c r="E23" s="619"/>
      <c r="F23" s="816">
        <f t="shared" si="0"/>
        <v>0</v>
      </c>
      <c r="G23" s="833"/>
      <c r="H23" s="332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816"/>
      <c r="E24" s="619"/>
      <c r="F24" s="816">
        <f t="shared" si="0"/>
        <v>0</v>
      </c>
      <c r="G24" s="832"/>
      <c r="H24" s="332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816"/>
      <c r="E25" s="619"/>
      <c r="F25" s="816">
        <f t="shared" si="0"/>
        <v>0</v>
      </c>
      <c r="G25" s="832"/>
      <c r="H25" s="332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9">
        <f t="shared" si="0"/>
        <v>0</v>
      </c>
      <c r="G27" s="530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969"/>
      <c r="F30" s="6"/>
    </row>
    <row r="31" spans="1:9" ht="15.75" thickBot="1" x14ac:dyDescent="0.3">
      <c r="B31" s="74"/>
      <c r="C31" s="87"/>
      <c r="D31" s="76"/>
      <c r="E31" s="970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6" t="s">
        <v>85</v>
      </c>
      <c r="C4" s="102"/>
      <c r="D4" s="135"/>
      <c r="E4" s="86"/>
      <c r="F4" s="73"/>
      <c r="G4" s="239"/>
    </row>
    <row r="5" spans="1:9" x14ac:dyDescent="0.25">
      <c r="A5" s="75"/>
      <c r="B5" s="1157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4" t="s">
        <v>103</v>
      </c>
      <c r="C4" s="102"/>
      <c r="D4" s="135"/>
      <c r="E4" s="86"/>
      <c r="F4" s="73"/>
      <c r="G4" s="239"/>
    </row>
    <row r="5" spans="1:9" x14ac:dyDescent="0.25">
      <c r="A5" s="1078"/>
      <c r="B5" s="115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78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8" t="s">
        <v>104</v>
      </c>
      <c r="C4" s="102"/>
      <c r="D4" s="135"/>
      <c r="E4" s="86"/>
      <c r="F4" s="73"/>
      <c r="G4" s="239"/>
    </row>
    <row r="5" spans="1:9" x14ac:dyDescent="0.25">
      <c r="A5" s="1078"/>
      <c r="B5" s="115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78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74"/>
      <c r="B1" s="1074"/>
      <c r="C1" s="1074"/>
      <c r="D1" s="1074"/>
      <c r="E1" s="1074"/>
      <c r="F1" s="1074"/>
      <c r="G1" s="10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1075"/>
      <c r="C5" s="400"/>
      <c r="D5" s="134"/>
      <c r="E5" s="209"/>
      <c r="F5" s="62"/>
      <c r="G5" s="5"/>
    </row>
    <row r="6" spans="1:9" ht="20.25" x14ac:dyDescent="0.3">
      <c r="A6" s="606"/>
      <c r="B6" s="1075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72" t="s">
        <v>11</v>
      </c>
      <c r="D83" s="107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T17" sqref="T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261</v>
      </c>
      <c r="B1" s="1070"/>
      <c r="C1" s="1070"/>
      <c r="D1" s="1070"/>
      <c r="E1" s="1070"/>
      <c r="F1" s="1070"/>
      <c r="G1" s="1070"/>
      <c r="H1" s="11">
        <v>1</v>
      </c>
      <c r="K1" s="1074" t="s">
        <v>260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>
        <v>11.81</v>
      </c>
      <c r="P4" s="62">
        <v>1</v>
      </c>
      <c r="Q4" s="155"/>
      <c r="R4" s="155"/>
    </row>
    <row r="5" spans="1:19" ht="15" customHeight="1" x14ac:dyDescent="0.25">
      <c r="A5" s="227" t="s">
        <v>66</v>
      </c>
      <c r="B5" s="1076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1076" t="s">
        <v>64</v>
      </c>
      <c r="M5" s="400">
        <v>95</v>
      </c>
      <c r="N5" s="134">
        <v>44853</v>
      </c>
      <c r="O5" s="209">
        <v>510.98</v>
      </c>
      <c r="P5" s="62">
        <v>43</v>
      </c>
      <c r="Q5" s="5"/>
    </row>
    <row r="6" spans="1:19" x14ac:dyDescent="0.25">
      <c r="A6" s="413"/>
      <c r="B6" s="1076"/>
      <c r="C6" s="494">
        <v>95</v>
      </c>
      <c r="D6" s="134">
        <v>44768</v>
      </c>
      <c r="E6" s="69">
        <v>504.02</v>
      </c>
      <c r="F6" s="73">
        <v>42</v>
      </c>
      <c r="G6" s="47">
        <f>F48</f>
        <v>1516.7399999999998</v>
      </c>
      <c r="H6" s="7">
        <f>E6-G6+E7+E5-G5</f>
        <v>-0.24999999999977263</v>
      </c>
      <c r="K6" s="413"/>
      <c r="L6" s="1076"/>
      <c r="M6" s="494"/>
      <c r="N6" s="134"/>
      <c r="O6" s="69"/>
      <c r="P6" s="73"/>
      <c r="Q6" s="47">
        <f>P48</f>
        <v>11.78</v>
      </c>
      <c r="R6" s="7">
        <f>O6-Q6+O7+O5-Q5</f>
        <v>499.20000000000005</v>
      </c>
    </row>
    <row r="7" spans="1:19" ht="15.75" thickBot="1" x14ac:dyDescent="0.3">
      <c r="B7" s="19"/>
      <c r="C7" s="231">
        <v>95</v>
      </c>
      <c r="D7" s="134">
        <v>44806</v>
      </c>
      <c r="E7" s="78">
        <v>500.75</v>
      </c>
      <c r="F7" s="62">
        <v>43</v>
      </c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  <c r="K9" s="80" t="s">
        <v>32</v>
      </c>
      <c r="L9" s="83">
        <f>P6-M9+P5+P7+P4</f>
        <v>43</v>
      </c>
      <c r="M9" s="15">
        <v>1</v>
      </c>
      <c r="N9" s="69">
        <v>11.78</v>
      </c>
      <c r="O9" s="203">
        <v>44863</v>
      </c>
      <c r="P9" s="69">
        <f>N9</f>
        <v>11.78</v>
      </c>
      <c r="Q9" s="70" t="s">
        <v>578</v>
      </c>
      <c r="R9" s="71">
        <v>98</v>
      </c>
      <c r="S9" s="105">
        <f>O6-P9+O5+O7+O4</f>
        <v>511.01000000000005</v>
      </c>
    </row>
    <row r="10" spans="1:1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  <c r="K10" s="195"/>
      <c r="L10" s="83">
        <f>L9-M10</f>
        <v>43</v>
      </c>
      <c r="M10" s="15"/>
      <c r="N10" s="69"/>
      <c r="O10" s="203"/>
      <c r="P10" s="69">
        <f>N10</f>
        <v>0</v>
      </c>
      <c r="Q10" s="70"/>
      <c r="R10" s="71"/>
      <c r="S10" s="105">
        <f>S9-P10</f>
        <v>511.01000000000005</v>
      </c>
    </row>
    <row r="11" spans="1:19" x14ac:dyDescent="0.25">
      <c r="A11" s="183"/>
      <c r="B11" s="83">
        <f t="shared" ref="B11:B45" si="1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2">I10-F11</f>
        <v>1375.2400000000002</v>
      </c>
      <c r="K11" s="183"/>
      <c r="L11" s="83">
        <f t="shared" ref="L11:L45" si="3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4">S10-P11</f>
        <v>511.01000000000005</v>
      </c>
    </row>
    <row r="12" spans="1:19" x14ac:dyDescent="0.25">
      <c r="A12" s="183"/>
      <c r="B12" s="83">
        <f t="shared" si="1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2"/>
        <v>1256.5600000000002</v>
      </c>
      <c r="K12" s="183"/>
      <c r="L12" s="83">
        <f t="shared" si="3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4"/>
        <v>511.01000000000005</v>
      </c>
    </row>
    <row r="13" spans="1:19" x14ac:dyDescent="0.25">
      <c r="A13" s="82" t="s">
        <v>33</v>
      </c>
      <c r="B13" s="83">
        <f t="shared" si="1"/>
        <v>101</v>
      </c>
      <c r="C13" s="15">
        <v>5</v>
      </c>
      <c r="D13" s="59">
        <v>59.67</v>
      </c>
      <c r="E13" s="210">
        <v>44791</v>
      </c>
      <c r="F13" s="59">
        <f t="shared" ref="F13:F45" si="5">D13</f>
        <v>59.67</v>
      </c>
      <c r="G13" s="589" t="s">
        <v>143</v>
      </c>
      <c r="H13" s="60">
        <v>98</v>
      </c>
      <c r="I13" s="105">
        <f t="shared" si="2"/>
        <v>1196.8900000000001</v>
      </c>
      <c r="K13" s="82" t="s">
        <v>33</v>
      </c>
      <c r="L13" s="83">
        <f t="shared" si="3"/>
        <v>43</v>
      </c>
      <c r="M13" s="15"/>
      <c r="N13" s="69"/>
      <c r="O13" s="203"/>
      <c r="P13" s="69">
        <f t="shared" ref="P13:P45" si="6">N13</f>
        <v>0</v>
      </c>
      <c r="Q13" s="70"/>
      <c r="R13" s="71"/>
      <c r="S13" s="105">
        <f t="shared" si="4"/>
        <v>511.01000000000005</v>
      </c>
    </row>
    <row r="14" spans="1:19" x14ac:dyDescent="0.25">
      <c r="A14" s="73"/>
      <c r="B14" s="83">
        <f t="shared" si="1"/>
        <v>100</v>
      </c>
      <c r="C14" s="15">
        <v>1</v>
      </c>
      <c r="D14" s="59">
        <v>11.89</v>
      </c>
      <c r="E14" s="210">
        <v>44795</v>
      </c>
      <c r="F14" s="59">
        <f t="shared" si="5"/>
        <v>11.89</v>
      </c>
      <c r="G14" s="589" t="s">
        <v>149</v>
      </c>
      <c r="H14" s="60">
        <v>98</v>
      </c>
      <c r="I14" s="105">
        <f t="shared" si="2"/>
        <v>1185</v>
      </c>
      <c r="K14" s="73"/>
      <c r="L14" s="83">
        <f t="shared" si="3"/>
        <v>43</v>
      </c>
      <c r="M14" s="15"/>
      <c r="N14" s="69"/>
      <c r="O14" s="203"/>
      <c r="P14" s="69">
        <f t="shared" si="6"/>
        <v>0</v>
      </c>
      <c r="Q14" s="70"/>
      <c r="R14" s="71"/>
      <c r="S14" s="105">
        <f t="shared" si="4"/>
        <v>511.01000000000005</v>
      </c>
    </row>
    <row r="15" spans="1:19" x14ac:dyDescent="0.25">
      <c r="A15" s="73"/>
      <c r="B15" s="83">
        <f t="shared" si="1"/>
        <v>90</v>
      </c>
      <c r="C15" s="15">
        <v>10</v>
      </c>
      <c r="D15" s="59">
        <v>120.29</v>
      </c>
      <c r="E15" s="210">
        <v>44795</v>
      </c>
      <c r="F15" s="59">
        <f t="shared" si="5"/>
        <v>120.29</v>
      </c>
      <c r="G15" s="589" t="s">
        <v>147</v>
      </c>
      <c r="H15" s="60">
        <v>98</v>
      </c>
      <c r="I15" s="105">
        <f t="shared" si="2"/>
        <v>1064.71</v>
      </c>
      <c r="K15" s="73"/>
      <c r="L15" s="83">
        <f t="shared" si="3"/>
        <v>43</v>
      </c>
      <c r="M15" s="15"/>
      <c r="N15" s="69"/>
      <c r="O15" s="203"/>
      <c r="P15" s="69">
        <f t="shared" si="6"/>
        <v>0</v>
      </c>
      <c r="Q15" s="70"/>
      <c r="R15" s="71"/>
      <c r="S15" s="105">
        <f t="shared" si="4"/>
        <v>511.01000000000005</v>
      </c>
    </row>
    <row r="16" spans="1:19" x14ac:dyDescent="0.25">
      <c r="B16" s="83">
        <f t="shared" si="1"/>
        <v>80</v>
      </c>
      <c r="C16" s="15">
        <v>10</v>
      </c>
      <c r="D16" s="664">
        <v>119.52</v>
      </c>
      <c r="E16" s="665">
        <v>44807</v>
      </c>
      <c r="F16" s="664">
        <f t="shared" si="5"/>
        <v>119.52</v>
      </c>
      <c r="G16" s="666" t="s">
        <v>179</v>
      </c>
      <c r="H16" s="387">
        <v>98</v>
      </c>
      <c r="I16" s="105">
        <f t="shared" si="2"/>
        <v>945.19</v>
      </c>
      <c r="L16" s="83">
        <f t="shared" si="3"/>
        <v>43</v>
      </c>
      <c r="M16" s="15"/>
      <c r="N16" s="69"/>
      <c r="O16" s="203"/>
      <c r="P16" s="69">
        <f t="shared" si="6"/>
        <v>0</v>
      </c>
      <c r="Q16" s="70"/>
      <c r="R16" s="71"/>
      <c r="S16" s="105">
        <f t="shared" si="4"/>
        <v>511.01000000000005</v>
      </c>
    </row>
    <row r="17" spans="1:19" x14ac:dyDescent="0.25">
      <c r="B17" s="83">
        <f t="shared" si="1"/>
        <v>75</v>
      </c>
      <c r="C17" s="15">
        <v>5</v>
      </c>
      <c r="D17" s="664">
        <v>60.06</v>
      </c>
      <c r="E17" s="665">
        <v>44807</v>
      </c>
      <c r="F17" s="664">
        <f t="shared" si="5"/>
        <v>60.06</v>
      </c>
      <c r="G17" s="666" t="s">
        <v>180</v>
      </c>
      <c r="H17" s="387">
        <v>98</v>
      </c>
      <c r="I17" s="105">
        <f t="shared" si="2"/>
        <v>885.13000000000011</v>
      </c>
      <c r="L17" s="83">
        <f t="shared" si="3"/>
        <v>43</v>
      </c>
      <c r="M17" s="15"/>
      <c r="N17" s="69"/>
      <c r="O17" s="203"/>
      <c r="P17" s="69">
        <f t="shared" si="6"/>
        <v>0</v>
      </c>
      <c r="Q17" s="70"/>
      <c r="R17" s="71"/>
      <c r="S17" s="105">
        <f t="shared" si="4"/>
        <v>511.01000000000005</v>
      </c>
    </row>
    <row r="18" spans="1:19" x14ac:dyDescent="0.25">
      <c r="A18" s="122"/>
      <c r="B18" s="83">
        <f t="shared" si="1"/>
        <v>67</v>
      </c>
      <c r="C18" s="15">
        <v>8</v>
      </c>
      <c r="D18" s="664">
        <v>97.67</v>
      </c>
      <c r="E18" s="665">
        <v>44817</v>
      </c>
      <c r="F18" s="664">
        <f t="shared" si="5"/>
        <v>97.67</v>
      </c>
      <c r="G18" s="666" t="s">
        <v>201</v>
      </c>
      <c r="H18" s="387">
        <v>98</v>
      </c>
      <c r="I18" s="105">
        <f t="shared" si="2"/>
        <v>787.46000000000015</v>
      </c>
      <c r="K18" s="122"/>
      <c r="L18" s="83">
        <f t="shared" si="3"/>
        <v>43</v>
      </c>
      <c r="M18" s="15"/>
      <c r="N18" s="69"/>
      <c r="O18" s="203"/>
      <c r="P18" s="69">
        <f t="shared" si="6"/>
        <v>0</v>
      </c>
      <c r="Q18" s="70"/>
      <c r="R18" s="71"/>
      <c r="S18" s="105">
        <f t="shared" si="4"/>
        <v>511.01000000000005</v>
      </c>
    </row>
    <row r="19" spans="1:19" x14ac:dyDescent="0.25">
      <c r="A19" s="122"/>
      <c r="B19" s="83">
        <f t="shared" si="1"/>
        <v>66</v>
      </c>
      <c r="C19" s="15">
        <v>1</v>
      </c>
      <c r="D19" s="664">
        <v>12.3</v>
      </c>
      <c r="E19" s="665">
        <v>44817</v>
      </c>
      <c r="F19" s="664">
        <f t="shared" si="5"/>
        <v>12.3</v>
      </c>
      <c r="G19" s="666" t="s">
        <v>202</v>
      </c>
      <c r="H19" s="387">
        <v>98</v>
      </c>
      <c r="I19" s="105">
        <f t="shared" si="2"/>
        <v>775.1600000000002</v>
      </c>
      <c r="K19" s="122"/>
      <c r="L19" s="83">
        <f t="shared" si="3"/>
        <v>43</v>
      </c>
      <c r="M19" s="15"/>
      <c r="N19" s="69"/>
      <c r="O19" s="203"/>
      <c r="P19" s="69">
        <f t="shared" si="6"/>
        <v>0</v>
      </c>
      <c r="Q19" s="70"/>
      <c r="R19" s="71"/>
      <c r="S19" s="105">
        <f t="shared" si="4"/>
        <v>511.01000000000005</v>
      </c>
    </row>
    <row r="20" spans="1:19" x14ac:dyDescent="0.25">
      <c r="A20" s="122"/>
      <c r="B20" s="83">
        <f t="shared" si="1"/>
        <v>65</v>
      </c>
      <c r="C20" s="15">
        <v>1</v>
      </c>
      <c r="D20" s="664">
        <v>11.81</v>
      </c>
      <c r="E20" s="665">
        <v>44820</v>
      </c>
      <c r="F20" s="664">
        <f t="shared" si="5"/>
        <v>11.81</v>
      </c>
      <c r="G20" s="666" t="s">
        <v>214</v>
      </c>
      <c r="H20" s="387">
        <v>98</v>
      </c>
      <c r="I20" s="105">
        <f t="shared" si="2"/>
        <v>763.35000000000025</v>
      </c>
      <c r="K20" s="122"/>
      <c r="L20" s="83">
        <f t="shared" si="3"/>
        <v>43</v>
      </c>
      <c r="M20" s="15"/>
      <c r="N20" s="69"/>
      <c r="O20" s="203"/>
      <c r="P20" s="69">
        <f t="shared" si="6"/>
        <v>0</v>
      </c>
      <c r="Q20" s="70"/>
      <c r="R20" s="71"/>
      <c r="S20" s="105">
        <f t="shared" si="4"/>
        <v>511.01000000000005</v>
      </c>
    </row>
    <row r="21" spans="1:19" x14ac:dyDescent="0.25">
      <c r="A21" s="122"/>
      <c r="B21" s="83">
        <f t="shared" si="1"/>
        <v>60</v>
      </c>
      <c r="C21" s="15">
        <v>5</v>
      </c>
      <c r="D21" s="664">
        <v>60.29</v>
      </c>
      <c r="E21" s="665">
        <v>44821</v>
      </c>
      <c r="F21" s="664">
        <f t="shared" si="5"/>
        <v>60.29</v>
      </c>
      <c r="G21" s="666" t="s">
        <v>220</v>
      </c>
      <c r="H21" s="387">
        <v>98</v>
      </c>
      <c r="I21" s="105">
        <f t="shared" si="2"/>
        <v>703.06000000000029</v>
      </c>
      <c r="K21" s="122"/>
      <c r="L21" s="83">
        <f t="shared" si="3"/>
        <v>43</v>
      </c>
      <c r="M21" s="15"/>
      <c r="N21" s="69"/>
      <c r="O21" s="203"/>
      <c r="P21" s="69">
        <f t="shared" si="6"/>
        <v>0</v>
      </c>
      <c r="Q21" s="70"/>
      <c r="R21" s="71"/>
      <c r="S21" s="105">
        <f t="shared" si="4"/>
        <v>511.01000000000005</v>
      </c>
    </row>
    <row r="22" spans="1:19" x14ac:dyDescent="0.25">
      <c r="A22" s="122"/>
      <c r="B22" s="234">
        <f t="shared" si="1"/>
        <v>50</v>
      </c>
      <c r="C22" s="15">
        <v>10</v>
      </c>
      <c r="D22" s="664">
        <v>119.71</v>
      </c>
      <c r="E22" s="665">
        <v>44823</v>
      </c>
      <c r="F22" s="664">
        <f t="shared" si="5"/>
        <v>119.71</v>
      </c>
      <c r="G22" s="666" t="s">
        <v>224</v>
      </c>
      <c r="H22" s="387">
        <v>98</v>
      </c>
      <c r="I22" s="105">
        <f t="shared" si="2"/>
        <v>583.35000000000025</v>
      </c>
      <c r="K22" s="122"/>
      <c r="L22" s="234">
        <f t="shared" si="3"/>
        <v>43</v>
      </c>
      <c r="M22" s="15"/>
      <c r="N22" s="69"/>
      <c r="O22" s="203"/>
      <c r="P22" s="69">
        <f t="shared" si="6"/>
        <v>0</v>
      </c>
      <c r="Q22" s="70"/>
      <c r="R22" s="71"/>
      <c r="S22" s="105">
        <f t="shared" si="4"/>
        <v>511.01000000000005</v>
      </c>
    </row>
    <row r="23" spans="1:19" x14ac:dyDescent="0.25">
      <c r="A23" s="123"/>
      <c r="B23" s="234">
        <f t="shared" si="1"/>
        <v>49</v>
      </c>
      <c r="C23" s="15">
        <v>1</v>
      </c>
      <c r="D23" s="664">
        <v>12.16</v>
      </c>
      <c r="E23" s="665">
        <v>44827</v>
      </c>
      <c r="F23" s="664">
        <f t="shared" si="5"/>
        <v>12.16</v>
      </c>
      <c r="G23" s="666" t="s">
        <v>235</v>
      </c>
      <c r="H23" s="387">
        <v>98</v>
      </c>
      <c r="I23" s="105">
        <f t="shared" si="2"/>
        <v>571.19000000000028</v>
      </c>
      <c r="K23" s="123"/>
      <c r="L23" s="234">
        <f t="shared" si="3"/>
        <v>43</v>
      </c>
      <c r="M23" s="15"/>
      <c r="N23" s="69"/>
      <c r="O23" s="203"/>
      <c r="P23" s="69">
        <f t="shared" si="6"/>
        <v>0</v>
      </c>
      <c r="Q23" s="70"/>
      <c r="R23" s="71"/>
      <c r="S23" s="105">
        <f t="shared" si="4"/>
        <v>511.01000000000005</v>
      </c>
    </row>
    <row r="24" spans="1:19" x14ac:dyDescent="0.25">
      <c r="A24" s="122"/>
      <c r="B24" s="234">
        <f t="shared" si="1"/>
        <v>48</v>
      </c>
      <c r="C24" s="15">
        <v>1</v>
      </c>
      <c r="D24" s="549">
        <v>12.18</v>
      </c>
      <c r="E24" s="802">
        <v>44837</v>
      </c>
      <c r="F24" s="549">
        <f t="shared" si="5"/>
        <v>12.18</v>
      </c>
      <c r="G24" s="331" t="s">
        <v>411</v>
      </c>
      <c r="H24" s="332">
        <v>98</v>
      </c>
      <c r="I24" s="105">
        <f t="shared" si="2"/>
        <v>559.01000000000033</v>
      </c>
      <c r="K24" s="122"/>
      <c r="L24" s="234">
        <f t="shared" si="3"/>
        <v>43</v>
      </c>
      <c r="M24" s="15"/>
      <c r="N24" s="69"/>
      <c r="O24" s="203"/>
      <c r="P24" s="69">
        <f t="shared" si="6"/>
        <v>0</v>
      </c>
      <c r="Q24" s="70"/>
      <c r="R24" s="71"/>
      <c r="S24" s="105">
        <f t="shared" si="4"/>
        <v>511.01000000000005</v>
      </c>
    </row>
    <row r="25" spans="1:19" x14ac:dyDescent="0.25">
      <c r="A25" s="122"/>
      <c r="B25" s="234">
        <f t="shared" si="1"/>
        <v>48</v>
      </c>
      <c r="C25" s="15"/>
      <c r="D25" s="549">
        <v>0</v>
      </c>
      <c r="E25" s="802"/>
      <c r="F25" s="549">
        <f t="shared" si="5"/>
        <v>0</v>
      </c>
      <c r="G25" s="331"/>
      <c r="H25" s="332"/>
      <c r="I25" s="105">
        <f t="shared" si="2"/>
        <v>559.01000000000033</v>
      </c>
      <c r="K25" s="122"/>
      <c r="L25" s="234">
        <f t="shared" si="3"/>
        <v>43</v>
      </c>
      <c r="M25" s="15"/>
      <c r="N25" s="69"/>
      <c r="O25" s="203"/>
      <c r="P25" s="69">
        <f t="shared" si="6"/>
        <v>0</v>
      </c>
      <c r="Q25" s="70"/>
      <c r="R25" s="71"/>
      <c r="S25" s="105">
        <f t="shared" si="4"/>
        <v>511.01000000000005</v>
      </c>
    </row>
    <row r="26" spans="1:19" x14ac:dyDescent="0.25">
      <c r="A26" s="122"/>
      <c r="B26" s="183">
        <f t="shared" si="1"/>
        <v>47</v>
      </c>
      <c r="C26" s="15">
        <v>1</v>
      </c>
      <c r="D26" s="549">
        <v>11.51</v>
      </c>
      <c r="E26" s="802">
        <v>44839</v>
      </c>
      <c r="F26" s="549">
        <f t="shared" si="5"/>
        <v>11.51</v>
      </c>
      <c r="G26" s="331" t="s">
        <v>425</v>
      </c>
      <c r="H26" s="332">
        <v>98</v>
      </c>
      <c r="I26" s="105">
        <f t="shared" si="2"/>
        <v>547.50000000000034</v>
      </c>
      <c r="K26" s="122"/>
      <c r="L26" s="183">
        <f t="shared" si="3"/>
        <v>43</v>
      </c>
      <c r="M26" s="15"/>
      <c r="N26" s="69"/>
      <c r="O26" s="203"/>
      <c r="P26" s="69">
        <f t="shared" si="6"/>
        <v>0</v>
      </c>
      <c r="Q26" s="70"/>
      <c r="R26" s="71"/>
      <c r="S26" s="105">
        <f t="shared" si="4"/>
        <v>511.01000000000005</v>
      </c>
    </row>
    <row r="27" spans="1:19" x14ac:dyDescent="0.25">
      <c r="A27" s="122"/>
      <c r="B27" s="234">
        <f t="shared" si="1"/>
        <v>42</v>
      </c>
      <c r="C27" s="15">
        <v>5</v>
      </c>
      <c r="D27" s="549">
        <v>58.25</v>
      </c>
      <c r="E27" s="802">
        <v>44840</v>
      </c>
      <c r="F27" s="549">
        <f t="shared" si="5"/>
        <v>58.25</v>
      </c>
      <c r="G27" s="331" t="s">
        <v>424</v>
      </c>
      <c r="H27" s="332">
        <v>98</v>
      </c>
      <c r="I27" s="105">
        <f t="shared" si="2"/>
        <v>489.25000000000034</v>
      </c>
      <c r="K27" s="122"/>
      <c r="L27" s="234">
        <f t="shared" si="3"/>
        <v>43</v>
      </c>
      <c r="M27" s="15"/>
      <c r="N27" s="69"/>
      <c r="O27" s="203"/>
      <c r="P27" s="69">
        <f t="shared" si="6"/>
        <v>0</v>
      </c>
      <c r="Q27" s="70"/>
      <c r="R27" s="71"/>
      <c r="S27" s="105">
        <f t="shared" si="4"/>
        <v>511.01000000000005</v>
      </c>
    </row>
    <row r="28" spans="1:19" x14ac:dyDescent="0.25">
      <c r="A28" s="122"/>
      <c r="B28" s="183">
        <f t="shared" si="1"/>
        <v>32</v>
      </c>
      <c r="C28" s="15">
        <v>10</v>
      </c>
      <c r="D28" s="549">
        <v>116.75</v>
      </c>
      <c r="E28" s="802">
        <v>44844</v>
      </c>
      <c r="F28" s="549">
        <f t="shared" si="5"/>
        <v>116.75</v>
      </c>
      <c r="G28" s="331" t="s">
        <v>461</v>
      </c>
      <c r="H28" s="332">
        <v>98</v>
      </c>
      <c r="I28" s="105">
        <f t="shared" si="2"/>
        <v>372.50000000000034</v>
      </c>
      <c r="K28" s="122"/>
      <c r="L28" s="183">
        <f t="shared" si="3"/>
        <v>43</v>
      </c>
      <c r="M28" s="15"/>
      <c r="N28" s="69"/>
      <c r="O28" s="203"/>
      <c r="P28" s="69">
        <f t="shared" si="6"/>
        <v>0</v>
      </c>
      <c r="Q28" s="70"/>
      <c r="R28" s="71"/>
      <c r="S28" s="105">
        <f t="shared" si="4"/>
        <v>511.01000000000005</v>
      </c>
    </row>
    <row r="29" spans="1:19" x14ac:dyDescent="0.25">
      <c r="A29" s="122"/>
      <c r="B29" s="234">
        <f t="shared" si="1"/>
        <v>30</v>
      </c>
      <c r="C29" s="15">
        <v>2</v>
      </c>
      <c r="D29" s="549">
        <v>23.18</v>
      </c>
      <c r="E29" s="802">
        <v>44845</v>
      </c>
      <c r="F29" s="549">
        <f t="shared" si="5"/>
        <v>23.18</v>
      </c>
      <c r="G29" s="331" t="s">
        <v>463</v>
      </c>
      <c r="H29" s="332">
        <v>98</v>
      </c>
      <c r="I29" s="105">
        <f t="shared" si="2"/>
        <v>349.32000000000033</v>
      </c>
      <c r="K29" s="122"/>
      <c r="L29" s="234">
        <f t="shared" si="3"/>
        <v>43</v>
      </c>
      <c r="M29" s="15"/>
      <c r="N29" s="69"/>
      <c r="O29" s="203"/>
      <c r="P29" s="69">
        <f t="shared" si="6"/>
        <v>0</v>
      </c>
      <c r="Q29" s="70"/>
      <c r="R29" s="71"/>
      <c r="S29" s="105">
        <f t="shared" si="4"/>
        <v>511.01000000000005</v>
      </c>
    </row>
    <row r="30" spans="1:19" x14ac:dyDescent="0.25">
      <c r="A30" s="122"/>
      <c r="B30" s="234">
        <f t="shared" si="1"/>
        <v>23</v>
      </c>
      <c r="C30" s="15">
        <v>7</v>
      </c>
      <c r="D30" s="549">
        <v>82.47</v>
      </c>
      <c r="E30" s="802">
        <v>44851</v>
      </c>
      <c r="F30" s="549">
        <f t="shared" si="5"/>
        <v>82.47</v>
      </c>
      <c r="G30" s="331" t="s">
        <v>506</v>
      </c>
      <c r="H30" s="332">
        <v>98</v>
      </c>
      <c r="I30" s="105">
        <f t="shared" si="2"/>
        <v>266.85000000000036</v>
      </c>
      <c r="K30" s="122"/>
      <c r="L30" s="234">
        <f t="shared" si="3"/>
        <v>43</v>
      </c>
      <c r="M30" s="15"/>
      <c r="N30" s="69"/>
      <c r="O30" s="203"/>
      <c r="P30" s="69">
        <f t="shared" si="6"/>
        <v>0</v>
      </c>
      <c r="Q30" s="70"/>
      <c r="R30" s="71"/>
      <c r="S30" s="105">
        <f t="shared" si="4"/>
        <v>511.01000000000005</v>
      </c>
    </row>
    <row r="31" spans="1:19" x14ac:dyDescent="0.25">
      <c r="A31" s="122"/>
      <c r="B31" s="234">
        <f t="shared" si="1"/>
        <v>15</v>
      </c>
      <c r="C31" s="15">
        <v>8</v>
      </c>
      <c r="D31" s="549">
        <v>92.97</v>
      </c>
      <c r="E31" s="802">
        <v>44851</v>
      </c>
      <c r="F31" s="549">
        <f t="shared" si="5"/>
        <v>92.97</v>
      </c>
      <c r="G31" s="331" t="s">
        <v>507</v>
      </c>
      <c r="H31" s="332">
        <v>98</v>
      </c>
      <c r="I31" s="105">
        <f t="shared" si="2"/>
        <v>173.88000000000036</v>
      </c>
      <c r="K31" s="122"/>
      <c r="L31" s="234">
        <f t="shared" si="3"/>
        <v>43</v>
      </c>
      <c r="M31" s="15"/>
      <c r="N31" s="69"/>
      <c r="O31" s="203"/>
      <c r="P31" s="69">
        <f t="shared" si="6"/>
        <v>0</v>
      </c>
      <c r="Q31" s="70"/>
      <c r="R31" s="71"/>
      <c r="S31" s="105">
        <f t="shared" si="4"/>
        <v>511.01000000000005</v>
      </c>
    </row>
    <row r="32" spans="1:19" x14ac:dyDescent="0.25">
      <c r="A32" s="122"/>
      <c r="B32" s="234">
        <f t="shared" si="1"/>
        <v>14</v>
      </c>
      <c r="C32" s="15">
        <v>1</v>
      </c>
      <c r="D32" s="549">
        <v>11.43</v>
      </c>
      <c r="E32" s="802">
        <v>44859</v>
      </c>
      <c r="F32" s="549">
        <f t="shared" si="5"/>
        <v>11.43</v>
      </c>
      <c r="G32" s="331" t="s">
        <v>551</v>
      </c>
      <c r="H32" s="332">
        <v>98</v>
      </c>
      <c r="I32" s="105">
        <f t="shared" si="2"/>
        <v>162.45000000000036</v>
      </c>
      <c r="K32" s="122"/>
      <c r="L32" s="234">
        <f t="shared" si="3"/>
        <v>43</v>
      </c>
      <c r="M32" s="15"/>
      <c r="N32" s="69"/>
      <c r="O32" s="203"/>
      <c r="P32" s="69">
        <f t="shared" si="6"/>
        <v>0</v>
      </c>
      <c r="Q32" s="70"/>
      <c r="R32" s="71"/>
      <c r="S32" s="105">
        <f t="shared" si="4"/>
        <v>511.01000000000005</v>
      </c>
    </row>
    <row r="33" spans="1:19" x14ac:dyDescent="0.25">
      <c r="A33" s="122"/>
      <c r="B33" s="234">
        <f t="shared" si="1"/>
        <v>6</v>
      </c>
      <c r="C33" s="15">
        <v>8</v>
      </c>
      <c r="D33" s="549">
        <v>92.87</v>
      </c>
      <c r="E33" s="802">
        <v>44860</v>
      </c>
      <c r="F33" s="549">
        <f t="shared" si="5"/>
        <v>92.87</v>
      </c>
      <c r="G33" s="331" t="s">
        <v>558</v>
      </c>
      <c r="H33" s="332">
        <v>98</v>
      </c>
      <c r="I33" s="105">
        <f t="shared" si="2"/>
        <v>69.580000000000354</v>
      </c>
      <c r="K33" s="122"/>
      <c r="L33" s="234">
        <f t="shared" si="3"/>
        <v>43</v>
      </c>
      <c r="M33" s="15"/>
      <c r="N33" s="69"/>
      <c r="O33" s="203"/>
      <c r="P33" s="69">
        <f t="shared" si="6"/>
        <v>0</v>
      </c>
      <c r="Q33" s="70"/>
      <c r="R33" s="71"/>
      <c r="S33" s="105">
        <f t="shared" si="4"/>
        <v>511.01000000000005</v>
      </c>
    </row>
    <row r="34" spans="1:19" x14ac:dyDescent="0.25">
      <c r="A34" s="122"/>
      <c r="B34" s="234">
        <f t="shared" si="1"/>
        <v>1</v>
      </c>
      <c r="C34" s="15">
        <v>5</v>
      </c>
      <c r="D34" s="549">
        <v>57.77</v>
      </c>
      <c r="E34" s="802">
        <v>44861</v>
      </c>
      <c r="F34" s="549">
        <f t="shared" si="5"/>
        <v>57.77</v>
      </c>
      <c r="G34" s="331" t="s">
        <v>569</v>
      </c>
      <c r="H34" s="332">
        <v>98</v>
      </c>
      <c r="I34" s="974">
        <f t="shared" si="2"/>
        <v>11.81000000000035</v>
      </c>
      <c r="K34" s="122"/>
      <c r="L34" s="234">
        <f t="shared" si="3"/>
        <v>43</v>
      </c>
      <c r="M34" s="15"/>
      <c r="N34" s="69"/>
      <c r="O34" s="203"/>
      <c r="P34" s="69">
        <f t="shared" si="6"/>
        <v>0</v>
      </c>
      <c r="Q34" s="70"/>
      <c r="R34" s="71"/>
      <c r="S34" s="105">
        <f t="shared" si="4"/>
        <v>511.01000000000005</v>
      </c>
    </row>
    <row r="35" spans="1:19" x14ac:dyDescent="0.25">
      <c r="A35" s="122"/>
      <c r="B35" s="234">
        <f t="shared" si="1"/>
        <v>1</v>
      </c>
      <c r="C35" s="15"/>
      <c r="D35" s="549"/>
      <c r="E35" s="802"/>
      <c r="F35" s="973">
        <f t="shared" si="5"/>
        <v>0</v>
      </c>
      <c r="G35" s="957"/>
      <c r="H35" s="958"/>
      <c r="I35" s="974">
        <f t="shared" si="2"/>
        <v>11.81000000000035</v>
      </c>
      <c r="K35" s="122"/>
      <c r="L35" s="234">
        <f t="shared" si="3"/>
        <v>43</v>
      </c>
      <c r="M35" s="15"/>
      <c r="N35" s="69"/>
      <c r="O35" s="203"/>
      <c r="P35" s="69">
        <f t="shared" si="6"/>
        <v>0</v>
      </c>
      <c r="Q35" s="70"/>
      <c r="R35" s="71"/>
      <c r="S35" s="105">
        <f t="shared" si="4"/>
        <v>511.01000000000005</v>
      </c>
    </row>
    <row r="36" spans="1:19" x14ac:dyDescent="0.25">
      <c r="A36" s="122" t="s">
        <v>22</v>
      </c>
      <c r="B36" s="234">
        <f t="shared" si="1"/>
        <v>1</v>
      </c>
      <c r="C36" s="15"/>
      <c r="D36" s="549"/>
      <c r="E36" s="802"/>
      <c r="F36" s="973">
        <f t="shared" si="5"/>
        <v>0</v>
      </c>
      <c r="G36" s="957"/>
      <c r="H36" s="958"/>
      <c r="I36" s="974">
        <f t="shared" si="2"/>
        <v>11.81000000000035</v>
      </c>
      <c r="K36" s="122" t="s">
        <v>22</v>
      </c>
      <c r="L36" s="234">
        <f t="shared" si="3"/>
        <v>43</v>
      </c>
      <c r="M36" s="15"/>
      <c r="N36" s="69"/>
      <c r="O36" s="203"/>
      <c r="P36" s="69">
        <f t="shared" si="6"/>
        <v>0</v>
      </c>
      <c r="Q36" s="70"/>
      <c r="R36" s="71"/>
      <c r="S36" s="105">
        <f t="shared" si="4"/>
        <v>511.01000000000005</v>
      </c>
    </row>
    <row r="37" spans="1:19" x14ac:dyDescent="0.25">
      <c r="A37" s="123"/>
      <c r="B37" s="234">
        <f t="shared" si="1"/>
        <v>0</v>
      </c>
      <c r="C37" s="15">
        <v>1</v>
      </c>
      <c r="D37" s="549"/>
      <c r="E37" s="802"/>
      <c r="F37" s="973">
        <v>11.81</v>
      </c>
      <c r="G37" s="957"/>
      <c r="H37" s="958"/>
      <c r="I37" s="974">
        <f t="shared" si="2"/>
        <v>3.4994229736184934E-13</v>
      </c>
      <c r="K37" s="123"/>
      <c r="L37" s="234">
        <f t="shared" si="3"/>
        <v>43</v>
      </c>
      <c r="M37" s="15"/>
      <c r="N37" s="69"/>
      <c r="O37" s="203"/>
      <c r="P37" s="69">
        <f t="shared" si="6"/>
        <v>0</v>
      </c>
      <c r="Q37" s="70"/>
      <c r="R37" s="71"/>
      <c r="S37" s="105">
        <f t="shared" si="4"/>
        <v>511.01000000000005</v>
      </c>
    </row>
    <row r="38" spans="1:19" x14ac:dyDescent="0.25">
      <c r="A38" s="122"/>
      <c r="B38" s="234">
        <f t="shared" si="1"/>
        <v>0</v>
      </c>
      <c r="C38" s="15"/>
      <c r="D38" s="549"/>
      <c r="E38" s="802"/>
      <c r="F38" s="549">
        <f t="shared" si="5"/>
        <v>0</v>
      </c>
      <c r="G38" s="331"/>
      <c r="H38" s="332"/>
      <c r="I38" s="105">
        <f t="shared" si="2"/>
        <v>3.4994229736184934E-13</v>
      </c>
      <c r="K38" s="122"/>
      <c r="L38" s="234">
        <f t="shared" si="3"/>
        <v>43</v>
      </c>
      <c r="M38" s="15"/>
      <c r="N38" s="69"/>
      <c r="O38" s="203"/>
      <c r="P38" s="69">
        <f t="shared" si="6"/>
        <v>0</v>
      </c>
      <c r="Q38" s="70"/>
      <c r="R38" s="71"/>
      <c r="S38" s="105">
        <f t="shared" si="4"/>
        <v>511.01000000000005</v>
      </c>
    </row>
    <row r="39" spans="1:19" x14ac:dyDescent="0.25">
      <c r="A39" s="122"/>
      <c r="B39" s="83">
        <f t="shared" si="1"/>
        <v>0</v>
      </c>
      <c r="C39" s="15"/>
      <c r="D39" s="549"/>
      <c r="E39" s="802"/>
      <c r="F39" s="549">
        <f t="shared" si="5"/>
        <v>0</v>
      </c>
      <c r="G39" s="331"/>
      <c r="H39" s="332"/>
      <c r="I39" s="105">
        <f t="shared" si="2"/>
        <v>3.4994229736184934E-13</v>
      </c>
      <c r="K39" s="122"/>
      <c r="L39" s="83">
        <f t="shared" si="3"/>
        <v>43</v>
      </c>
      <c r="M39" s="15"/>
      <c r="N39" s="69"/>
      <c r="O39" s="203"/>
      <c r="P39" s="69">
        <f t="shared" si="6"/>
        <v>0</v>
      </c>
      <c r="Q39" s="70"/>
      <c r="R39" s="71"/>
      <c r="S39" s="105">
        <f t="shared" si="4"/>
        <v>511.01000000000005</v>
      </c>
    </row>
    <row r="40" spans="1:19" x14ac:dyDescent="0.25">
      <c r="A40" s="122"/>
      <c r="B40" s="83">
        <f t="shared" si="1"/>
        <v>0</v>
      </c>
      <c r="C40" s="15"/>
      <c r="D40" s="549"/>
      <c r="E40" s="802"/>
      <c r="F40" s="549">
        <f t="shared" si="5"/>
        <v>0</v>
      </c>
      <c r="G40" s="331"/>
      <c r="H40" s="332"/>
      <c r="I40" s="105">
        <f t="shared" si="2"/>
        <v>3.4994229736184934E-13</v>
      </c>
      <c r="K40" s="122"/>
      <c r="L40" s="83">
        <f t="shared" si="3"/>
        <v>43</v>
      </c>
      <c r="M40" s="15"/>
      <c r="N40" s="69"/>
      <c r="O40" s="203"/>
      <c r="P40" s="69">
        <f t="shared" si="6"/>
        <v>0</v>
      </c>
      <c r="Q40" s="70"/>
      <c r="R40" s="71"/>
      <c r="S40" s="105">
        <f t="shared" si="4"/>
        <v>511.01000000000005</v>
      </c>
    </row>
    <row r="41" spans="1:19" x14ac:dyDescent="0.25">
      <c r="A41" s="122"/>
      <c r="B41" s="83">
        <f t="shared" si="1"/>
        <v>0</v>
      </c>
      <c r="C41" s="15"/>
      <c r="D41" s="549"/>
      <c r="E41" s="802"/>
      <c r="F41" s="549">
        <f t="shared" si="5"/>
        <v>0</v>
      </c>
      <c r="G41" s="331"/>
      <c r="H41" s="332"/>
      <c r="I41" s="105">
        <f t="shared" si="2"/>
        <v>3.4994229736184934E-13</v>
      </c>
      <c r="K41" s="122"/>
      <c r="L41" s="83">
        <f t="shared" si="3"/>
        <v>43</v>
      </c>
      <c r="M41" s="15"/>
      <c r="N41" s="69"/>
      <c r="O41" s="203"/>
      <c r="P41" s="69">
        <f t="shared" si="6"/>
        <v>0</v>
      </c>
      <c r="Q41" s="70"/>
      <c r="R41" s="71"/>
      <c r="S41" s="105">
        <f t="shared" si="4"/>
        <v>511.01000000000005</v>
      </c>
    </row>
    <row r="42" spans="1:19" x14ac:dyDescent="0.25">
      <c r="A42" s="122"/>
      <c r="B42" s="83">
        <f t="shared" si="1"/>
        <v>0</v>
      </c>
      <c r="C42" s="15"/>
      <c r="D42" s="549"/>
      <c r="E42" s="802"/>
      <c r="F42" s="549">
        <f t="shared" si="5"/>
        <v>0</v>
      </c>
      <c r="G42" s="331"/>
      <c r="H42" s="332"/>
      <c r="I42" s="105">
        <f t="shared" si="2"/>
        <v>3.4994229736184934E-13</v>
      </c>
      <c r="K42" s="122"/>
      <c r="L42" s="83">
        <f t="shared" si="3"/>
        <v>43</v>
      </c>
      <c r="M42" s="15"/>
      <c r="N42" s="69"/>
      <c r="O42" s="203"/>
      <c r="P42" s="69">
        <f t="shared" si="6"/>
        <v>0</v>
      </c>
      <c r="Q42" s="70"/>
      <c r="R42" s="71"/>
      <c r="S42" s="105">
        <f t="shared" si="4"/>
        <v>511.01000000000005</v>
      </c>
    </row>
    <row r="43" spans="1:19" x14ac:dyDescent="0.25">
      <c r="A43" s="122"/>
      <c r="B43" s="83">
        <f t="shared" si="1"/>
        <v>0</v>
      </c>
      <c r="C43" s="15"/>
      <c r="D43" s="69"/>
      <c r="E43" s="203"/>
      <c r="F43" s="69">
        <f t="shared" si="5"/>
        <v>0</v>
      </c>
      <c r="G43" s="70"/>
      <c r="H43" s="71"/>
      <c r="I43" s="105">
        <f t="shared" si="2"/>
        <v>3.4994229736184934E-13</v>
      </c>
      <c r="K43" s="122"/>
      <c r="L43" s="83">
        <f t="shared" si="3"/>
        <v>43</v>
      </c>
      <c r="M43" s="15"/>
      <c r="N43" s="69"/>
      <c r="O43" s="203"/>
      <c r="P43" s="69">
        <f t="shared" si="6"/>
        <v>0</v>
      </c>
      <c r="Q43" s="70"/>
      <c r="R43" s="71"/>
      <c r="S43" s="105">
        <f t="shared" si="4"/>
        <v>511.01000000000005</v>
      </c>
    </row>
    <row r="44" spans="1:19" x14ac:dyDescent="0.25">
      <c r="A44" s="122"/>
      <c r="B44" s="83">
        <f t="shared" si="1"/>
        <v>0</v>
      </c>
      <c r="C44" s="15"/>
      <c r="D44" s="69"/>
      <c r="E44" s="203"/>
      <c r="F44" s="69">
        <f t="shared" si="5"/>
        <v>0</v>
      </c>
      <c r="G44" s="70"/>
      <c r="H44" s="71"/>
      <c r="I44" s="105">
        <f t="shared" si="2"/>
        <v>3.4994229736184934E-13</v>
      </c>
      <c r="K44" s="122"/>
      <c r="L44" s="83">
        <f t="shared" si="3"/>
        <v>43</v>
      </c>
      <c r="M44" s="15"/>
      <c r="N44" s="69"/>
      <c r="O44" s="203"/>
      <c r="P44" s="69">
        <f t="shared" si="6"/>
        <v>0</v>
      </c>
      <c r="Q44" s="70"/>
      <c r="R44" s="71"/>
      <c r="S44" s="105">
        <f t="shared" si="4"/>
        <v>511.01000000000005</v>
      </c>
    </row>
    <row r="45" spans="1:19" ht="14.25" customHeight="1" x14ac:dyDescent="0.25">
      <c r="A45" s="122"/>
      <c r="B45" s="83">
        <f t="shared" si="1"/>
        <v>0</v>
      </c>
      <c r="C45" s="15"/>
      <c r="D45" s="69"/>
      <c r="E45" s="203"/>
      <c r="F45" s="69">
        <f t="shared" si="5"/>
        <v>0</v>
      </c>
      <c r="G45" s="70"/>
      <c r="H45" s="71"/>
      <c r="I45" s="105">
        <f t="shared" si="2"/>
        <v>3.4994229736184934E-13</v>
      </c>
      <c r="K45" s="122"/>
      <c r="L45" s="83">
        <f t="shared" si="3"/>
        <v>43</v>
      </c>
      <c r="M45" s="15"/>
      <c r="N45" s="69"/>
      <c r="O45" s="203"/>
      <c r="P45" s="69">
        <f t="shared" si="6"/>
        <v>0</v>
      </c>
      <c r="Q45" s="70"/>
      <c r="R45" s="71"/>
      <c r="S45" s="105">
        <f t="shared" si="4"/>
        <v>511.01000000000005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128</v>
      </c>
      <c r="D48" s="6">
        <f>SUM(D9:D47)</f>
        <v>1504.9299999999998</v>
      </c>
      <c r="F48" s="6">
        <f>SUM(F9:F47)</f>
        <v>1516.7399999999998</v>
      </c>
      <c r="M48" s="53">
        <f>SUM(M9:M47)</f>
        <v>1</v>
      </c>
      <c r="N48" s="6">
        <f>SUM(N9:N47)</f>
        <v>11.78</v>
      </c>
      <c r="P48" s="6">
        <f>SUM(P9:P47)</f>
        <v>11.78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42</v>
      </c>
    </row>
    <row r="52" spans="3:16" ht="15.75" thickBot="1" x14ac:dyDescent="0.3"/>
    <row r="53" spans="3:16" ht="15.75" thickBot="1" x14ac:dyDescent="0.3">
      <c r="C53" s="1072" t="s">
        <v>11</v>
      </c>
      <c r="D53" s="1073"/>
      <c r="E53" s="57">
        <f>E5+E6-F48+E7</f>
        <v>-0.24999999999977263</v>
      </c>
      <c r="F53" s="73"/>
      <c r="M53" s="1072" t="s">
        <v>11</v>
      </c>
      <c r="N53" s="1073"/>
      <c r="O53" s="57">
        <f>O5+O6-P48+O7</f>
        <v>499.20000000000005</v>
      </c>
      <c r="P53" s="73"/>
    </row>
  </sheetData>
  <sortState ref="M9:R10">
    <sortCondition ref="M9:M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D1" workbookViewId="0">
      <selection activeCell="M13" sqref="M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262</v>
      </c>
      <c r="B1" s="1070"/>
      <c r="C1" s="1070"/>
      <c r="D1" s="1070"/>
      <c r="E1" s="1070"/>
      <c r="F1" s="1070"/>
      <c r="G1" s="1070"/>
      <c r="H1" s="11">
        <v>1</v>
      </c>
      <c r="K1" s="1074" t="s">
        <v>319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1077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1077" t="s">
        <v>73</v>
      </c>
      <c r="M5" s="620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1077"/>
      <c r="C6" s="400"/>
      <c r="D6" s="134"/>
      <c r="E6" s="209"/>
      <c r="F6" s="62"/>
      <c r="G6" s="47">
        <f>F42</f>
        <v>191.73000000000002</v>
      </c>
      <c r="H6" s="7">
        <f>E6-G6+E7+E5-G5+E4</f>
        <v>-1.0000000000005116E-2</v>
      </c>
      <c r="K6" s="227"/>
      <c r="L6" s="1077"/>
      <c r="M6" s="400">
        <v>85</v>
      </c>
      <c r="N6" s="134">
        <v>44853</v>
      </c>
      <c r="O6" s="209">
        <v>186.99</v>
      </c>
      <c r="P6" s="62">
        <v>16</v>
      </c>
      <c r="Q6" s="47">
        <f>P42</f>
        <v>148.68</v>
      </c>
      <c r="R6" s="7">
        <f>O6-Q6+O7+O5-Q5+O4</f>
        <v>338.7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242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37</v>
      </c>
      <c r="M9" s="15">
        <v>5</v>
      </c>
      <c r="N9" s="69">
        <v>57.97</v>
      </c>
      <c r="O9" s="203">
        <v>44858</v>
      </c>
      <c r="P9" s="69">
        <f t="shared" ref="P9:P40" si="1">N9</f>
        <v>57.97</v>
      </c>
      <c r="Q9" s="70" t="s">
        <v>549</v>
      </c>
      <c r="R9" s="71">
        <v>90</v>
      </c>
      <c r="S9" s="105">
        <f>O6-P9+O5+O7+O4</f>
        <v>429.40999999999997</v>
      </c>
    </row>
    <row r="10" spans="1:19" x14ac:dyDescent="0.25">
      <c r="A10" s="195"/>
      <c r="B10" s="83">
        <f>B9-C10</f>
        <v>6</v>
      </c>
      <c r="C10" s="73">
        <v>1</v>
      </c>
      <c r="D10" s="549">
        <v>11.68</v>
      </c>
      <c r="E10" s="802">
        <v>44837</v>
      </c>
      <c r="F10" s="973">
        <f>D10</f>
        <v>11.68</v>
      </c>
      <c r="G10" s="957" t="s">
        <v>412</v>
      </c>
      <c r="H10" s="958">
        <v>90</v>
      </c>
      <c r="I10" s="105">
        <f>I9-F10</f>
        <v>67.690000000000026</v>
      </c>
      <c r="K10" s="195"/>
      <c r="L10" s="83">
        <f>L9-M10</f>
        <v>29</v>
      </c>
      <c r="M10" s="73">
        <v>8</v>
      </c>
      <c r="N10" s="69">
        <v>90.71</v>
      </c>
      <c r="O10" s="203">
        <v>44863</v>
      </c>
      <c r="P10" s="69">
        <f t="shared" si="1"/>
        <v>90.71</v>
      </c>
      <c r="Q10" s="70" t="s">
        <v>580</v>
      </c>
      <c r="R10" s="71">
        <v>90</v>
      </c>
      <c r="S10" s="105">
        <f>S9-P10</f>
        <v>338.7</v>
      </c>
    </row>
    <row r="11" spans="1:19" x14ac:dyDescent="0.25">
      <c r="A11" s="183"/>
      <c r="B11" s="83">
        <f t="shared" ref="B11:B40" si="2">B10-C11</f>
        <v>0</v>
      </c>
      <c r="C11" s="73">
        <v>6</v>
      </c>
      <c r="D11" s="549">
        <v>67.7</v>
      </c>
      <c r="E11" s="802">
        <v>44844</v>
      </c>
      <c r="F11" s="549">
        <f>D11</f>
        <v>67.7</v>
      </c>
      <c r="G11" s="331" t="s">
        <v>461</v>
      </c>
      <c r="H11" s="332">
        <v>90</v>
      </c>
      <c r="I11" s="974">
        <f t="shared" ref="I11:I40" si="3">I10-F11</f>
        <v>-9.9999999999766942E-3</v>
      </c>
      <c r="K11" s="183"/>
      <c r="L11" s="83">
        <f t="shared" ref="L11:L40" si="4">L10-M11</f>
        <v>29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338.7</v>
      </c>
    </row>
    <row r="12" spans="1:19" x14ac:dyDescent="0.25">
      <c r="A12" s="183"/>
      <c r="B12" s="83">
        <f t="shared" si="2"/>
        <v>0</v>
      </c>
      <c r="C12" s="73"/>
      <c r="D12" s="549"/>
      <c r="E12" s="802"/>
      <c r="F12" s="973">
        <f t="shared" si="0"/>
        <v>0</v>
      </c>
      <c r="G12" s="957"/>
      <c r="H12" s="958"/>
      <c r="I12" s="974">
        <f t="shared" si="3"/>
        <v>-9.9999999999766942E-3</v>
      </c>
      <c r="K12" s="183"/>
      <c r="L12" s="83">
        <f t="shared" si="4"/>
        <v>29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338.7</v>
      </c>
    </row>
    <row r="13" spans="1:19" x14ac:dyDescent="0.25">
      <c r="A13" s="82" t="s">
        <v>33</v>
      </c>
      <c r="B13" s="83">
        <f t="shared" si="2"/>
        <v>0</v>
      </c>
      <c r="C13" s="73"/>
      <c r="D13" s="549"/>
      <c r="E13" s="802"/>
      <c r="F13" s="973">
        <f t="shared" si="0"/>
        <v>0</v>
      </c>
      <c r="G13" s="957"/>
      <c r="H13" s="958"/>
      <c r="I13" s="974">
        <f t="shared" si="3"/>
        <v>-9.9999999999766942E-3</v>
      </c>
      <c r="K13" s="82" t="s">
        <v>33</v>
      </c>
      <c r="L13" s="83">
        <f t="shared" si="4"/>
        <v>29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338.7</v>
      </c>
    </row>
    <row r="14" spans="1:19" x14ac:dyDescent="0.25">
      <c r="A14" s="73"/>
      <c r="B14" s="83">
        <f t="shared" si="2"/>
        <v>0</v>
      </c>
      <c r="C14" s="73"/>
      <c r="D14" s="549"/>
      <c r="E14" s="802"/>
      <c r="F14" s="973">
        <v>0</v>
      </c>
      <c r="G14" s="957"/>
      <c r="H14" s="958"/>
      <c r="I14" s="974">
        <f t="shared" si="3"/>
        <v>-9.9999999999766942E-3</v>
      </c>
      <c r="K14" s="73"/>
      <c r="L14" s="83">
        <f t="shared" si="4"/>
        <v>29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338.7</v>
      </c>
    </row>
    <row r="15" spans="1:19" x14ac:dyDescent="0.25">
      <c r="A15" s="73"/>
      <c r="B15" s="83">
        <f t="shared" si="2"/>
        <v>0</v>
      </c>
      <c r="C15" s="73"/>
      <c r="D15" s="549"/>
      <c r="E15" s="802"/>
      <c r="F15" s="973">
        <f t="shared" si="0"/>
        <v>0</v>
      </c>
      <c r="G15" s="957"/>
      <c r="H15" s="958"/>
      <c r="I15" s="974">
        <f t="shared" si="3"/>
        <v>-9.9999999999766942E-3</v>
      </c>
      <c r="K15" s="73"/>
      <c r="L15" s="83">
        <f t="shared" si="4"/>
        <v>29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338.7</v>
      </c>
    </row>
    <row r="16" spans="1:19" x14ac:dyDescent="0.25">
      <c r="B16" s="83">
        <f t="shared" si="2"/>
        <v>0</v>
      </c>
      <c r="C16" s="73"/>
      <c r="D16" s="549"/>
      <c r="E16" s="802"/>
      <c r="F16" s="973">
        <f t="shared" si="0"/>
        <v>0</v>
      </c>
      <c r="G16" s="957"/>
      <c r="H16" s="958"/>
      <c r="I16" s="974">
        <f t="shared" si="3"/>
        <v>-9.9999999999766942E-3</v>
      </c>
      <c r="L16" s="83">
        <f t="shared" si="4"/>
        <v>29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338.7</v>
      </c>
    </row>
    <row r="17" spans="1:19" x14ac:dyDescent="0.25">
      <c r="B17" s="83">
        <f t="shared" si="2"/>
        <v>0</v>
      </c>
      <c r="C17" s="73"/>
      <c r="D17" s="549"/>
      <c r="E17" s="802"/>
      <c r="F17" s="549">
        <f t="shared" si="0"/>
        <v>0</v>
      </c>
      <c r="G17" s="331"/>
      <c r="H17" s="332"/>
      <c r="I17" s="105">
        <f t="shared" si="3"/>
        <v>-9.9999999999766942E-3</v>
      </c>
      <c r="L17" s="83">
        <f t="shared" si="4"/>
        <v>29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338.7</v>
      </c>
    </row>
    <row r="18" spans="1:19" x14ac:dyDescent="0.25">
      <c r="A18" s="122"/>
      <c r="B18" s="83">
        <f t="shared" si="2"/>
        <v>0</v>
      </c>
      <c r="C18" s="73"/>
      <c r="D18" s="549"/>
      <c r="E18" s="802"/>
      <c r="F18" s="549">
        <f t="shared" si="0"/>
        <v>0</v>
      </c>
      <c r="G18" s="331"/>
      <c r="H18" s="332"/>
      <c r="I18" s="105">
        <f t="shared" si="3"/>
        <v>-9.9999999999766942E-3</v>
      </c>
      <c r="K18" s="122"/>
      <c r="L18" s="83">
        <f t="shared" si="4"/>
        <v>29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338.7</v>
      </c>
    </row>
    <row r="19" spans="1:19" x14ac:dyDescent="0.25">
      <c r="A19" s="122"/>
      <c r="B19" s="83">
        <f t="shared" si="2"/>
        <v>0</v>
      </c>
      <c r="C19" s="15"/>
      <c r="D19" s="549"/>
      <c r="E19" s="802"/>
      <c r="F19" s="549">
        <f t="shared" si="0"/>
        <v>0</v>
      </c>
      <c r="G19" s="331"/>
      <c r="H19" s="332"/>
      <c r="I19" s="105">
        <f t="shared" si="3"/>
        <v>-9.9999999999766942E-3</v>
      </c>
      <c r="K19" s="122"/>
      <c r="L19" s="83">
        <f t="shared" si="4"/>
        <v>29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338.7</v>
      </c>
    </row>
    <row r="20" spans="1:19" x14ac:dyDescent="0.25">
      <c r="A20" s="122"/>
      <c r="B20" s="83">
        <f t="shared" si="2"/>
        <v>0</v>
      </c>
      <c r="C20" s="15"/>
      <c r="D20" s="549"/>
      <c r="E20" s="802"/>
      <c r="F20" s="549">
        <f t="shared" si="0"/>
        <v>0</v>
      </c>
      <c r="G20" s="331"/>
      <c r="H20" s="332"/>
      <c r="I20" s="105">
        <f t="shared" si="3"/>
        <v>-9.9999999999766942E-3</v>
      </c>
      <c r="K20" s="122"/>
      <c r="L20" s="83">
        <f t="shared" si="4"/>
        <v>29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338.7</v>
      </c>
    </row>
    <row r="21" spans="1:19" x14ac:dyDescent="0.25">
      <c r="A21" s="122"/>
      <c r="B21" s="83">
        <f t="shared" si="2"/>
        <v>0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-9.9999999999766942E-3</v>
      </c>
      <c r="K21" s="122"/>
      <c r="L21" s="83">
        <f t="shared" si="4"/>
        <v>29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338.7</v>
      </c>
    </row>
    <row r="22" spans="1:19" x14ac:dyDescent="0.25">
      <c r="A22" s="122"/>
      <c r="B22" s="234">
        <f t="shared" si="2"/>
        <v>0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-9.9999999999766942E-3</v>
      </c>
      <c r="K22" s="122"/>
      <c r="L22" s="234">
        <f t="shared" si="4"/>
        <v>29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338.7</v>
      </c>
    </row>
    <row r="23" spans="1:19" x14ac:dyDescent="0.25">
      <c r="A23" s="123"/>
      <c r="B23" s="234">
        <f t="shared" si="2"/>
        <v>0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-9.9999999999766942E-3</v>
      </c>
      <c r="K23" s="123"/>
      <c r="L23" s="234">
        <f t="shared" si="4"/>
        <v>29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338.7</v>
      </c>
    </row>
    <row r="24" spans="1:19" x14ac:dyDescent="0.25">
      <c r="A24" s="122"/>
      <c r="B24" s="234">
        <f t="shared" si="2"/>
        <v>0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-9.9999999999766942E-3</v>
      </c>
      <c r="K24" s="122"/>
      <c r="L24" s="234">
        <f t="shared" si="4"/>
        <v>29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338.7</v>
      </c>
    </row>
    <row r="25" spans="1:19" x14ac:dyDescent="0.25">
      <c r="A25" s="122"/>
      <c r="B25" s="234">
        <f t="shared" si="2"/>
        <v>0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-9.9999999999766942E-3</v>
      </c>
      <c r="K25" s="122"/>
      <c r="L25" s="234">
        <f t="shared" si="4"/>
        <v>29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338.7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-9.9999999999766942E-3</v>
      </c>
      <c r="K26" s="122"/>
      <c r="L26" s="183">
        <f t="shared" si="4"/>
        <v>29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338.7</v>
      </c>
    </row>
    <row r="27" spans="1:19" x14ac:dyDescent="0.25">
      <c r="A27" s="122"/>
      <c r="B27" s="234">
        <f t="shared" si="2"/>
        <v>0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-9.9999999999766942E-3</v>
      </c>
      <c r="K27" s="122"/>
      <c r="L27" s="234">
        <f t="shared" si="4"/>
        <v>29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338.7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-9.9999999999766942E-3</v>
      </c>
      <c r="K28" s="122"/>
      <c r="L28" s="183">
        <f t="shared" si="4"/>
        <v>29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338.7</v>
      </c>
    </row>
    <row r="29" spans="1:19" x14ac:dyDescent="0.25">
      <c r="A29" s="122"/>
      <c r="B29" s="234">
        <f t="shared" si="2"/>
        <v>0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-9.9999999999766942E-3</v>
      </c>
      <c r="K29" s="122"/>
      <c r="L29" s="234">
        <f t="shared" si="4"/>
        <v>29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338.7</v>
      </c>
    </row>
    <row r="30" spans="1:19" x14ac:dyDescent="0.25">
      <c r="A30" s="122"/>
      <c r="B30" s="234">
        <f t="shared" si="2"/>
        <v>0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-9.9999999999766942E-3</v>
      </c>
      <c r="K30" s="122"/>
      <c r="L30" s="234">
        <f t="shared" si="4"/>
        <v>29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338.7</v>
      </c>
    </row>
    <row r="31" spans="1:19" x14ac:dyDescent="0.25">
      <c r="A31" s="122"/>
      <c r="B31" s="234">
        <f t="shared" si="2"/>
        <v>0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-9.9999999999766942E-3</v>
      </c>
      <c r="K31" s="122"/>
      <c r="L31" s="234">
        <f t="shared" si="4"/>
        <v>29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338.7</v>
      </c>
    </row>
    <row r="32" spans="1:19" x14ac:dyDescent="0.25">
      <c r="A32" s="122"/>
      <c r="B32" s="234">
        <f t="shared" si="2"/>
        <v>0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-9.9999999999766942E-3</v>
      </c>
      <c r="K32" s="122"/>
      <c r="L32" s="234">
        <f t="shared" si="4"/>
        <v>29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338.7</v>
      </c>
    </row>
    <row r="33" spans="1:19" x14ac:dyDescent="0.25">
      <c r="A33" s="122"/>
      <c r="B33" s="234">
        <f t="shared" si="2"/>
        <v>0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-9.9999999999766942E-3</v>
      </c>
      <c r="K33" s="122"/>
      <c r="L33" s="234">
        <f t="shared" si="4"/>
        <v>29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338.7</v>
      </c>
    </row>
    <row r="34" spans="1:19" x14ac:dyDescent="0.25">
      <c r="A34" s="122"/>
      <c r="B34" s="234">
        <f t="shared" si="2"/>
        <v>0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-9.9999999999766942E-3</v>
      </c>
      <c r="K34" s="122"/>
      <c r="L34" s="234">
        <f t="shared" si="4"/>
        <v>29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338.7</v>
      </c>
    </row>
    <row r="35" spans="1:19" x14ac:dyDescent="0.25">
      <c r="A35" s="122"/>
      <c r="B35" s="234">
        <f t="shared" si="2"/>
        <v>0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-9.9999999999766942E-3</v>
      </c>
      <c r="K35" s="122"/>
      <c r="L35" s="234">
        <f t="shared" si="4"/>
        <v>29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338.7</v>
      </c>
    </row>
    <row r="36" spans="1:19" x14ac:dyDescent="0.25">
      <c r="A36" s="122" t="s">
        <v>22</v>
      </c>
      <c r="B36" s="234">
        <f t="shared" si="2"/>
        <v>0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-9.9999999999766942E-3</v>
      </c>
      <c r="K36" s="122" t="s">
        <v>22</v>
      </c>
      <c r="L36" s="234">
        <f t="shared" si="4"/>
        <v>29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338.7</v>
      </c>
    </row>
    <row r="37" spans="1:19" x14ac:dyDescent="0.25">
      <c r="A37" s="123"/>
      <c r="B37" s="234">
        <f t="shared" si="2"/>
        <v>0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-9.9999999999766942E-3</v>
      </c>
      <c r="K37" s="123"/>
      <c r="L37" s="234">
        <f t="shared" si="4"/>
        <v>29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338.7</v>
      </c>
    </row>
    <row r="38" spans="1:19" x14ac:dyDescent="0.25">
      <c r="A38" s="122"/>
      <c r="B38" s="234">
        <f t="shared" si="2"/>
        <v>0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-9.9999999999766942E-3</v>
      </c>
      <c r="K38" s="122"/>
      <c r="L38" s="234">
        <f t="shared" si="4"/>
        <v>29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338.7</v>
      </c>
    </row>
    <row r="39" spans="1:19" x14ac:dyDescent="0.25">
      <c r="A39" s="122"/>
      <c r="B39" s="83">
        <f t="shared" si="2"/>
        <v>0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-9.9999999999766942E-3</v>
      </c>
      <c r="K39" s="122"/>
      <c r="L39" s="83">
        <f t="shared" si="4"/>
        <v>29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338.7</v>
      </c>
    </row>
    <row r="40" spans="1:19" x14ac:dyDescent="0.25">
      <c r="A40" s="122"/>
      <c r="B40" s="83">
        <f t="shared" si="2"/>
        <v>0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-9.9999999999766942E-3</v>
      </c>
      <c r="K40" s="122"/>
      <c r="L40" s="83">
        <f t="shared" si="4"/>
        <v>29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338.7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17</v>
      </c>
      <c r="D42" s="6">
        <f>SUM(D9:D41)</f>
        <v>191.73000000000002</v>
      </c>
      <c r="F42" s="6">
        <f>SUM(F9:F41)</f>
        <v>191.73000000000002</v>
      </c>
      <c r="M42" s="53">
        <f>SUM(M9:M41)</f>
        <v>13</v>
      </c>
      <c r="N42" s="6">
        <f>SUM(N9:N41)</f>
        <v>148.68</v>
      </c>
      <c r="P42" s="6">
        <f>SUM(P9:P41)</f>
        <v>148.68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-6</v>
      </c>
      <c r="N45" s="45" t="s">
        <v>4</v>
      </c>
      <c r="O45" s="56">
        <f>P5+P6-M42+P7</f>
        <v>29</v>
      </c>
    </row>
    <row r="46" spans="1:19" ht="15.75" thickBot="1" x14ac:dyDescent="0.3"/>
    <row r="47" spans="1:19" ht="15.75" thickBot="1" x14ac:dyDescent="0.3">
      <c r="C47" s="1072" t="s">
        <v>11</v>
      </c>
      <c r="D47" s="1073"/>
      <c r="E47" s="57">
        <f>E5+E6-F42+E7</f>
        <v>-70.550000000000011</v>
      </c>
      <c r="F47" s="73"/>
      <c r="M47" s="1072" t="s">
        <v>11</v>
      </c>
      <c r="N47" s="1073"/>
      <c r="O47" s="57">
        <f>O5+O6-P42+O7</f>
        <v>338.7</v>
      </c>
      <c r="P47" s="73"/>
    </row>
    <row r="50" spans="1:17" x14ac:dyDescent="0.25">
      <c r="A50" s="227"/>
      <c r="B50" s="1078"/>
      <c r="C50" s="493"/>
      <c r="D50" s="233"/>
      <c r="E50" s="78"/>
      <c r="F50" s="62"/>
      <c r="G50" s="5"/>
      <c r="K50" s="227"/>
      <c r="L50" s="1078"/>
      <c r="M50" s="493"/>
      <c r="N50" s="233"/>
      <c r="O50" s="78"/>
      <c r="P50" s="62"/>
      <c r="Q50" s="5"/>
    </row>
    <row r="51" spans="1:17" x14ac:dyDescent="0.25">
      <c r="A51" s="227"/>
      <c r="B51" s="1078"/>
      <c r="C51" s="400"/>
      <c r="D51" s="134"/>
      <c r="E51" s="209"/>
      <c r="F51" s="62"/>
      <c r="G51" s="47"/>
      <c r="K51" s="227"/>
      <c r="L51" s="1078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sortState ref="C10:H11">
    <sortCondition ref="G10:G11"/>
  </sortState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T4" sqref="T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70" t="s">
        <v>263</v>
      </c>
      <c r="B1" s="1070"/>
      <c r="C1" s="1070"/>
      <c r="D1" s="1070"/>
      <c r="E1" s="1070"/>
      <c r="F1" s="1070"/>
      <c r="G1" s="1070"/>
      <c r="H1" s="11">
        <v>1</v>
      </c>
      <c r="K1" s="1074" t="s">
        <v>260</v>
      </c>
      <c r="L1" s="1074"/>
      <c r="M1" s="1074"/>
      <c r="N1" s="1074"/>
      <c r="O1" s="1074"/>
      <c r="P1" s="1074"/>
      <c r="Q1" s="107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  <c r="K4" s="12"/>
      <c r="L4" s="12"/>
      <c r="M4" s="501"/>
      <c r="N4" s="134"/>
      <c r="O4" s="78">
        <v>24.35</v>
      </c>
      <c r="P4" s="62">
        <v>2</v>
      </c>
      <c r="Q4" s="155"/>
      <c r="R4" s="155"/>
    </row>
    <row r="5" spans="1:19" ht="15" customHeight="1" x14ac:dyDescent="0.25">
      <c r="A5" s="227" t="s">
        <v>63</v>
      </c>
      <c r="B5" s="1075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  <c r="K5" s="227" t="s">
        <v>63</v>
      </c>
      <c r="L5" s="1075" t="s">
        <v>91</v>
      </c>
      <c r="M5" s="493">
        <v>99</v>
      </c>
      <c r="N5" s="233">
        <v>44853</v>
      </c>
      <c r="O5" s="78">
        <v>1003.37</v>
      </c>
      <c r="P5" s="62">
        <v>83</v>
      </c>
      <c r="Q5" s="5"/>
    </row>
    <row r="6" spans="1:19" x14ac:dyDescent="0.25">
      <c r="A6" s="227"/>
      <c r="B6" s="1075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2000.76</v>
      </c>
      <c r="H6" s="7">
        <f>E6-G6+E7+E5-G5+E4</f>
        <v>0</v>
      </c>
      <c r="K6" s="227"/>
      <c r="L6" s="1075"/>
      <c r="M6" s="400"/>
      <c r="N6" s="134"/>
      <c r="O6" s="209"/>
      <c r="P6" s="62"/>
      <c r="Q6" s="47">
        <f>P78</f>
        <v>362.68000000000006</v>
      </c>
      <c r="R6" s="7">
        <f>O6-Q6+O7+O5-Q5+O4</f>
        <v>665.04</v>
      </c>
    </row>
    <row r="7" spans="1:19" ht="15.75" thickBot="1" x14ac:dyDescent="0.3">
      <c r="B7" s="19"/>
      <c r="C7" s="493"/>
      <c r="D7" s="134"/>
      <c r="E7" s="500"/>
      <c r="F7" s="73"/>
      <c r="L7" s="19"/>
      <c r="M7" s="493"/>
      <c r="N7" s="134"/>
      <c r="O7" s="500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196</v>
      </c>
      <c r="H9" s="71">
        <v>101</v>
      </c>
      <c r="I9" s="105">
        <f>E6-F9+E5+E7+E4</f>
        <v>1883.19</v>
      </c>
      <c r="K9" s="80" t="s">
        <v>32</v>
      </c>
      <c r="L9" s="183">
        <f>P6-M9+P5+P7+P4</f>
        <v>80</v>
      </c>
      <c r="M9" s="15">
        <v>5</v>
      </c>
      <c r="N9" s="69">
        <v>59.95</v>
      </c>
      <c r="O9" s="203">
        <v>44854</v>
      </c>
      <c r="P9" s="69">
        <f t="shared" ref="P9" si="1">N9</f>
        <v>59.95</v>
      </c>
      <c r="Q9" s="70" t="s">
        <v>530</v>
      </c>
      <c r="R9" s="71">
        <v>101</v>
      </c>
      <c r="S9" s="105">
        <f>O6-P9+O5+O7+O4</f>
        <v>967.77</v>
      </c>
    </row>
    <row r="10" spans="1:1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201</v>
      </c>
      <c r="H10" s="71">
        <v>101</v>
      </c>
      <c r="I10" s="105">
        <f>I9-F10</f>
        <v>1711.99</v>
      </c>
      <c r="K10" s="195"/>
      <c r="L10" s="183">
        <f>L9-M10</f>
        <v>70</v>
      </c>
      <c r="M10" s="15">
        <v>10</v>
      </c>
      <c r="N10" s="69">
        <v>120.12</v>
      </c>
      <c r="O10" s="203">
        <v>44858</v>
      </c>
      <c r="P10" s="69">
        <f t="shared" ref="P10:P72" si="2">N10</f>
        <v>120.12</v>
      </c>
      <c r="Q10" s="70" t="s">
        <v>549</v>
      </c>
      <c r="R10" s="71">
        <v>101</v>
      </c>
      <c r="S10" s="105">
        <f>S9-P10</f>
        <v>847.65</v>
      </c>
    </row>
    <row r="11" spans="1:19" x14ac:dyDescent="0.25">
      <c r="A11" s="183"/>
      <c r="B11" s="183">
        <f t="shared" ref="B11:B74" si="3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202</v>
      </c>
      <c r="H11" s="71">
        <v>101</v>
      </c>
      <c r="I11" s="105">
        <f t="shared" ref="I11:I74" si="4">I10-F11</f>
        <v>1700.66</v>
      </c>
      <c r="K11" s="183"/>
      <c r="L11" s="183">
        <f t="shared" ref="L11:L74" si="5">L10-M11</f>
        <v>69</v>
      </c>
      <c r="M11" s="15">
        <v>1</v>
      </c>
      <c r="N11" s="69">
        <v>12.4</v>
      </c>
      <c r="O11" s="203">
        <v>44859</v>
      </c>
      <c r="P11" s="69">
        <f t="shared" si="2"/>
        <v>12.4</v>
      </c>
      <c r="Q11" s="70" t="s">
        <v>551</v>
      </c>
      <c r="R11" s="71">
        <v>101</v>
      </c>
      <c r="S11" s="105">
        <f t="shared" ref="S11:S74" si="6">S10-P11</f>
        <v>835.25</v>
      </c>
    </row>
    <row r="12" spans="1:19" x14ac:dyDescent="0.25">
      <c r="A12" s="183"/>
      <c r="B12" s="183">
        <f t="shared" si="3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215</v>
      </c>
      <c r="H12" s="71">
        <v>101</v>
      </c>
      <c r="I12" s="105">
        <f t="shared" si="4"/>
        <v>1587.3000000000002</v>
      </c>
      <c r="K12" s="183"/>
      <c r="L12" s="183">
        <f t="shared" si="5"/>
        <v>64</v>
      </c>
      <c r="M12" s="15">
        <v>5</v>
      </c>
      <c r="N12" s="69">
        <v>61.81</v>
      </c>
      <c r="O12" s="203">
        <v>44861</v>
      </c>
      <c r="P12" s="69">
        <f t="shared" si="2"/>
        <v>61.81</v>
      </c>
      <c r="Q12" s="70" t="s">
        <v>569</v>
      </c>
      <c r="R12" s="71">
        <v>101</v>
      </c>
      <c r="S12" s="105">
        <f t="shared" si="6"/>
        <v>773.44</v>
      </c>
    </row>
    <row r="13" spans="1:19" x14ac:dyDescent="0.25">
      <c r="A13" s="82" t="s">
        <v>33</v>
      </c>
      <c r="B13" s="183">
        <f t="shared" si="3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223</v>
      </c>
      <c r="H13" s="71">
        <v>101</v>
      </c>
      <c r="I13" s="105">
        <f t="shared" si="4"/>
        <v>1575.7700000000002</v>
      </c>
      <c r="K13" s="82" t="s">
        <v>33</v>
      </c>
      <c r="L13" s="183">
        <f t="shared" si="5"/>
        <v>56</v>
      </c>
      <c r="M13" s="15">
        <v>8</v>
      </c>
      <c r="N13" s="69">
        <v>96.18</v>
      </c>
      <c r="O13" s="203">
        <v>44861</v>
      </c>
      <c r="P13" s="69">
        <f t="shared" si="2"/>
        <v>96.18</v>
      </c>
      <c r="Q13" s="70" t="s">
        <v>570</v>
      </c>
      <c r="R13" s="71">
        <v>101</v>
      </c>
      <c r="S13" s="105">
        <f t="shared" si="6"/>
        <v>677.26</v>
      </c>
    </row>
    <row r="14" spans="1:19" ht="15.75" thickBot="1" x14ac:dyDescent="0.3">
      <c r="A14" s="73"/>
      <c r="B14" s="183">
        <f t="shared" si="3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224</v>
      </c>
      <c r="H14" s="71">
        <v>101</v>
      </c>
      <c r="I14" s="105">
        <f t="shared" si="4"/>
        <v>1456.7600000000002</v>
      </c>
      <c r="K14" s="73"/>
      <c r="L14" s="183">
        <f t="shared" si="5"/>
        <v>55</v>
      </c>
      <c r="M14" s="15">
        <v>1</v>
      </c>
      <c r="N14" s="69">
        <v>12.22</v>
      </c>
      <c r="O14" s="203">
        <v>44863</v>
      </c>
      <c r="P14" s="69">
        <f t="shared" si="2"/>
        <v>12.22</v>
      </c>
      <c r="Q14" s="70" t="s">
        <v>578</v>
      </c>
      <c r="R14" s="71">
        <v>101</v>
      </c>
      <c r="S14" s="105">
        <f t="shared" si="6"/>
        <v>665.04</v>
      </c>
    </row>
    <row r="15" spans="1:19" ht="15.75" customHeight="1" x14ac:dyDescent="0.25">
      <c r="A15" s="1079" t="s">
        <v>529</v>
      </c>
      <c r="B15" s="183">
        <f t="shared" si="3"/>
        <v>112</v>
      </c>
      <c r="C15" s="767">
        <v>10</v>
      </c>
      <c r="D15" s="654">
        <v>112.97</v>
      </c>
      <c r="E15" s="655">
        <v>44826</v>
      </c>
      <c r="F15" s="654">
        <f t="shared" si="0"/>
        <v>112.97</v>
      </c>
      <c r="G15" s="656" t="s">
        <v>234</v>
      </c>
      <c r="H15" s="71">
        <v>101</v>
      </c>
      <c r="I15" s="105">
        <f t="shared" si="4"/>
        <v>1343.7900000000002</v>
      </c>
      <c r="K15" s="73"/>
      <c r="L15" s="183">
        <f t="shared" si="5"/>
        <v>55</v>
      </c>
      <c r="M15" s="978"/>
      <c r="N15" s="771"/>
      <c r="O15" s="803"/>
      <c r="P15" s="771">
        <f t="shared" si="2"/>
        <v>0</v>
      </c>
      <c r="Q15" s="769"/>
      <c r="R15" s="71"/>
      <c r="S15" s="105">
        <f t="shared" si="6"/>
        <v>665.04</v>
      </c>
    </row>
    <row r="16" spans="1:19" ht="15.75" thickBot="1" x14ac:dyDescent="0.3">
      <c r="A16" s="1080"/>
      <c r="B16" s="183">
        <f t="shared" si="3"/>
        <v>111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235</v>
      </c>
      <c r="H16" s="71">
        <v>101</v>
      </c>
      <c r="I16" s="105">
        <f t="shared" si="4"/>
        <v>1331.7600000000002</v>
      </c>
      <c r="L16" s="183">
        <f t="shared" si="5"/>
        <v>55</v>
      </c>
      <c r="M16" s="15"/>
      <c r="N16" s="69"/>
      <c r="O16" s="203"/>
      <c r="P16" s="69">
        <f t="shared" si="2"/>
        <v>0</v>
      </c>
      <c r="Q16" s="70"/>
      <c r="R16" s="71"/>
      <c r="S16" s="105">
        <f t="shared" si="6"/>
        <v>665.04</v>
      </c>
    </row>
    <row r="17" spans="1:19" x14ac:dyDescent="0.25">
      <c r="B17" s="183">
        <f t="shared" si="3"/>
        <v>101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236</v>
      </c>
      <c r="H17" s="71">
        <v>101</v>
      </c>
      <c r="I17" s="105">
        <f t="shared" si="4"/>
        <v>1219.7600000000002</v>
      </c>
      <c r="L17" s="183">
        <f t="shared" si="5"/>
        <v>55</v>
      </c>
      <c r="M17" s="15"/>
      <c r="N17" s="69"/>
      <c r="O17" s="203"/>
      <c r="P17" s="69">
        <f t="shared" si="2"/>
        <v>0</v>
      </c>
      <c r="Q17" s="70"/>
      <c r="R17" s="71"/>
      <c r="S17" s="105">
        <f t="shared" si="6"/>
        <v>665.04</v>
      </c>
    </row>
    <row r="18" spans="1:19" x14ac:dyDescent="0.25">
      <c r="A18" s="122"/>
      <c r="B18" s="183">
        <f t="shared" si="3"/>
        <v>91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250</v>
      </c>
      <c r="H18" s="71">
        <v>101</v>
      </c>
      <c r="I18" s="105">
        <f t="shared" si="4"/>
        <v>1103.7700000000002</v>
      </c>
      <c r="K18" s="122"/>
      <c r="L18" s="183">
        <f t="shared" si="5"/>
        <v>55</v>
      </c>
      <c r="M18" s="15"/>
      <c r="N18" s="69"/>
      <c r="O18" s="203"/>
      <c r="P18" s="69">
        <f t="shared" si="2"/>
        <v>0</v>
      </c>
      <c r="Q18" s="70"/>
      <c r="R18" s="71"/>
      <c r="S18" s="105">
        <f t="shared" si="6"/>
        <v>665.04</v>
      </c>
    </row>
    <row r="19" spans="1:19" x14ac:dyDescent="0.25">
      <c r="A19" s="122"/>
      <c r="B19" s="183">
        <f t="shared" si="3"/>
        <v>81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255</v>
      </c>
      <c r="H19" s="71">
        <v>101</v>
      </c>
      <c r="I19" s="105">
        <f t="shared" si="4"/>
        <v>982.72000000000025</v>
      </c>
      <c r="K19" s="122"/>
      <c r="L19" s="183">
        <f t="shared" si="5"/>
        <v>55</v>
      </c>
      <c r="M19" s="15"/>
      <c r="N19" s="69"/>
      <c r="O19" s="203"/>
      <c r="P19" s="69">
        <f t="shared" si="2"/>
        <v>0</v>
      </c>
      <c r="Q19" s="70"/>
      <c r="R19" s="71"/>
      <c r="S19" s="105">
        <f t="shared" si="6"/>
        <v>665.04</v>
      </c>
    </row>
    <row r="20" spans="1:19" x14ac:dyDescent="0.25">
      <c r="A20" s="122"/>
      <c r="B20" s="183">
        <f t="shared" si="3"/>
        <v>71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259</v>
      </c>
      <c r="H20" s="71">
        <v>101</v>
      </c>
      <c r="I20" s="105">
        <f t="shared" si="4"/>
        <v>858.14000000000021</v>
      </c>
      <c r="K20" s="122"/>
      <c r="L20" s="183">
        <f t="shared" si="5"/>
        <v>55</v>
      </c>
      <c r="M20" s="15"/>
      <c r="N20" s="69"/>
      <c r="O20" s="203"/>
      <c r="P20" s="69">
        <f t="shared" si="2"/>
        <v>0</v>
      </c>
      <c r="Q20" s="70"/>
      <c r="R20" s="71"/>
      <c r="S20" s="105">
        <f t="shared" si="6"/>
        <v>665.04</v>
      </c>
    </row>
    <row r="21" spans="1:19" x14ac:dyDescent="0.25">
      <c r="A21" s="122"/>
      <c r="B21" s="183">
        <f t="shared" si="3"/>
        <v>70</v>
      </c>
      <c r="C21" s="15">
        <v>1</v>
      </c>
      <c r="D21" s="549">
        <v>12.49</v>
      </c>
      <c r="E21" s="802">
        <v>44837</v>
      </c>
      <c r="F21" s="549">
        <f t="shared" si="0"/>
        <v>12.49</v>
      </c>
      <c r="G21" s="331" t="s">
        <v>412</v>
      </c>
      <c r="H21" s="332">
        <v>101</v>
      </c>
      <c r="I21" s="105">
        <f t="shared" si="4"/>
        <v>845.6500000000002</v>
      </c>
      <c r="K21" s="122"/>
      <c r="L21" s="183">
        <f t="shared" si="5"/>
        <v>55</v>
      </c>
      <c r="M21" s="15"/>
      <c r="N21" s="549"/>
      <c r="O21" s="802"/>
      <c r="P21" s="549">
        <f t="shared" si="2"/>
        <v>0</v>
      </c>
      <c r="Q21" s="331"/>
      <c r="R21" s="332"/>
      <c r="S21" s="105">
        <f t="shared" si="6"/>
        <v>665.04</v>
      </c>
    </row>
    <row r="22" spans="1:19" x14ac:dyDescent="0.25">
      <c r="A22" s="122"/>
      <c r="B22" s="183">
        <f t="shared" si="3"/>
        <v>60</v>
      </c>
      <c r="C22" s="15">
        <v>10</v>
      </c>
      <c r="D22" s="549">
        <v>124.17</v>
      </c>
      <c r="E22" s="802">
        <v>44838</v>
      </c>
      <c r="F22" s="549">
        <f t="shared" si="0"/>
        <v>124.17</v>
      </c>
      <c r="G22" s="331" t="s">
        <v>421</v>
      </c>
      <c r="H22" s="332">
        <v>101</v>
      </c>
      <c r="I22" s="105">
        <f t="shared" si="4"/>
        <v>721.48000000000025</v>
      </c>
      <c r="K22" s="122"/>
      <c r="L22" s="183">
        <f t="shared" si="5"/>
        <v>55</v>
      </c>
      <c r="M22" s="15"/>
      <c r="N22" s="549"/>
      <c r="O22" s="802"/>
      <c r="P22" s="549">
        <f t="shared" si="2"/>
        <v>0</v>
      </c>
      <c r="Q22" s="331"/>
      <c r="R22" s="332"/>
      <c r="S22" s="105">
        <f t="shared" si="6"/>
        <v>665.04</v>
      </c>
    </row>
    <row r="23" spans="1:19" x14ac:dyDescent="0.25">
      <c r="A23" s="123"/>
      <c r="B23" s="183">
        <f t="shared" si="3"/>
        <v>50</v>
      </c>
      <c r="C23" s="15">
        <v>10</v>
      </c>
      <c r="D23" s="549">
        <v>125.51</v>
      </c>
      <c r="E23" s="802">
        <v>44840</v>
      </c>
      <c r="F23" s="549">
        <f t="shared" si="0"/>
        <v>125.51</v>
      </c>
      <c r="G23" s="331" t="s">
        <v>430</v>
      </c>
      <c r="H23" s="332">
        <v>101</v>
      </c>
      <c r="I23" s="105">
        <f t="shared" si="4"/>
        <v>595.97000000000025</v>
      </c>
      <c r="K23" s="123"/>
      <c r="L23" s="183">
        <f t="shared" si="5"/>
        <v>55</v>
      </c>
      <c r="M23" s="15"/>
      <c r="N23" s="549"/>
      <c r="O23" s="802"/>
      <c r="P23" s="549">
        <f t="shared" si="2"/>
        <v>0</v>
      </c>
      <c r="Q23" s="331"/>
      <c r="R23" s="332"/>
      <c r="S23" s="105">
        <f t="shared" si="6"/>
        <v>665.04</v>
      </c>
    </row>
    <row r="24" spans="1:19" x14ac:dyDescent="0.25">
      <c r="A24" s="122"/>
      <c r="B24" s="183">
        <f t="shared" si="3"/>
        <v>40</v>
      </c>
      <c r="C24" s="15">
        <v>10</v>
      </c>
      <c r="D24" s="549">
        <v>116.67</v>
      </c>
      <c r="E24" s="802">
        <v>44844</v>
      </c>
      <c r="F24" s="549">
        <f t="shared" si="0"/>
        <v>116.67</v>
      </c>
      <c r="G24" s="331" t="s">
        <v>446</v>
      </c>
      <c r="H24" s="332">
        <v>101</v>
      </c>
      <c r="I24" s="105">
        <f t="shared" si="4"/>
        <v>479.30000000000024</v>
      </c>
      <c r="K24" s="122"/>
      <c r="L24" s="183">
        <f t="shared" si="5"/>
        <v>55</v>
      </c>
      <c r="M24" s="15"/>
      <c r="N24" s="549"/>
      <c r="O24" s="802"/>
      <c r="P24" s="549">
        <f t="shared" si="2"/>
        <v>0</v>
      </c>
      <c r="Q24" s="331"/>
      <c r="R24" s="332"/>
      <c r="S24" s="105">
        <f t="shared" si="6"/>
        <v>665.04</v>
      </c>
    </row>
    <row r="25" spans="1:19" x14ac:dyDescent="0.25">
      <c r="A25" s="122"/>
      <c r="B25" s="183">
        <f t="shared" si="3"/>
        <v>30</v>
      </c>
      <c r="C25" s="15">
        <v>10</v>
      </c>
      <c r="D25" s="549">
        <v>119.55</v>
      </c>
      <c r="E25" s="802">
        <v>44844</v>
      </c>
      <c r="F25" s="549">
        <f t="shared" si="0"/>
        <v>119.55</v>
      </c>
      <c r="G25" s="331" t="s">
        <v>461</v>
      </c>
      <c r="H25" s="332">
        <v>101</v>
      </c>
      <c r="I25" s="105">
        <f t="shared" si="4"/>
        <v>359.75000000000023</v>
      </c>
      <c r="K25" s="122"/>
      <c r="L25" s="183">
        <f t="shared" si="5"/>
        <v>55</v>
      </c>
      <c r="M25" s="15"/>
      <c r="N25" s="549"/>
      <c r="O25" s="802"/>
      <c r="P25" s="549">
        <f t="shared" si="2"/>
        <v>0</v>
      </c>
      <c r="Q25" s="331"/>
      <c r="R25" s="332"/>
      <c r="S25" s="105">
        <f t="shared" si="6"/>
        <v>665.04</v>
      </c>
    </row>
    <row r="26" spans="1:19" x14ac:dyDescent="0.25">
      <c r="A26" s="122"/>
      <c r="B26" s="183">
        <f t="shared" si="3"/>
        <v>20</v>
      </c>
      <c r="C26" s="15">
        <v>10</v>
      </c>
      <c r="D26" s="549">
        <v>116.47</v>
      </c>
      <c r="E26" s="802">
        <v>44846</v>
      </c>
      <c r="F26" s="549">
        <f t="shared" si="0"/>
        <v>116.47</v>
      </c>
      <c r="G26" s="331" t="s">
        <v>474</v>
      </c>
      <c r="H26" s="332">
        <v>101</v>
      </c>
      <c r="I26" s="105">
        <f t="shared" si="4"/>
        <v>243.28000000000023</v>
      </c>
      <c r="K26" s="122"/>
      <c r="L26" s="183">
        <f t="shared" si="5"/>
        <v>55</v>
      </c>
      <c r="M26" s="15"/>
      <c r="N26" s="549"/>
      <c r="O26" s="802"/>
      <c r="P26" s="549">
        <f t="shared" si="2"/>
        <v>0</v>
      </c>
      <c r="Q26" s="331"/>
      <c r="R26" s="332"/>
      <c r="S26" s="105">
        <f t="shared" si="6"/>
        <v>665.04</v>
      </c>
    </row>
    <row r="27" spans="1:19" x14ac:dyDescent="0.25">
      <c r="A27" s="122"/>
      <c r="B27" s="183">
        <f t="shared" si="3"/>
        <v>15</v>
      </c>
      <c r="C27" s="15">
        <v>5</v>
      </c>
      <c r="D27" s="549">
        <v>60.77</v>
      </c>
      <c r="E27" s="802">
        <v>44851</v>
      </c>
      <c r="F27" s="549">
        <f t="shared" si="0"/>
        <v>60.77</v>
      </c>
      <c r="G27" s="331" t="s">
        <v>506</v>
      </c>
      <c r="H27" s="332">
        <v>101</v>
      </c>
      <c r="I27" s="105">
        <f t="shared" si="4"/>
        <v>182.51000000000022</v>
      </c>
      <c r="K27" s="122"/>
      <c r="L27" s="183">
        <f t="shared" si="5"/>
        <v>55</v>
      </c>
      <c r="M27" s="15"/>
      <c r="N27" s="549"/>
      <c r="O27" s="802"/>
      <c r="P27" s="549">
        <f t="shared" si="2"/>
        <v>0</v>
      </c>
      <c r="Q27" s="331"/>
      <c r="R27" s="332"/>
      <c r="S27" s="105">
        <f t="shared" si="6"/>
        <v>665.04</v>
      </c>
    </row>
    <row r="28" spans="1:19" x14ac:dyDescent="0.25">
      <c r="A28" s="122"/>
      <c r="B28" s="183">
        <f t="shared" si="3"/>
        <v>14</v>
      </c>
      <c r="C28" s="15">
        <v>1</v>
      </c>
      <c r="D28" s="549">
        <v>11.51</v>
      </c>
      <c r="E28" s="802">
        <v>44854</v>
      </c>
      <c r="F28" s="549">
        <f t="shared" si="0"/>
        <v>11.51</v>
      </c>
      <c r="G28" s="331" t="s">
        <v>524</v>
      </c>
      <c r="H28" s="332">
        <v>101</v>
      </c>
      <c r="I28" s="105">
        <f t="shared" si="4"/>
        <v>171.00000000000023</v>
      </c>
      <c r="K28" s="122"/>
      <c r="L28" s="183">
        <f t="shared" si="5"/>
        <v>55</v>
      </c>
      <c r="M28" s="15"/>
      <c r="N28" s="549"/>
      <c r="O28" s="802"/>
      <c r="P28" s="549">
        <f t="shared" si="2"/>
        <v>0</v>
      </c>
      <c r="Q28" s="331"/>
      <c r="R28" s="332"/>
      <c r="S28" s="105">
        <f t="shared" si="6"/>
        <v>665.04</v>
      </c>
    </row>
    <row r="29" spans="1:19" x14ac:dyDescent="0.25">
      <c r="A29" s="122"/>
      <c r="B29" s="183">
        <f t="shared" si="3"/>
        <v>2</v>
      </c>
      <c r="C29" s="15">
        <v>12</v>
      </c>
      <c r="D29" s="549">
        <v>146.65</v>
      </c>
      <c r="E29" s="802">
        <v>44854</v>
      </c>
      <c r="F29" s="549">
        <f t="shared" si="0"/>
        <v>146.65</v>
      </c>
      <c r="G29" s="331" t="s">
        <v>528</v>
      </c>
      <c r="H29" s="332">
        <v>101</v>
      </c>
      <c r="I29" s="105">
        <f t="shared" si="4"/>
        <v>24.350000000000222</v>
      </c>
      <c r="K29" s="122"/>
      <c r="L29" s="183">
        <f t="shared" si="5"/>
        <v>55</v>
      </c>
      <c r="M29" s="15"/>
      <c r="N29" s="549"/>
      <c r="O29" s="802"/>
      <c r="P29" s="549">
        <f t="shared" si="2"/>
        <v>0</v>
      </c>
      <c r="Q29" s="331"/>
      <c r="R29" s="332"/>
      <c r="S29" s="105">
        <f t="shared" si="6"/>
        <v>665.04</v>
      </c>
    </row>
    <row r="30" spans="1:19" x14ac:dyDescent="0.25">
      <c r="A30" s="122"/>
      <c r="B30" s="183">
        <f t="shared" si="3"/>
        <v>2</v>
      </c>
      <c r="C30" s="15"/>
      <c r="D30" s="549"/>
      <c r="E30" s="802"/>
      <c r="F30" s="973">
        <f t="shared" si="0"/>
        <v>0</v>
      </c>
      <c r="G30" s="957"/>
      <c r="H30" s="958"/>
      <c r="I30" s="974">
        <f t="shared" si="4"/>
        <v>24.350000000000222</v>
      </c>
      <c r="K30" s="122"/>
      <c r="L30" s="183">
        <f t="shared" si="5"/>
        <v>55</v>
      </c>
      <c r="M30" s="15"/>
      <c r="N30" s="549"/>
      <c r="O30" s="802"/>
      <c r="P30" s="549">
        <f t="shared" si="2"/>
        <v>0</v>
      </c>
      <c r="Q30" s="331"/>
      <c r="R30" s="332"/>
      <c r="S30" s="105">
        <f t="shared" si="6"/>
        <v>665.04</v>
      </c>
    </row>
    <row r="31" spans="1:19" x14ac:dyDescent="0.25">
      <c r="A31" s="122"/>
      <c r="B31" s="183">
        <f t="shared" si="3"/>
        <v>2</v>
      </c>
      <c r="C31" s="15"/>
      <c r="D31" s="549"/>
      <c r="E31" s="802"/>
      <c r="F31" s="973">
        <f t="shared" si="0"/>
        <v>0</v>
      </c>
      <c r="G31" s="957"/>
      <c r="H31" s="958"/>
      <c r="I31" s="974">
        <f t="shared" si="4"/>
        <v>24.350000000000222</v>
      </c>
      <c r="K31" s="122"/>
      <c r="L31" s="183">
        <f t="shared" si="5"/>
        <v>55</v>
      </c>
      <c r="M31" s="15"/>
      <c r="N31" s="549"/>
      <c r="O31" s="802"/>
      <c r="P31" s="549">
        <f t="shared" si="2"/>
        <v>0</v>
      </c>
      <c r="Q31" s="331"/>
      <c r="R31" s="332"/>
      <c r="S31" s="105">
        <f t="shared" si="6"/>
        <v>665.04</v>
      </c>
    </row>
    <row r="32" spans="1:19" x14ac:dyDescent="0.25">
      <c r="A32" s="122"/>
      <c r="B32" s="183">
        <f t="shared" si="3"/>
        <v>0</v>
      </c>
      <c r="C32" s="15">
        <v>2</v>
      </c>
      <c r="D32" s="549"/>
      <c r="E32" s="802"/>
      <c r="F32" s="973">
        <v>24.35</v>
      </c>
      <c r="G32" s="957"/>
      <c r="H32" s="958"/>
      <c r="I32" s="974">
        <f t="shared" si="4"/>
        <v>2.2026824808563106E-13</v>
      </c>
      <c r="K32" s="122"/>
      <c r="L32" s="183">
        <f t="shared" si="5"/>
        <v>55</v>
      </c>
      <c r="M32" s="15"/>
      <c r="N32" s="549"/>
      <c r="O32" s="802"/>
      <c r="P32" s="549">
        <f t="shared" si="2"/>
        <v>0</v>
      </c>
      <c r="Q32" s="331"/>
      <c r="R32" s="332"/>
      <c r="S32" s="105">
        <f t="shared" si="6"/>
        <v>665.04</v>
      </c>
    </row>
    <row r="33" spans="1:19" x14ac:dyDescent="0.25">
      <c r="A33" s="122"/>
      <c r="B33" s="183">
        <f t="shared" si="3"/>
        <v>0</v>
      </c>
      <c r="C33" s="15"/>
      <c r="D33" s="549"/>
      <c r="E33" s="802"/>
      <c r="F33" s="973">
        <f t="shared" si="0"/>
        <v>0</v>
      </c>
      <c r="G33" s="957"/>
      <c r="H33" s="958"/>
      <c r="I33" s="974">
        <f t="shared" si="4"/>
        <v>2.2026824808563106E-13</v>
      </c>
      <c r="K33" s="122"/>
      <c r="L33" s="183">
        <f t="shared" si="5"/>
        <v>55</v>
      </c>
      <c r="M33" s="15"/>
      <c r="N33" s="549"/>
      <c r="O33" s="802"/>
      <c r="P33" s="549">
        <f t="shared" si="2"/>
        <v>0</v>
      </c>
      <c r="Q33" s="331"/>
      <c r="R33" s="332"/>
      <c r="S33" s="105">
        <f t="shared" si="6"/>
        <v>665.04</v>
      </c>
    </row>
    <row r="34" spans="1:19" x14ac:dyDescent="0.25">
      <c r="A34" s="122"/>
      <c r="B34" s="183">
        <f t="shared" si="3"/>
        <v>0</v>
      </c>
      <c r="C34" s="15"/>
      <c r="D34" s="549"/>
      <c r="E34" s="802"/>
      <c r="F34" s="973">
        <f t="shared" si="0"/>
        <v>0</v>
      </c>
      <c r="G34" s="957"/>
      <c r="H34" s="958"/>
      <c r="I34" s="974">
        <f t="shared" si="4"/>
        <v>2.2026824808563106E-13</v>
      </c>
      <c r="K34" s="122"/>
      <c r="L34" s="183">
        <f t="shared" si="5"/>
        <v>55</v>
      </c>
      <c r="M34" s="15"/>
      <c r="N34" s="549"/>
      <c r="O34" s="802"/>
      <c r="P34" s="549">
        <f t="shared" si="2"/>
        <v>0</v>
      </c>
      <c r="Q34" s="331"/>
      <c r="R34" s="332"/>
      <c r="S34" s="105">
        <f t="shared" si="6"/>
        <v>665.04</v>
      </c>
    </row>
    <row r="35" spans="1:19" x14ac:dyDescent="0.25">
      <c r="A35" s="122"/>
      <c r="B35" s="183">
        <f t="shared" si="3"/>
        <v>0</v>
      </c>
      <c r="C35" s="15"/>
      <c r="D35" s="549"/>
      <c r="E35" s="802"/>
      <c r="F35" s="549">
        <f t="shared" si="0"/>
        <v>0</v>
      </c>
      <c r="G35" s="331"/>
      <c r="H35" s="332"/>
      <c r="I35" s="105">
        <f t="shared" si="4"/>
        <v>2.2026824808563106E-13</v>
      </c>
      <c r="K35" s="122"/>
      <c r="L35" s="183">
        <f t="shared" si="5"/>
        <v>55</v>
      </c>
      <c r="M35" s="15"/>
      <c r="N35" s="549"/>
      <c r="O35" s="802"/>
      <c r="P35" s="549">
        <f t="shared" si="2"/>
        <v>0</v>
      </c>
      <c r="Q35" s="331"/>
      <c r="R35" s="332"/>
      <c r="S35" s="105">
        <f t="shared" si="6"/>
        <v>665.04</v>
      </c>
    </row>
    <row r="36" spans="1:19" x14ac:dyDescent="0.25">
      <c r="A36" s="122" t="s">
        <v>22</v>
      </c>
      <c r="B36" s="183">
        <f t="shared" si="3"/>
        <v>0</v>
      </c>
      <c r="C36" s="15"/>
      <c r="D36" s="549"/>
      <c r="E36" s="802"/>
      <c r="F36" s="549">
        <f t="shared" si="0"/>
        <v>0</v>
      </c>
      <c r="G36" s="331"/>
      <c r="H36" s="332"/>
      <c r="I36" s="105">
        <f t="shared" si="4"/>
        <v>2.2026824808563106E-13</v>
      </c>
      <c r="K36" s="122" t="s">
        <v>22</v>
      </c>
      <c r="L36" s="183">
        <f t="shared" si="5"/>
        <v>55</v>
      </c>
      <c r="M36" s="15"/>
      <c r="N36" s="549"/>
      <c r="O36" s="802"/>
      <c r="P36" s="549">
        <f t="shared" si="2"/>
        <v>0</v>
      </c>
      <c r="Q36" s="331"/>
      <c r="R36" s="332"/>
      <c r="S36" s="105">
        <f t="shared" si="6"/>
        <v>665.04</v>
      </c>
    </row>
    <row r="37" spans="1:19" x14ac:dyDescent="0.25">
      <c r="A37" s="123"/>
      <c r="B37" s="183">
        <f t="shared" si="3"/>
        <v>0</v>
      </c>
      <c r="C37" s="15"/>
      <c r="D37" s="549"/>
      <c r="E37" s="802"/>
      <c r="F37" s="549">
        <f t="shared" si="0"/>
        <v>0</v>
      </c>
      <c r="G37" s="331"/>
      <c r="H37" s="332"/>
      <c r="I37" s="105">
        <f t="shared" si="4"/>
        <v>2.2026824808563106E-13</v>
      </c>
      <c r="K37" s="123"/>
      <c r="L37" s="183">
        <f t="shared" si="5"/>
        <v>55</v>
      </c>
      <c r="M37" s="15"/>
      <c r="N37" s="549"/>
      <c r="O37" s="802"/>
      <c r="P37" s="549">
        <f t="shared" si="2"/>
        <v>0</v>
      </c>
      <c r="Q37" s="331"/>
      <c r="R37" s="332"/>
      <c r="S37" s="105">
        <f t="shared" si="6"/>
        <v>665.04</v>
      </c>
    </row>
    <row r="38" spans="1:19" x14ac:dyDescent="0.25">
      <c r="A38" s="122"/>
      <c r="B38" s="183">
        <f t="shared" si="3"/>
        <v>0</v>
      </c>
      <c r="C38" s="15"/>
      <c r="D38" s="549"/>
      <c r="E38" s="802"/>
      <c r="F38" s="549">
        <f t="shared" si="0"/>
        <v>0</v>
      </c>
      <c r="G38" s="331"/>
      <c r="H38" s="332"/>
      <c r="I38" s="105">
        <f t="shared" si="4"/>
        <v>2.2026824808563106E-13</v>
      </c>
      <c r="K38" s="122"/>
      <c r="L38" s="183">
        <f t="shared" si="5"/>
        <v>55</v>
      </c>
      <c r="M38" s="15"/>
      <c r="N38" s="549"/>
      <c r="O38" s="802"/>
      <c r="P38" s="549">
        <f t="shared" si="2"/>
        <v>0</v>
      </c>
      <c r="Q38" s="331"/>
      <c r="R38" s="332"/>
      <c r="S38" s="105">
        <f t="shared" si="6"/>
        <v>665.04</v>
      </c>
    </row>
    <row r="39" spans="1:19" x14ac:dyDescent="0.25">
      <c r="A39" s="122"/>
      <c r="B39" s="183">
        <f t="shared" si="3"/>
        <v>0</v>
      </c>
      <c r="C39" s="15"/>
      <c r="D39" s="549"/>
      <c r="E39" s="802"/>
      <c r="F39" s="549">
        <f t="shared" si="0"/>
        <v>0</v>
      </c>
      <c r="G39" s="331"/>
      <c r="H39" s="332"/>
      <c r="I39" s="105">
        <f t="shared" si="4"/>
        <v>2.2026824808563106E-13</v>
      </c>
      <c r="K39" s="122"/>
      <c r="L39" s="183">
        <f t="shared" si="5"/>
        <v>55</v>
      </c>
      <c r="M39" s="15"/>
      <c r="N39" s="549"/>
      <c r="O39" s="802"/>
      <c r="P39" s="549">
        <f t="shared" si="2"/>
        <v>0</v>
      </c>
      <c r="Q39" s="331"/>
      <c r="R39" s="332"/>
      <c r="S39" s="105">
        <f t="shared" si="6"/>
        <v>665.04</v>
      </c>
    </row>
    <row r="40" spans="1:19" x14ac:dyDescent="0.25">
      <c r="A40" s="122"/>
      <c r="B40" s="183">
        <f t="shared" si="3"/>
        <v>0</v>
      </c>
      <c r="C40" s="15"/>
      <c r="D40" s="549"/>
      <c r="E40" s="802"/>
      <c r="F40" s="549">
        <f t="shared" si="0"/>
        <v>0</v>
      </c>
      <c r="G40" s="331"/>
      <c r="H40" s="332"/>
      <c r="I40" s="105">
        <f t="shared" si="4"/>
        <v>2.2026824808563106E-13</v>
      </c>
      <c r="K40" s="122"/>
      <c r="L40" s="183">
        <f t="shared" si="5"/>
        <v>55</v>
      </c>
      <c r="M40" s="15"/>
      <c r="N40" s="549"/>
      <c r="O40" s="802"/>
      <c r="P40" s="549">
        <f t="shared" si="2"/>
        <v>0</v>
      </c>
      <c r="Q40" s="331"/>
      <c r="R40" s="332"/>
      <c r="S40" s="105">
        <f t="shared" si="6"/>
        <v>665.04</v>
      </c>
    </row>
    <row r="41" spans="1:19" x14ac:dyDescent="0.25">
      <c r="A41" s="122"/>
      <c r="B41" s="183">
        <f t="shared" si="3"/>
        <v>0</v>
      </c>
      <c r="C41" s="15"/>
      <c r="D41" s="549"/>
      <c r="E41" s="802"/>
      <c r="F41" s="549">
        <f t="shared" si="0"/>
        <v>0</v>
      </c>
      <c r="G41" s="331"/>
      <c r="H41" s="332"/>
      <c r="I41" s="105">
        <f t="shared" si="4"/>
        <v>2.2026824808563106E-13</v>
      </c>
      <c r="K41" s="122"/>
      <c r="L41" s="183">
        <f t="shared" si="5"/>
        <v>55</v>
      </c>
      <c r="M41" s="15"/>
      <c r="N41" s="549"/>
      <c r="O41" s="802"/>
      <c r="P41" s="549">
        <f t="shared" si="2"/>
        <v>0</v>
      </c>
      <c r="Q41" s="331"/>
      <c r="R41" s="332"/>
      <c r="S41" s="105">
        <f t="shared" si="6"/>
        <v>665.04</v>
      </c>
    </row>
    <row r="42" spans="1:19" x14ac:dyDescent="0.25">
      <c r="A42" s="122"/>
      <c r="B42" s="183">
        <f t="shared" si="3"/>
        <v>0</v>
      </c>
      <c r="C42" s="15"/>
      <c r="D42" s="549"/>
      <c r="E42" s="802"/>
      <c r="F42" s="549">
        <f t="shared" si="0"/>
        <v>0</v>
      </c>
      <c r="G42" s="331"/>
      <c r="H42" s="332"/>
      <c r="I42" s="105">
        <f t="shared" si="4"/>
        <v>2.2026824808563106E-13</v>
      </c>
      <c r="K42" s="122"/>
      <c r="L42" s="183">
        <f t="shared" si="5"/>
        <v>55</v>
      </c>
      <c r="M42" s="15"/>
      <c r="N42" s="549"/>
      <c r="O42" s="802"/>
      <c r="P42" s="549">
        <f t="shared" si="2"/>
        <v>0</v>
      </c>
      <c r="Q42" s="331"/>
      <c r="R42" s="332"/>
      <c r="S42" s="105">
        <f t="shared" si="6"/>
        <v>665.04</v>
      </c>
    </row>
    <row r="43" spans="1:19" x14ac:dyDescent="0.25">
      <c r="A43" s="122"/>
      <c r="B43" s="183">
        <f t="shared" si="3"/>
        <v>0</v>
      </c>
      <c r="C43" s="15"/>
      <c r="D43" s="549"/>
      <c r="E43" s="802"/>
      <c r="F43" s="549">
        <f t="shared" si="0"/>
        <v>0</v>
      </c>
      <c r="G43" s="331"/>
      <c r="H43" s="332"/>
      <c r="I43" s="105">
        <f t="shared" si="4"/>
        <v>2.2026824808563106E-13</v>
      </c>
      <c r="K43" s="122"/>
      <c r="L43" s="183">
        <f t="shared" si="5"/>
        <v>55</v>
      </c>
      <c r="M43" s="15"/>
      <c r="N43" s="549"/>
      <c r="O43" s="802"/>
      <c r="P43" s="549">
        <f t="shared" si="2"/>
        <v>0</v>
      </c>
      <c r="Q43" s="331"/>
      <c r="R43" s="332"/>
      <c r="S43" s="105">
        <f t="shared" si="6"/>
        <v>665.04</v>
      </c>
    </row>
    <row r="44" spans="1:19" x14ac:dyDescent="0.25">
      <c r="A44" s="122"/>
      <c r="B44" s="183">
        <f t="shared" si="3"/>
        <v>0</v>
      </c>
      <c r="C44" s="15"/>
      <c r="D44" s="549"/>
      <c r="E44" s="802"/>
      <c r="F44" s="549">
        <f t="shared" si="0"/>
        <v>0</v>
      </c>
      <c r="G44" s="331"/>
      <c r="H44" s="332"/>
      <c r="I44" s="105">
        <f t="shared" si="4"/>
        <v>2.2026824808563106E-13</v>
      </c>
      <c r="K44" s="122"/>
      <c r="L44" s="183">
        <f t="shared" si="5"/>
        <v>55</v>
      </c>
      <c r="M44" s="15"/>
      <c r="N44" s="549"/>
      <c r="O44" s="802"/>
      <c r="P44" s="549">
        <f t="shared" si="2"/>
        <v>0</v>
      </c>
      <c r="Q44" s="331"/>
      <c r="R44" s="332"/>
      <c r="S44" s="105">
        <f t="shared" si="6"/>
        <v>665.04</v>
      </c>
    </row>
    <row r="45" spans="1:19" x14ac:dyDescent="0.25">
      <c r="A45" s="122"/>
      <c r="B45" s="183">
        <f t="shared" si="3"/>
        <v>0</v>
      </c>
      <c r="C45" s="15"/>
      <c r="D45" s="549"/>
      <c r="E45" s="802"/>
      <c r="F45" s="549">
        <f t="shared" si="0"/>
        <v>0</v>
      </c>
      <c r="G45" s="331"/>
      <c r="H45" s="332"/>
      <c r="I45" s="105">
        <f t="shared" si="4"/>
        <v>2.2026824808563106E-13</v>
      </c>
      <c r="K45" s="122"/>
      <c r="L45" s="183">
        <f t="shared" si="5"/>
        <v>55</v>
      </c>
      <c r="M45" s="15"/>
      <c r="N45" s="549"/>
      <c r="O45" s="802"/>
      <c r="P45" s="549">
        <f t="shared" si="2"/>
        <v>0</v>
      </c>
      <c r="Q45" s="331"/>
      <c r="R45" s="332"/>
      <c r="S45" s="105">
        <f t="shared" si="6"/>
        <v>665.04</v>
      </c>
    </row>
    <row r="46" spans="1:19" x14ac:dyDescent="0.25">
      <c r="A46" s="122"/>
      <c r="B46" s="183">
        <f t="shared" si="3"/>
        <v>0</v>
      </c>
      <c r="C46" s="15"/>
      <c r="D46" s="549"/>
      <c r="E46" s="802"/>
      <c r="F46" s="549">
        <f t="shared" si="0"/>
        <v>0</v>
      </c>
      <c r="G46" s="331"/>
      <c r="H46" s="332"/>
      <c r="I46" s="105">
        <f t="shared" si="4"/>
        <v>2.2026824808563106E-13</v>
      </c>
      <c r="K46" s="122"/>
      <c r="L46" s="183">
        <f t="shared" si="5"/>
        <v>55</v>
      </c>
      <c r="M46" s="15"/>
      <c r="N46" s="549"/>
      <c r="O46" s="802"/>
      <c r="P46" s="549">
        <f t="shared" si="2"/>
        <v>0</v>
      </c>
      <c r="Q46" s="331"/>
      <c r="R46" s="332"/>
      <c r="S46" s="105">
        <f t="shared" si="6"/>
        <v>665.04</v>
      </c>
    </row>
    <row r="47" spans="1:19" x14ac:dyDescent="0.25">
      <c r="A47" s="122"/>
      <c r="B47" s="183">
        <f t="shared" si="3"/>
        <v>0</v>
      </c>
      <c r="C47" s="15"/>
      <c r="D47" s="549"/>
      <c r="E47" s="802"/>
      <c r="F47" s="549">
        <f t="shared" si="0"/>
        <v>0</v>
      </c>
      <c r="G47" s="331"/>
      <c r="H47" s="332"/>
      <c r="I47" s="105">
        <f t="shared" si="4"/>
        <v>2.2026824808563106E-13</v>
      </c>
      <c r="K47" s="122"/>
      <c r="L47" s="183">
        <f t="shared" si="5"/>
        <v>55</v>
      </c>
      <c r="M47" s="15"/>
      <c r="N47" s="549"/>
      <c r="O47" s="802"/>
      <c r="P47" s="549">
        <f t="shared" si="2"/>
        <v>0</v>
      </c>
      <c r="Q47" s="331"/>
      <c r="R47" s="332"/>
      <c r="S47" s="105">
        <f t="shared" si="6"/>
        <v>665.04</v>
      </c>
    </row>
    <row r="48" spans="1:19" x14ac:dyDescent="0.25">
      <c r="A48" s="122"/>
      <c r="B48" s="183">
        <f t="shared" si="3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4"/>
        <v>2.2026824808563106E-13</v>
      </c>
      <c r="K48" s="122"/>
      <c r="L48" s="183">
        <f t="shared" si="5"/>
        <v>55</v>
      </c>
      <c r="M48" s="15"/>
      <c r="N48" s="69"/>
      <c r="O48" s="203"/>
      <c r="P48" s="69">
        <f t="shared" si="2"/>
        <v>0</v>
      </c>
      <c r="Q48" s="70"/>
      <c r="R48" s="71"/>
      <c r="S48" s="105">
        <f t="shared" si="6"/>
        <v>665.04</v>
      </c>
    </row>
    <row r="49" spans="1:19" x14ac:dyDescent="0.25">
      <c r="A49" s="122"/>
      <c r="B49" s="183">
        <f t="shared" si="3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4"/>
        <v>2.2026824808563106E-13</v>
      </c>
      <c r="K49" s="122"/>
      <c r="L49" s="183">
        <f t="shared" si="5"/>
        <v>55</v>
      </c>
      <c r="M49" s="15"/>
      <c r="N49" s="69"/>
      <c r="O49" s="203"/>
      <c r="P49" s="69">
        <f t="shared" si="2"/>
        <v>0</v>
      </c>
      <c r="Q49" s="70"/>
      <c r="R49" s="71"/>
      <c r="S49" s="105">
        <f t="shared" si="6"/>
        <v>665.04</v>
      </c>
    </row>
    <row r="50" spans="1:19" x14ac:dyDescent="0.25">
      <c r="A50" s="122"/>
      <c r="B50" s="183">
        <f t="shared" si="3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4"/>
        <v>2.2026824808563106E-13</v>
      </c>
      <c r="K50" s="122"/>
      <c r="L50" s="183">
        <f t="shared" si="5"/>
        <v>55</v>
      </c>
      <c r="M50" s="15"/>
      <c r="N50" s="69"/>
      <c r="O50" s="203"/>
      <c r="P50" s="69">
        <f t="shared" si="2"/>
        <v>0</v>
      </c>
      <c r="Q50" s="70"/>
      <c r="R50" s="71"/>
      <c r="S50" s="105">
        <f t="shared" si="6"/>
        <v>665.04</v>
      </c>
    </row>
    <row r="51" spans="1:19" x14ac:dyDescent="0.25">
      <c r="A51" s="122"/>
      <c r="B51" s="183">
        <f t="shared" si="3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4"/>
        <v>2.2026824808563106E-13</v>
      </c>
      <c r="K51" s="122"/>
      <c r="L51" s="183">
        <f t="shared" si="5"/>
        <v>55</v>
      </c>
      <c r="M51" s="15"/>
      <c r="N51" s="69"/>
      <c r="O51" s="203"/>
      <c r="P51" s="69">
        <f t="shared" si="2"/>
        <v>0</v>
      </c>
      <c r="Q51" s="70"/>
      <c r="R51" s="71"/>
      <c r="S51" s="105">
        <f t="shared" si="6"/>
        <v>665.04</v>
      </c>
    </row>
    <row r="52" spans="1:19" x14ac:dyDescent="0.25">
      <c r="A52" s="122"/>
      <c r="B52" s="183">
        <f t="shared" si="3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4"/>
        <v>2.2026824808563106E-13</v>
      </c>
      <c r="K52" s="122"/>
      <c r="L52" s="183">
        <f t="shared" si="5"/>
        <v>55</v>
      </c>
      <c r="M52" s="15"/>
      <c r="N52" s="69"/>
      <c r="O52" s="203"/>
      <c r="P52" s="69">
        <f t="shared" si="2"/>
        <v>0</v>
      </c>
      <c r="Q52" s="70"/>
      <c r="R52" s="71"/>
      <c r="S52" s="105">
        <f t="shared" si="6"/>
        <v>665.04</v>
      </c>
    </row>
    <row r="53" spans="1:19" x14ac:dyDescent="0.25">
      <c r="A53" s="122"/>
      <c r="B53" s="183">
        <f t="shared" si="3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4"/>
        <v>2.2026824808563106E-13</v>
      </c>
      <c r="K53" s="122"/>
      <c r="L53" s="183">
        <f t="shared" si="5"/>
        <v>55</v>
      </c>
      <c r="M53" s="15"/>
      <c r="N53" s="69"/>
      <c r="O53" s="203"/>
      <c r="P53" s="69">
        <f t="shared" si="2"/>
        <v>0</v>
      </c>
      <c r="Q53" s="70"/>
      <c r="R53" s="71"/>
      <c r="S53" s="105">
        <f t="shared" si="6"/>
        <v>665.04</v>
      </c>
    </row>
    <row r="54" spans="1:19" x14ac:dyDescent="0.25">
      <c r="A54" s="122"/>
      <c r="B54" s="183">
        <f t="shared" si="3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4"/>
        <v>2.2026824808563106E-13</v>
      </c>
      <c r="K54" s="122"/>
      <c r="L54" s="183">
        <f t="shared" si="5"/>
        <v>55</v>
      </c>
      <c r="M54" s="15"/>
      <c r="N54" s="69"/>
      <c r="O54" s="203"/>
      <c r="P54" s="69">
        <f t="shared" si="2"/>
        <v>0</v>
      </c>
      <c r="Q54" s="70"/>
      <c r="R54" s="71"/>
      <c r="S54" s="105">
        <f t="shared" si="6"/>
        <v>665.04</v>
      </c>
    </row>
    <row r="55" spans="1:19" x14ac:dyDescent="0.25">
      <c r="A55" s="122"/>
      <c r="B55" s="183">
        <f t="shared" si="3"/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4"/>
        <v>2.2026824808563106E-13</v>
      </c>
      <c r="K55" s="122"/>
      <c r="L55" s="183">
        <f t="shared" si="5"/>
        <v>55</v>
      </c>
      <c r="M55" s="15"/>
      <c r="N55" s="69"/>
      <c r="O55" s="203"/>
      <c r="P55" s="69">
        <f t="shared" si="2"/>
        <v>0</v>
      </c>
      <c r="Q55" s="70"/>
      <c r="R55" s="71"/>
      <c r="S55" s="105">
        <f t="shared" si="6"/>
        <v>665.04</v>
      </c>
    </row>
    <row r="56" spans="1:19" x14ac:dyDescent="0.25">
      <c r="A56" s="122"/>
      <c r="B56" s="183">
        <f t="shared" si="3"/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4"/>
        <v>2.2026824808563106E-13</v>
      </c>
      <c r="K56" s="122"/>
      <c r="L56" s="183">
        <f t="shared" si="5"/>
        <v>55</v>
      </c>
      <c r="M56" s="15"/>
      <c r="N56" s="69"/>
      <c r="O56" s="203"/>
      <c r="P56" s="69">
        <f t="shared" si="2"/>
        <v>0</v>
      </c>
      <c r="Q56" s="70"/>
      <c r="R56" s="71"/>
      <c r="S56" s="105">
        <f t="shared" si="6"/>
        <v>665.04</v>
      </c>
    </row>
    <row r="57" spans="1:19" x14ac:dyDescent="0.25">
      <c r="A57" s="122"/>
      <c r="B57" s="183">
        <f t="shared" si="3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4"/>
        <v>2.2026824808563106E-13</v>
      </c>
      <c r="K57" s="122"/>
      <c r="L57" s="183">
        <f t="shared" si="5"/>
        <v>55</v>
      </c>
      <c r="M57" s="15"/>
      <c r="N57" s="69"/>
      <c r="O57" s="203"/>
      <c r="P57" s="69">
        <f t="shared" si="2"/>
        <v>0</v>
      </c>
      <c r="Q57" s="70"/>
      <c r="R57" s="71"/>
      <c r="S57" s="105">
        <f t="shared" si="6"/>
        <v>665.04</v>
      </c>
    </row>
    <row r="58" spans="1:19" x14ac:dyDescent="0.25">
      <c r="A58" s="122"/>
      <c r="B58" s="183">
        <f t="shared" si="3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4"/>
        <v>2.2026824808563106E-13</v>
      </c>
      <c r="K58" s="122"/>
      <c r="L58" s="183">
        <f t="shared" si="5"/>
        <v>55</v>
      </c>
      <c r="M58" s="15"/>
      <c r="N58" s="69"/>
      <c r="O58" s="203"/>
      <c r="P58" s="69">
        <f t="shared" si="2"/>
        <v>0</v>
      </c>
      <c r="Q58" s="70"/>
      <c r="R58" s="71"/>
      <c r="S58" s="105">
        <f t="shared" si="6"/>
        <v>665.04</v>
      </c>
    </row>
    <row r="59" spans="1:19" x14ac:dyDescent="0.25">
      <c r="A59" s="122"/>
      <c r="B59" s="183">
        <f t="shared" si="3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4"/>
        <v>2.2026824808563106E-13</v>
      </c>
      <c r="K59" s="122"/>
      <c r="L59" s="183">
        <f t="shared" si="5"/>
        <v>55</v>
      </c>
      <c r="M59" s="15"/>
      <c r="N59" s="69"/>
      <c r="O59" s="203"/>
      <c r="P59" s="69">
        <f t="shared" si="2"/>
        <v>0</v>
      </c>
      <c r="Q59" s="70"/>
      <c r="R59" s="71"/>
      <c r="S59" s="105">
        <f t="shared" si="6"/>
        <v>665.04</v>
      </c>
    </row>
    <row r="60" spans="1:19" x14ac:dyDescent="0.25">
      <c r="A60" s="122"/>
      <c r="B60" s="183">
        <f t="shared" si="3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4"/>
        <v>2.2026824808563106E-13</v>
      </c>
      <c r="K60" s="122"/>
      <c r="L60" s="183">
        <f t="shared" si="5"/>
        <v>55</v>
      </c>
      <c r="M60" s="15"/>
      <c r="N60" s="69"/>
      <c r="O60" s="203"/>
      <c r="P60" s="69">
        <f t="shared" si="2"/>
        <v>0</v>
      </c>
      <c r="Q60" s="70"/>
      <c r="R60" s="71"/>
      <c r="S60" s="105">
        <f t="shared" si="6"/>
        <v>665.04</v>
      </c>
    </row>
    <row r="61" spans="1:19" x14ac:dyDescent="0.25">
      <c r="A61" s="122"/>
      <c r="B61" s="183">
        <f t="shared" si="3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4"/>
        <v>2.2026824808563106E-13</v>
      </c>
      <c r="K61" s="122"/>
      <c r="L61" s="183">
        <f t="shared" si="5"/>
        <v>55</v>
      </c>
      <c r="M61" s="15"/>
      <c r="N61" s="69"/>
      <c r="O61" s="203"/>
      <c r="P61" s="69">
        <f t="shared" si="2"/>
        <v>0</v>
      </c>
      <c r="Q61" s="70"/>
      <c r="R61" s="71"/>
      <c r="S61" s="105">
        <f t="shared" si="6"/>
        <v>665.04</v>
      </c>
    </row>
    <row r="62" spans="1:19" x14ac:dyDescent="0.25">
      <c r="A62" s="122"/>
      <c r="B62" s="183">
        <f t="shared" si="3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4"/>
        <v>2.2026824808563106E-13</v>
      </c>
      <c r="K62" s="122"/>
      <c r="L62" s="183">
        <f t="shared" si="5"/>
        <v>55</v>
      </c>
      <c r="M62" s="15"/>
      <c r="N62" s="69"/>
      <c r="O62" s="203"/>
      <c r="P62" s="69">
        <f t="shared" si="2"/>
        <v>0</v>
      </c>
      <c r="Q62" s="70"/>
      <c r="R62" s="71"/>
      <c r="S62" s="105">
        <f t="shared" si="6"/>
        <v>665.04</v>
      </c>
    </row>
    <row r="63" spans="1:19" x14ac:dyDescent="0.25">
      <c r="A63" s="122"/>
      <c r="B63" s="183">
        <f t="shared" si="3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4"/>
        <v>2.2026824808563106E-13</v>
      </c>
      <c r="K63" s="122"/>
      <c r="L63" s="183">
        <f t="shared" si="5"/>
        <v>55</v>
      </c>
      <c r="M63" s="15"/>
      <c r="N63" s="69"/>
      <c r="O63" s="203"/>
      <c r="P63" s="69">
        <f t="shared" si="2"/>
        <v>0</v>
      </c>
      <c r="Q63" s="70"/>
      <c r="R63" s="71"/>
      <c r="S63" s="105">
        <f t="shared" si="6"/>
        <v>665.04</v>
      </c>
    </row>
    <row r="64" spans="1:19" x14ac:dyDescent="0.25">
      <c r="A64" s="122"/>
      <c r="B64" s="183">
        <f t="shared" si="3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4"/>
        <v>2.2026824808563106E-13</v>
      </c>
      <c r="K64" s="122"/>
      <c r="L64" s="183">
        <f t="shared" si="5"/>
        <v>55</v>
      </c>
      <c r="M64" s="15"/>
      <c r="N64" s="69"/>
      <c r="O64" s="203"/>
      <c r="P64" s="69">
        <f t="shared" si="2"/>
        <v>0</v>
      </c>
      <c r="Q64" s="70"/>
      <c r="R64" s="71"/>
      <c r="S64" s="105">
        <f t="shared" si="6"/>
        <v>665.04</v>
      </c>
    </row>
    <row r="65" spans="1:19" x14ac:dyDescent="0.25">
      <c r="A65" s="122"/>
      <c r="B65" s="183">
        <f t="shared" si="3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4"/>
        <v>2.2026824808563106E-13</v>
      </c>
      <c r="K65" s="122"/>
      <c r="L65" s="183">
        <f t="shared" si="5"/>
        <v>55</v>
      </c>
      <c r="M65" s="15"/>
      <c r="N65" s="69"/>
      <c r="O65" s="203"/>
      <c r="P65" s="69">
        <f t="shared" si="2"/>
        <v>0</v>
      </c>
      <c r="Q65" s="70"/>
      <c r="R65" s="71"/>
      <c r="S65" s="105">
        <f t="shared" si="6"/>
        <v>665.04</v>
      </c>
    </row>
    <row r="66" spans="1:19" x14ac:dyDescent="0.25">
      <c r="A66" s="122"/>
      <c r="B66" s="183">
        <f t="shared" si="3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4"/>
        <v>2.2026824808563106E-13</v>
      </c>
      <c r="K66" s="122"/>
      <c r="L66" s="183">
        <f t="shared" si="5"/>
        <v>55</v>
      </c>
      <c r="M66" s="15"/>
      <c r="N66" s="69"/>
      <c r="O66" s="203"/>
      <c r="P66" s="69">
        <f t="shared" si="2"/>
        <v>0</v>
      </c>
      <c r="Q66" s="70"/>
      <c r="R66" s="71"/>
      <c r="S66" s="105">
        <f t="shared" si="6"/>
        <v>665.04</v>
      </c>
    </row>
    <row r="67" spans="1:19" x14ac:dyDescent="0.25">
      <c r="A67" s="122"/>
      <c r="B67" s="183">
        <f t="shared" si="3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4"/>
        <v>2.2026824808563106E-13</v>
      </c>
      <c r="K67" s="122"/>
      <c r="L67" s="183">
        <f t="shared" si="5"/>
        <v>55</v>
      </c>
      <c r="M67" s="15"/>
      <c r="N67" s="69"/>
      <c r="O67" s="203"/>
      <c r="P67" s="69">
        <f t="shared" si="2"/>
        <v>0</v>
      </c>
      <c r="Q67" s="70"/>
      <c r="R67" s="71"/>
      <c r="S67" s="105">
        <f t="shared" si="6"/>
        <v>665.04</v>
      </c>
    </row>
    <row r="68" spans="1:19" x14ac:dyDescent="0.25">
      <c r="A68" s="122"/>
      <c r="B68" s="183">
        <f t="shared" si="3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4"/>
        <v>2.2026824808563106E-13</v>
      </c>
      <c r="K68" s="122"/>
      <c r="L68" s="183">
        <f t="shared" si="5"/>
        <v>55</v>
      </c>
      <c r="M68" s="15"/>
      <c r="N68" s="59"/>
      <c r="O68" s="210"/>
      <c r="P68" s="69">
        <f t="shared" si="2"/>
        <v>0</v>
      </c>
      <c r="Q68" s="70"/>
      <c r="R68" s="71"/>
      <c r="S68" s="105">
        <f t="shared" si="6"/>
        <v>665.04</v>
      </c>
    </row>
    <row r="69" spans="1:19" x14ac:dyDescent="0.25">
      <c r="A69" s="122"/>
      <c r="B69" s="183">
        <f t="shared" si="3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4"/>
        <v>2.2026824808563106E-13</v>
      </c>
      <c r="K69" s="122"/>
      <c r="L69" s="183">
        <f t="shared" si="5"/>
        <v>55</v>
      </c>
      <c r="M69" s="15"/>
      <c r="N69" s="59"/>
      <c r="O69" s="210"/>
      <c r="P69" s="69">
        <f t="shared" si="2"/>
        <v>0</v>
      </c>
      <c r="Q69" s="70"/>
      <c r="R69" s="71"/>
      <c r="S69" s="105">
        <f t="shared" si="6"/>
        <v>665.04</v>
      </c>
    </row>
    <row r="70" spans="1:19" x14ac:dyDescent="0.25">
      <c r="A70" s="122"/>
      <c r="B70" s="183">
        <f t="shared" si="3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4"/>
        <v>2.2026824808563106E-13</v>
      </c>
      <c r="K70" s="122"/>
      <c r="L70" s="183">
        <f t="shared" si="5"/>
        <v>55</v>
      </c>
      <c r="M70" s="15"/>
      <c r="N70" s="59"/>
      <c r="O70" s="210"/>
      <c r="P70" s="69">
        <f t="shared" si="2"/>
        <v>0</v>
      </c>
      <c r="Q70" s="70"/>
      <c r="R70" s="71"/>
      <c r="S70" s="105">
        <f t="shared" si="6"/>
        <v>665.04</v>
      </c>
    </row>
    <row r="71" spans="1:19" x14ac:dyDescent="0.25">
      <c r="A71" s="122"/>
      <c r="B71" s="183">
        <f t="shared" si="3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4"/>
        <v>2.2026824808563106E-13</v>
      </c>
      <c r="K71" s="122"/>
      <c r="L71" s="183">
        <f t="shared" si="5"/>
        <v>55</v>
      </c>
      <c r="M71" s="15"/>
      <c r="N71" s="59"/>
      <c r="O71" s="210"/>
      <c r="P71" s="69">
        <f t="shared" si="2"/>
        <v>0</v>
      </c>
      <c r="Q71" s="70"/>
      <c r="R71" s="71"/>
      <c r="S71" s="105">
        <f t="shared" si="6"/>
        <v>665.04</v>
      </c>
    </row>
    <row r="72" spans="1:19" x14ac:dyDescent="0.25">
      <c r="A72" s="122"/>
      <c r="B72" s="183">
        <f t="shared" si="3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4"/>
        <v>2.2026824808563106E-13</v>
      </c>
      <c r="K72" s="122"/>
      <c r="L72" s="183">
        <f t="shared" si="5"/>
        <v>55</v>
      </c>
      <c r="M72" s="15"/>
      <c r="N72" s="59"/>
      <c r="O72" s="210"/>
      <c r="P72" s="69">
        <f t="shared" si="2"/>
        <v>0</v>
      </c>
      <c r="Q72" s="70"/>
      <c r="R72" s="71"/>
      <c r="S72" s="105">
        <f t="shared" si="6"/>
        <v>665.04</v>
      </c>
    </row>
    <row r="73" spans="1:19" x14ac:dyDescent="0.25">
      <c r="A73" s="122"/>
      <c r="B73" s="183">
        <f t="shared" si="3"/>
        <v>0</v>
      </c>
      <c r="C73" s="15"/>
      <c r="D73" s="59"/>
      <c r="E73" s="210"/>
      <c r="F73" s="69">
        <f t="shared" ref="F73" si="7">D73</f>
        <v>0</v>
      </c>
      <c r="G73" s="70"/>
      <c r="H73" s="71"/>
      <c r="I73" s="105">
        <f t="shared" si="4"/>
        <v>2.2026824808563106E-13</v>
      </c>
      <c r="K73" s="122"/>
      <c r="L73" s="183">
        <f t="shared" si="5"/>
        <v>55</v>
      </c>
      <c r="M73" s="15"/>
      <c r="N73" s="59"/>
      <c r="O73" s="210"/>
      <c r="P73" s="69">
        <f t="shared" ref="P73" si="8">N73</f>
        <v>0</v>
      </c>
      <c r="Q73" s="70"/>
      <c r="R73" s="71"/>
      <c r="S73" s="105">
        <f t="shared" si="6"/>
        <v>665.04</v>
      </c>
    </row>
    <row r="74" spans="1:19" x14ac:dyDescent="0.25">
      <c r="A74" s="122"/>
      <c r="B74" s="183">
        <f t="shared" si="3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4"/>
        <v>2.2026824808563106E-13</v>
      </c>
      <c r="K74" s="122"/>
      <c r="L74" s="183">
        <f t="shared" si="5"/>
        <v>55</v>
      </c>
      <c r="M74" s="15"/>
      <c r="N74" s="59"/>
      <c r="O74" s="210"/>
      <c r="P74" s="69">
        <f>N74</f>
        <v>0</v>
      </c>
      <c r="Q74" s="70"/>
      <c r="R74" s="71"/>
      <c r="S74" s="105">
        <f t="shared" si="6"/>
        <v>665.04</v>
      </c>
    </row>
    <row r="75" spans="1:19" x14ac:dyDescent="0.25">
      <c r="A75" s="122"/>
      <c r="B75" s="183">
        <f t="shared" ref="B75" si="9">B74-C75</f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2.2026824808563106E-13</v>
      </c>
      <c r="K75" s="122"/>
      <c r="L75" s="183">
        <f t="shared" ref="L75" si="11">L74-M75</f>
        <v>55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2">S74-P75</f>
        <v>665.04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2.2026824808563106E-13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2"/>
        <v>665.04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169</v>
      </c>
      <c r="D78" s="6">
        <f>SUM(D9:D77)</f>
        <v>1976.41</v>
      </c>
      <c r="F78" s="6">
        <f>SUM(F9:F77)</f>
        <v>2000.76</v>
      </c>
      <c r="M78" s="53">
        <f>SUM(M9:M77)</f>
        <v>30</v>
      </c>
      <c r="N78" s="6">
        <f>SUM(N9:N77)</f>
        <v>362.68000000000006</v>
      </c>
      <c r="P78" s="6">
        <f>SUM(P9:P77)</f>
        <v>362.68000000000006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-7</v>
      </c>
      <c r="N81" s="45" t="s">
        <v>4</v>
      </c>
      <c r="O81" s="56">
        <f>P5+P6-M78+P7</f>
        <v>53</v>
      </c>
    </row>
    <row r="82" spans="3:16" ht="15.75" thickBot="1" x14ac:dyDescent="0.3"/>
    <row r="83" spans="3:16" ht="15.75" thickBot="1" x14ac:dyDescent="0.3">
      <c r="C83" s="1072" t="s">
        <v>11</v>
      </c>
      <c r="D83" s="1073"/>
      <c r="E83" s="57">
        <f>E5+E6-F78+E7</f>
        <v>-82.529999999999973</v>
      </c>
      <c r="F83" s="73"/>
      <c r="M83" s="1072" t="s">
        <v>11</v>
      </c>
      <c r="N83" s="1073"/>
      <c r="O83" s="57">
        <f>O5+O6-P78+O7</f>
        <v>640.68999999999994</v>
      </c>
      <c r="P83" s="73"/>
    </row>
  </sheetData>
  <mergeCells count="7">
    <mergeCell ref="A1:G1"/>
    <mergeCell ref="B5:B6"/>
    <mergeCell ref="C83:D83"/>
    <mergeCell ref="K1:Q1"/>
    <mergeCell ref="L5:L6"/>
    <mergeCell ref="M83:N83"/>
    <mergeCell ref="A15: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L1" zoomScaleNormal="100" workbookViewId="0">
      <pane ySplit="9" topLeftCell="A10" activePane="bottomLeft" state="frozen"/>
      <selection pane="bottomLeft" activeCell="R16" sqref="R1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70" t="s">
        <v>262</v>
      </c>
      <c r="B1" s="1070"/>
      <c r="C1" s="1070"/>
      <c r="D1" s="1070"/>
      <c r="E1" s="1070"/>
      <c r="F1" s="1070"/>
      <c r="G1" s="1070"/>
      <c r="H1" s="11">
        <v>1</v>
      </c>
      <c r="L1" s="1074" t="s">
        <v>260</v>
      </c>
      <c r="M1" s="1074"/>
      <c r="N1" s="1074"/>
      <c r="O1" s="1074"/>
      <c r="P1" s="1074"/>
      <c r="Q1" s="1074"/>
      <c r="R1" s="1074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993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58"/>
      <c r="B4" s="1081" t="s">
        <v>74</v>
      </c>
      <c r="C4" s="245"/>
      <c r="D4" s="134"/>
      <c r="E4" s="487"/>
      <c r="F4" s="73"/>
      <c r="G4" s="155"/>
      <c r="H4" s="155"/>
      <c r="L4" s="458"/>
      <c r="M4" s="1081" t="s">
        <v>74</v>
      </c>
      <c r="N4" s="245"/>
      <c r="O4" s="134"/>
      <c r="P4" s="487">
        <v>439.06</v>
      </c>
      <c r="Q4" s="73">
        <v>15</v>
      </c>
      <c r="R4" s="155"/>
      <c r="S4" s="155"/>
    </row>
    <row r="5" spans="1:21" ht="21" customHeight="1" x14ac:dyDescent="0.25">
      <c r="A5" s="1083" t="s">
        <v>167</v>
      </c>
      <c r="B5" s="1082"/>
      <c r="C5" s="245"/>
      <c r="D5" s="134">
        <v>44826</v>
      </c>
      <c r="E5" s="487">
        <v>15231.71</v>
      </c>
      <c r="F5" s="73">
        <v>490</v>
      </c>
      <c r="G5" s="5"/>
      <c r="L5" s="1083" t="s">
        <v>99</v>
      </c>
      <c r="M5" s="1082"/>
      <c r="N5" s="245">
        <v>127</v>
      </c>
      <c r="O5" s="134">
        <v>44849</v>
      </c>
      <c r="P5" s="487">
        <v>5195.42</v>
      </c>
      <c r="Q5" s="73">
        <v>169</v>
      </c>
      <c r="R5" s="5"/>
    </row>
    <row r="6" spans="1:21" ht="21" customHeight="1" x14ac:dyDescent="0.25">
      <c r="A6" s="1083"/>
      <c r="B6" s="1082"/>
      <c r="C6" s="410"/>
      <c r="D6" s="134"/>
      <c r="E6" s="488"/>
      <c r="F6" s="73"/>
      <c r="G6" s="47">
        <f>F79</f>
        <v>15231.709999999997</v>
      </c>
      <c r="H6" s="7">
        <f>E6-G6+E7+E5-G5+E4</f>
        <v>1.8189894035458565E-12</v>
      </c>
      <c r="L6" s="1083"/>
      <c r="M6" s="1082"/>
      <c r="N6" s="410"/>
      <c r="O6" s="134"/>
      <c r="P6" s="488"/>
      <c r="Q6" s="73"/>
      <c r="R6" s="47">
        <f>Q79</f>
        <v>1082.27</v>
      </c>
      <c r="S6" s="7">
        <f>P6-R6+P7+P5-R5+P4</f>
        <v>4552.21</v>
      </c>
    </row>
    <row r="7" spans="1:21" ht="15.75" x14ac:dyDescent="0.25">
      <c r="A7" s="751"/>
      <c r="B7" s="1082"/>
      <c r="C7" s="235"/>
      <c r="D7" s="233"/>
      <c r="E7" s="487"/>
      <c r="F7" s="73"/>
      <c r="L7" s="938"/>
      <c r="M7" s="1082"/>
      <c r="N7" s="235"/>
      <c r="O7" s="233"/>
      <c r="P7" s="487"/>
      <c r="Q7" s="73"/>
    </row>
    <row r="8" spans="1:21" ht="15.75" thickBot="1" x14ac:dyDescent="0.3">
      <c r="A8" s="458"/>
      <c r="B8" s="19"/>
      <c r="C8" s="235"/>
      <c r="D8" s="233"/>
      <c r="E8" s="487"/>
      <c r="F8" s="73"/>
      <c r="L8" s="458"/>
      <c r="M8" s="148"/>
      <c r="N8" s="235"/>
      <c r="O8" s="233"/>
      <c r="P8" s="487"/>
      <c r="Q8" s="73"/>
    </row>
    <row r="9" spans="1:21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28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995" t="s">
        <v>3</v>
      </c>
    </row>
    <row r="10" spans="1:21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236</v>
      </c>
      <c r="H10" s="71">
        <v>132</v>
      </c>
      <c r="I10" s="105">
        <f>E6-F10+E5+E4+E7+E8</f>
        <v>15145.9</v>
      </c>
      <c r="J10" s="17">
        <f>F10*H10</f>
        <v>11326.92</v>
      </c>
      <c r="L10" s="80" t="s">
        <v>32</v>
      </c>
      <c r="M10" s="183">
        <f>Q6-N10+Q5+Q4+Q7+Q8</f>
        <v>149</v>
      </c>
      <c r="N10" s="15">
        <v>35</v>
      </c>
      <c r="O10" s="69">
        <v>1056.73</v>
      </c>
      <c r="P10" s="203">
        <v>44863</v>
      </c>
      <c r="Q10" s="69">
        <f t="shared" ref="Q10:Q57" si="1">O10</f>
        <v>1056.73</v>
      </c>
      <c r="R10" s="70" t="s">
        <v>580</v>
      </c>
      <c r="S10" s="71">
        <v>137</v>
      </c>
      <c r="T10" s="105">
        <f>P6-Q10+P5+P4+P7+P8</f>
        <v>4577.7500000000009</v>
      </c>
      <c r="U10" s="17">
        <f>Q10*S10</f>
        <v>144772.01</v>
      </c>
    </row>
    <row r="11" spans="1:21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237</v>
      </c>
      <c r="H11" s="71">
        <v>137</v>
      </c>
      <c r="I11" s="105">
        <f>I10-F11</f>
        <v>15081.17</v>
      </c>
      <c r="J11" s="17">
        <f t="shared" ref="J11:J74" si="2">F11*H11</f>
        <v>8868.01</v>
      </c>
      <c r="L11" s="195"/>
      <c r="M11" s="994">
        <f>M10-N11</f>
        <v>148</v>
      </c>
      <c r="N11" s="15">
        <v>1</v>
      </c>
      <c r="O11" s="69">
        <v>25.54</v>
      </c>
      <c r="P11" s="203">
        <v>44863</v>
      </c>
      <c r="Q11" s="69">
        <f t="shared" si="1"/>
        <v>25.54</v>
      </c>
      <c r="R11" s="70" t="s">
        <v>586</v>
      </c>
      <c r="S11" s="71">
        <v>137</v>
      </c>
      <c r="T11" s="991">
        <f>T10-Q11</f>
        <v>4552.2100000000009</v>
      </c>
      <c r="U11" s="17">
        <f t="shared" ref="U11:U74" si="3">Q11*S11</f>
        <v>3498.98</v>
      </c>
    </row>
    <row r="12" spans="1:21" x14ac:dyDescent="0.25">
      <c r="A12" s="183"/>
      <c r="B12" s="83">
        <f t="shared" ref="B12:B75" si="4">B11-C12</f>
        <v>460</v>
      </c>
      <c r="C12" s="15">
        <v>25</v>
      </c>
      <c r="D12" s="69">
        <v>772.08</v>
      </c>
      <c r="E12" s="203">
        <v>44828</v>
      </c>
      <c r="F12" s="69">
        <f t="shared" ref="F12:F18" si="5">D12</f>
        <v>772.08</v>
      </c>
      <c r="G12" s="70" t="s">
        <v>238</v>
      </c>
      <c r="H12" s="71">
        <v>137</v>
      </c>
      <c r="I12" s="105">
        <f t="shared" ref="I12:I75" si="6">I11-F12</f>
        <v>14309.09</v>
      </c>
      <c r="J12" s="17">
        <f t="shared" si="2"/>
        <v>105774.96</v>
      </c>
      <c r="L12" s="183"/>
      <c r="M12" s="183">
        <f t="shared" ref="M12:M75" si="7">M11-N12</f>
        <v>148</v>
      </c>
      <c r="N12" s="15"/>
      <c r="O12" s="69"/>
      <c r="P12" s="203"/>
      <c r="Q12" s="69">
        <f t="shared" si="1"/>
        <v>0</v>
      </c>
      <c r="R12" s="70"/>
      <c r="S12" s="71"/>
      <c r="T12" s="105">
        <f t="shared" ref="T12:T75" si="8">T11-Q12</f>
        <v>4552.2100000000009</v>
      </c>
      <c r="U12" s="17">
        <f t="shared" si="3"/>
        <v>0</v>
      </c>
    </row>
    <row r="13" spans="1:21" x14ac:dyDescent="0.25">
      <c r="A13" s="183"/>
      <c r="B13" s="83">
        <f t="shared" si="4"/>
        <v>430</v>
      </c>
      <c r="C13" s="15">
        <v>30</v>
      </c>
      <c r="D13" s="69">
        <v>946.27</v>
      </c>
      <c r="E13" s="203">
        <v>44830</v>
      </c>
      <c r="F13" s="69">
        <f t="shared" si="5"/>
        <v>946.27</v>
      </c>
      <c r="G13" s="70" t="s">
        <v>242</v>
      </c>
      <c r="H13" s="71">
        <v>137</v>
      </c>
      <c r="I13" s="105">
        <f t="shared" si="6"/>
        <v>13362.82</v>
      </c>
      <c r="J13" s="17">
        <f t="shared" si="2"/>
        <v>129638.98999999999</v>
      </c>
      <c r="L13" s="183"/>
      <c r="M13" s="183">
        <f t="shared" si="7"/>
        <v>148</v>
      </c>
      <c r="N13" s="15"/>
      <c r="O13" s="69"/>
      <c r="P13" s="203"/>
      <c r="Q13" s="69">
        <f t="shared" si="1"/>
        <v>0</v>
      </c>
      <c r="R13" s="70"/>
      <c r="S13" s="71"/>
      <c r="T13" s="105">
        <f t="shared" si="8"/>
        <v>4552.2100000000009</v>
      </c>
      <c r="U13" s="17">
        <f t="shared" si="3"/>
        <v>0</v>
      </c>
    </row>
    <row r="14" spans="1:21" x14ac:dyDescent="0.25">
      <c r="A14" s="82" t="s">
        <v>33</v>
      </c>
      <c r="B14" s="83">
        <f t="shared" si="4"/>
        <v>423</v>
      </c>
      <c r="C14" s="15">
        <v>7</v>
      </c>
      <c r="D14" s="69">
        <v>219.17</v>
      </c>
      <c r="E14" s="203">
        <v>44832</v>
      </c>
      <c r="F14" s="69">
        <f t="shared" si="5"/>
        <v>219.17</v>
      </c>
      <c r="G14" s="70" t="s">
        <v>247</v>
      </c>
      <c r="H14" s="71">
        <v>137</v>
      </c>
      <c r="I14" s="105">
        <f t="shared" si="6"/>
        <v>13143.65</v>
      </c>
      <c r="J14" s="17">
        <f t="shared" si="2"/>
        <v>30026.289999999997</v>
      </c>
      <c r="L14" s="82" t="s">
        <v>33</v>
      </c>
      <c r="M14" s="183">
        <f t="shared" si="7"/>
        <v>148</v>
      </c>
      <c r="N14" s="15"/>
      <c r="O14" s="69"/>
      <c r="P14" s="203"/>
      <c r="Q14" s="69">
        <f t="shared" si="1"/>
        <v>0</v>
      </c>
      <c r="R14" s="70"/>
      <c r="S14" s="71"/>
      <c r="T14" s="105">
        <f t="shared" si="8"/>
        <v>4552.2100000000009</v>
      </c>
      <c r="U14" s="17">
        <f t="shared" si="3"/>
        <v>0</v>
      </c>
    </row>
    <row r="15" spans="1:21" x14ac:dyDescent="0.25">
      <c r="A15" s="73"/>
      <c r="B15" s="83">
        <f t="shared" si="4"/>
        <v>393</v>
      </c>
      <c r="C15" s="15">
        <v>30</v>
      </c>
      <c r="D15" s="69">
        <v>958.38</v>
      </c>
      <c r="E15" s="203">
        <v>44833</v>
      </c>
      <c r="F15" s="69">
        <f t="shared" si="5"/>
        <v>958.38</v>
      </c>
      <c r="G15" s="70" t="s">
        <v>250</v>
      </c>
      <c r="H15" s="71">
        <v>137</v>
      </c>
      <c r="I15" s="105">
        <f t="shared" si="6"/>
        <v>12185.27</v>
      </c>
      <c r="J15" s="17">
        <f t="shared" si="2"/>
        <v>131298.06</v>
      </c>
      <c r="L15" s="73"/>
      <c r="M15" s="183">
        <f t="shared" si="7"/>
        <v>148</v>
      </c>
      <c r="N15" s="15"/>
      <c r="O15" s="69"/>
      <c r="P15" s="203"/>
      <c r="Q15" s="69">
        <f t="shared" si="1"/>
        <v>0</v>
      </c>
      <c r="R15" s="70"/>
      <c r="S15" s="71"/>
      <c r="T15" s="105">
        <f t="shared" si="8"/>
        <v>4552.2100000000009</v>
      </c>
      <c r="U15" s="17">
        <f t="shared" si="3"/>
        <v>0</v>
      </c>
    </row>
    <row r="16" spans="1:21" x14ac:dyDescent="0.25">
      <c r="A16" s="73"/>
      <c r="B16" s="83">
        <f t="shared" si="4"/>
        <v>392</v>
      </c>
      <c r="C16" s="15">
        <v>1</v>
      </c>
      <c r="D16" s="69">
        <v>33.020000000000003</v>
      </c>
      <c r="E16" s="203">
        <v>44833</v>
      </c>
      <c r="F16" s="69">
        <f t="shared" si="5"/>
        <v>33.020000000000003</v>
      </c>
      <c r="G16" s="70" t="s">
        <v>250</v>
      </c>
      <c r="H16" s="71">
        <v>137</v>
      </c>
      <c r="I16" s="105">
        <f t="shared" si="6"/>
        <v>12152.25</v>
      </c>
      <c r="J16" s="17">
        <f t="shared" si="2"/>
        <v>4523.7400000000007</v>
      </c>
      <c r="L16" s="73"/>
      <c r="M16" s="183">
        <f t="shared" si="7"/>
        <v>148</v>
      </c>
      <c r="N16" s="15"/>
      <c r="O16" s="69"/>
      <c r="P16" s="203"/>
      <c r="Q16" s="69">
        <f t="shared" si="1"/>
        <v>0</v>
      </c>
      <c r="R16" s="70"/>
      <c r="S16" s="71"/>
      <c r="T16" s="105">
        <f t="shared" si="8"/>
        <v>4552.2100000000009</v>
      </c>
      <c r="U16" s="17">
        <f t="shared" si="3"/>
        <v>0</v>
      </c>
    </row>
    <row r="17" spans="1:21" x14ac:dyDescent="0.25">
      <c r="B17" s="83">
        <f t="shared" si="4"/>
        <v>391</v>
      </c>
      <c r="C17" s="15">
        <v>1</v>
      </c>
      <c r="D17" s="69">
        <v>32.659999999999997</v>
      </c>
      <c r="E17" s="203">
        <v>44834</v>
      </c>
      <c r="F17" s="69">
        <f t="shared" si="5"/>
        <v>32.659999999999997</v>
      </c>
      <c r="G17" s="70" t="s">
        <v>253</v>
      </c>
      <c r="H17" s="71">
        <v>137</v>
      </c>
      <c r="I17" s="105">
        <f t="shared" si="6"/>
        <v>12119.59</v>
      </c>
      <c r="J17" s="17">
        <f t="shared" si="2"/>
        <v>4474.4199999999992</v>
      </c>
      <c r="M17" s="183">
        <f t="shared" si="7"/>
        <v>148</v>
      </c>
      <c r="N17" s="15"/>
      <c r="O17" s="69"/>
      <c r="P17" s="203"/>
      <c r="Q17" s="69">
        <f t="shared" si="1"/>
        <v>0</v>
      </c>
      <c r="R17" s="70"/>
      <c r="S17" s="71"/>
      <c r="T17" s="105">
        <f t="shared" si="8"/>
        <v>4552.2100000000009</v>
      </c>
      <c r="U17" s="17">
        <f t="shared" si="3"/>
        <v>0</v>
      </c>
    </row>
    <row r="18" spans="1:21" x14ac:dyDescent="0.25">
      <c r="B18" s="992">
        <f t="shared" si="4"/>
        <v>390</v>
      </c>
      <c r="C18" s="15">
        <v>1</v>
      </c>
      <c r="D18" s="69">
        <v>34.47</v>
      </c>
      <c r="E18" s="203">
        <v>44835</v>
      </c>
      <c r="F18" s="69">
        <f t="shared" si="5"/>
        <v>34.47</v>
      </c>
      <c r="G18" s="70" t="s">
        <v>256</v>
      </c>
      <c r="H18" s="71">
        <v>137</v>
      </c>
      <c r="I18" s="991">
        <f t="shared" si="6"/>
        <v>12085.12</v>
      </c>
      <c r="J18" s="17">
        <f t="shared" si="2"/>
        <v>4722.3899999999994</v>
      </c>
      <c r="M18" s="183">
        <f t="shared" si="7"/>
        <v>148</v>
      </c>
      <c r="N18" s="15"/>
      <c r="O18" s="69"/>
      <c r="P18" s="203"/>
      <c r="Q18" s="69">
        <f t="shared" si="1"/>
        <v>0</v>
      </c>
      <c r="R18" s="70"/>
      <c r="S18" s="71"/>
      <c r="T18" s="105">
        <f t="shared" si="8"/>
        <v>4552.2100000000009</v>
      </c>
      <c r="U18" s="17">
        <f t="shared" si="3"/>
        <v>0</v>
      </c>
    </row>
    <row r="19" spans="1:21" x14ac:dyDescent="0.25">
      <c r="A19" s="122"/>
      <c r="B19" s="83">
        <f t="shared" si="4"/>
        <v>389</v>
      </c>
      <c r="C19" s="15">
        <v>1</v>
      </c>
      <c r="D19" s="549">
        <v>32.659999999999997</v>
      </c>
      <c r="E19" s="802">
        <v>44837</v>
      </c>
      <c r="F19" s="549">
        <f t="shared" ref="F19:F57" si="9">D19</f>
        <v>32.659999999999997</v>
      </c>
      <c r="G19" s="331" t="s">
        <v>411</v>
      </c>
      <c r="H19" s="332">
        <v>137</v>
      </c>
      <c r="I19" s="105">
        <f t="shared" si="6"/>
        <v>12052.460000000001</v>
      </c>
      <c r="J19" s="17">
        <f t="shared" si="2"/>
        <v>4474.4199999999992</v>
      </c>
      <c r="L19" s="122"/>
      <c r="M19" s="183">
        <f t="shared" si="7"/>
        <v>148</v>
      </c>
      <c r="N19" s="15"/>
      <c r="O19" s="69"/>
      <c r="P19" s="203"/>
      <c r="Q19" s="69">
        <f t="shared" si="1"/>
        <v>0</v>
      </c>
      <c r="R19" s="70"/>
      <c r="S19" s="71"/>
      <c r="T19" s="105">
        <f t="shared" si="8"/>
        <v>4552.2100000000009</v>
      </c>
      <c r="U19" s="17">
        <f t="shared" si="3"/>
        <v>0</v>
      </c>
    </row>
    <row r="20" spans="1:21" x14ac:dyDescent="0.25">
      <c r="A20" s="122"/>
      <c r="B20" s="83">
        <f t="shared" si="4"/>
        <v>386</v>
      </c>
      <c r="C20" s="15">
        <v>3</v>
      </c>
      <c r="D20" s="549">
        <v>99.12</v>
      </c>
      <c r="E20" s="802">
        <v>44837</v>
      </c>
      <c r="F20" s="549">
        <f t="shared" si="9"/>
        <v>99.12</v>
      </c>
      <c r="G20" s="331" t="s">
        <v>412</v>
      </c>
      <c r="H20" s="332">
        <v>137</v>
      </c>
      <c r="I20" s="105">
        <f t="shared" si="6"/>
        <v>11953.34</v>
      </c>
      <c r="J20" s="17">
        <f t="shared" si="2"/>
        <v>13579.44</v>
      </c>
      <c r="L20" s="122"/>
      <c r="M20" s="183">
        <f t="shared" si="7"/>
        <v>148</v>
      </c>
      <c r="N20" s="15"/>
      <c r="O20" s="69"/>
      <c r="P20" s="203"/>
      <c r="Q20" s="69">
        <f t="shared" si="1"/>
        <v>0</v>
      </c>
      <c r="R20" s="70"/>
      <c r="S20" s="71"/>
      <c r="T20" s="105">
        <f t="shared" si="8"/>
        <v>4552.2100000000009</v>
      </c>
      <c r="U20" s="17">
        <f t="shared" si="3"/>
        <v>0</v>
      </c>
    </row>
    <row r="21" spans="1:21" x14ac:dyDescent="0.25">
      <c r="A21" s="122"/>
      <c r="B21" s="83">
        <f t="shared" si="4"/>
        <v>356</v>
      </c>
      <c r="C21" s="15">
        <v>30</v>
      </c>
      <c r="D21" s="549">
        <v>927.05</v>
      </c>
      <c r="E21" s="802">
        <v>44837</v>
      </c>
      <c r="F21" s="549">
        <f t="shared" si="9"/>
        <v>927.05</v>
      </c>
      <c r="G21" s="331" t="s">
        <v>413</v>
      </c>
      <c r="H21" s="332">
        <v>137</v>
      </c>
      <c r="I21" s="105">
        <f t="shared" si="6"/>
        <v>11026.29</v>
      </c>
      <c r="J21" s="17">
        <f t="shared" si="2"/>
        <v>127005.84999999999</v>
      </c>
      <c r="L21" s="122"/>
      <c r="M21" s="183">
        <f t="shared" si="7"/>
        <v>148</v>
      </c>
      <c r="N21" s="15"/>
      <c r="O21" s="69"/>
      <c r="P21" s="203"/>
      <c r="Q21" s="69">
        <f t="shared" si="1"/>
        <v>0</v>
      </c>
      <c r="R21" s="70"/>
      <c r="S21" s="71"/>
      <c r="T21" s="105">
        <f t="shared" si="8"/>
        <v>4552.2100000000009</v>
      </c>
      <c r="U21" s="17">
        <f t="shared" si="3"/>
        <v>0</v>
      </c>
    </row>
    <row r="22" spans="1:21" x14ac:dyDescent="0.25">
      <c r="A22" s="122"/>
      <c r="B22" s="83">
        <f t="shared" si="4"/>
        <v>351</v>
      </c>
      <c r="C22" s="15">
        <v>5</v>
      </c>
      <c r="D22" s="549">
        <v>155.63</v>
      </c>
      <c r="E22" s="802">
        <v>44837</v>
      </c>
      <c r="F22" s="549">
        <f t="shared" si="9"/>
        <v>155.63</v>
      </c>
      <c r="G22" s="331" t="s">
        <v>413</v>
      </c>
      <c r="H22" s="332">
        <v>137</v>
      </c>
      <c r="I22" s="105">
        <f t="shared" si="6"/>
        <v>10870.660000000002</v>
      </c>
      <c r="J22" s="17">
        <f t="shared" si="2"/>
        <v>21321.309999999998</v>
      </c>
      <c r="L22" s="122"/>
      <c r="M22" s="183">
        <f t="shared" si="7"/>
        <v>148</v>
      </c>
      <c r="N22" s="15"/>
      <c r="O22" s="69"/>
      <c r="P22" s="203"/>
      <c r="Q22" s="69">
        <f t="shared" si="1"/>
        <v>0</v>
      </c>
      <c r="R22" s="70"/>
      <c r="S22" s="71"/>
      <c r="T22" s="105">
        <f t="shared" si="8"/>
        <v>4552.2100000000009</v>
      </c>
      <c r="U22" s="17">
        <f t="shared" si="3"/>
        <v>0</v>
      </c>
    </row>
    <row r="23" spans="1:21" x14ac:dyDescent="0.25">
      <c r="A23" s="122"/>
      <c r="B23" s="83">
        <f t="shared" si="4"/>
        <v>346</v>
      </c>
      <c r="C23" s="15">
        <v>5</v>
      </c>
      <c r="D23" s="549">
        <v>156.62</v>
      </c>
      <c r="E23" s="802">
        <v>44838</v>
      </c>
      <c r="F23" s="549">
        <f t="shared" si="9"/>
        <v>156.62</v>
      </c>
      <c r="G23" s="331" t="s">
        <v>421</v>
      </c>
      <c r="H23" s="332">
        <v>137</v>
      </c>
      <c r="I23" s="105">
        <f t="shared" si="6"/>
        <v>10714.04</v>
      </c>
      <c r="J23" s="17">
        <f t="shared" si="2"/>
        <v>21456.940000000002</v>
      </c>
      <c r="L23" s="122"/>
      <c r="M23" s="183">
        <f t="shared" si="7"/>
        <v>148</v>
      </c>
      <c r="N23" s="15"/>
      <c r="O23" s="69"/>
      <c r="P23" s="203"/>
      <c r="Q23" s="69">
        <f t="shared" si="1"/>
        <v>0</v>
      </c>
      <c r="R23" s="70"/>
      <c r="S23" s="71"/>
      <c r="T23" s="105">
        <f t="shared" si="8"/>
        <v>4552.2100000000009</v>
      </c>
      <c r="U23" s="17">
        <f t="shared" si="3"/>
        <v>0</v>
      </c>
    </row>
    <row r="24" spans="1:21" x14ac:dyDescent="0.25">
      <c r="A24" s="123"/>
      <c r="B24" s="83">
        <f t="shared" si="4"/>
        <v>341</v>
      </c>
      <c r="C24" s="15">
        <v>5</v>
      </c>
      <c r="D24" s="549">
        <v>153.32</v>
      </c>
      <c r="E24" s="802">
        <v>44840</v>
      </c>
      <c r="F24" s="549">
        <f t="shared" si="9"/>
        <v>153.32</v>
      </c>
      <c r="G24" s="331" t="s">
        <v>424</v>
      </c>
      <c r="H24" s="332">
        <v>137</v>
      </c>
      <c r="I24" s="105">
        <f t="shared" si="6"/>
        <v>10560.720000000001</v>
      </c>
      <c r="J24" s="17">
        <f t="shared" si="2"/>
        <v>21004.84</v>
      </c>
      <c r="L24" s="123"/>
      <c r="M24" s="183">
        <f t="shared" si="7"/>
        <v>148</v>
      </c>
      <c r="N24" s="15"/>
      <c r="O24" s="69"/>
      <c r="P24" s="203"/>
      <c r="Q24" s="69">
        <f t="shared" si="1"/>
        <v>0</v>
      </c>
      <c r="R24" s="70"/>
      <c r="S24" s="71"/>
      <c r="T24" s="105">
        <f t="shared" si="8"/>
        <v>4552.2100000000009</v>
      </c>
      <c r="U24" s="17">
        <f t="shared" si="3"/>
        <v>0</v>
      </c>
    </row>
    <row r="25" spans="1:21" x14ac:dyDescent="0.25">
      <c r="A25" s="122"/>
      <c r="B25" s="83">
        <f t="shared" si="4"/>
        <v>311</v>
      </c>
      <c r="C25" s="15">
        <v>30</v>
      </c>
      <c r="D25" s="549">
        <v>928.79</v>
      </c>
      <c r="E25" s="802">
        <v>44840</v>
      </c>
      <c r="F25" s="549">
        <f t="shared" si="9"/>
        <v>928.79</v>
      </c>
      <c r="G25" s="331" t="s">
        <v>430</v>
      </c>
      <c r="H25" s="332">
        <v>137</v>
      </c>
      <c r="I25" s="105">
        <f t="shared" si="6"/>
        <v>9631.93</v>
      </c>
      <c r="J25" s="17">
        <f t="shared" si="2"/>
        <v>127244.23</v>
      </c>
      <c r="L25" s="122"/>
      <c r="M25" s="183">
        <f t="shared" si="7"/>
        <v>148</v>
      </c>
      <c r="N25" s="15"/>
      <c r="O25" s="69"/>
      <c r="P25" s="203"/>
      <c r="Q25" s="69">
        <f t="shared" si="1"/>
        <v>0</v>
      </c>
      <c r="R25" s="70"/>
      <c r="S25" s="71"/>
      <c r="T25" s="105">
        <f t="shared" si="8"/>
        <v>4552.2100000000009</v>
      </c>
      <c r="U25" s="17">
        <f t="shared" si="3"/>
        <v>0</v>
      </c>
    </row>
    <row r="26" spans="1:21" x14ac:dyDescent="0.25">
      <c r="A26" s="122"/>
      <c r="B26" s="83">
        <f t="shared" si="4"/>
        <v>301</v>
      </c>
      <c r="C26" s="15">
        <v>10</v>
      </c>
      <c r="D26" s="549">
        <v>291.93</v>
      </c>
      <c r="E26" s="802">
        <v>44841</v>
      </c>
      <c r="F26" s="549">
        <f t="shared" si="9"/>
        <v>291.93</v>
      </c>
      <c r="G26" s="331" t="s">
        <v>433</v>
      </c>
      <c r="H26" s="332">
        <v>137</v>
      </c>
      <c r="I26" s="105">
        <f t="shared" si="6"/>
        <v>9340</v>
      </c>
      <c r="J26" s="17">
        <f t="shared" si="2"/>
        <v>39994.410000000003</v>
      </c>
      <c r="L26" s="122"/>
      <c r="M26" s="183">
        <f t="shared" si="7"/>
        <v>148</v>
      </c>
      <c r="N26" s="15"/>
      <c r="O26" s="69"/>
      <c r="P26" s="203"/>
      <c r="Q26" s="69">
        <f t="shared" si="1"/>
        <v>0</v>
      </c>
      <c r="R26" s="70"/>
      <c r="S26" s="71"/>
      <c r="T26" s="105">
        <f t="shared" si="8"/>
        <v>4552.2100000000009</v>
      </c>
      <c r="U26" s="17">
        <f t="shared" si="3"/>
        <v>0</v>
      </c>
    </row>
    <row r="27" spans="1:21" x14ac:dyDescent="0.25">
      <c r="A27" s="122"/>
      <c r="B27" s="83">
        <f t="shared" si="4"/>
        <v>299</v>
      </c>
      <c r="C27" s="15">
        <v>2</v>
      </c>
      <c r="D27" s="549">
        <v>57.38</v>
      </c>
      <c r="E27" s="802">
        <v>44841</v>
      </c>
      <c r="F27" s="549">
        <f t="shared" si="9"/>
        <v>57.38</v>
      </c>
      <c r="G27" s="331" t="s">
        <v>442</v>
      </c>
      <c r="H27" s="332">
        <v>137</v>
      </c>
      <c r="I27" s="105">
        <f t="shared" si="6"/>
        <v>9282.6200000000008</v>
      </c>
      <c r="J27" s="17">
        <f t="shared" si="2"/>
        <v>7861.06</v>
      </c>
      <c r="L27" s="122"/>
      <c r="M27" s="183">
        <f t="shared" si="7"/>
        <v>148</v>
      </c>
      <c r="N27" s="15"/>
      <c r="O27" s="69"/>
      <c r="P27" s="203"/>
      <c r="Q27" s="69">
        <f t="shared" si="1"/>
        <v>0</v>
      </c>
      <c r="R27" s="70"/>
      <c r="S27" s="71"/>
      <c r="T27" s="105">
        <f t="shared" si="8"/>
        <v>4552.2100000000009</v>
      </c>
      <c r="U27" s="17">
        <f t="shared" si="3"/>
        <v>0</v>
      </c>
    </row>
    <row r="28" spans="1:21" x14ac:dyDescent="0.25">
      <c r="A28" s="122"/>
      <c r="B28" s="83">
        <f t="shared" si="4"/>
        <v>269</v>
      </c>
      <c r="C28" s="15">
        <v>30</v>
      </c>
      <c r="D28" s="549">
        <v>916.35</v>
      </c>
      <c r="E28" s="802">
        <v>44844</v>
      </c>
      <c r="F28" s="549">
        <f t="shared" si="9"/>
        <v>916.35</v>
      </c>
      <c r="G28" s="331" t="s">
        <v>461</v>
      </c>
      <c r="H28" s="332">
        <v>137</v>
      </c>
      <c r="I28" s="105">
        <f t="shared" si="6"/>
        <v>8366.27</v>
      </c>
      <c r="J28" s="17">
        <f t="shared" si="2"/>
        <v>125539.95</v>
      </c>
      <c r="L28" s="122"/>
      <c r="M28" s="183">
        <f t="shared" si="7"/>
        <v>148</v>
      </c>
      <c r="N28" s="15"/>
      <c r="O28" s="69"/>
      <c r="P28" s="203"/>
      <c r="Q28" s="69">
        <f t="shared" si="1"/>
        <v>0</v>
      </c>
      <c r="R28" s="70"/>
      <c r="S28" s="71"/>
      <c r="T28" s="105">
        <f t="shared" si="8"/>
        <v>4552.2100000000009</v>
      </c>
      <c r="U28" s="17">
        <f t="shared" si="3"/>
        <v>0</v>
      </c>
    </row>
    <row r="29" spans="1:21" x14ac:dyDescent="0.25">
      <c r="A29" s="122"/>
      <c r="B29" s="83">
        <f t="shared" si="4"/>
        <v>264</v>
      </c>
      <c r="C29" s="15">
        <v>5</v>
      </c>
      <c r="D29" s="549">
        <v>142.01</v>
      </c>
      <c r="E29" s="802">
        <v>44845</v>
      </c>
      <c r="F29" s="549">
        <f t="shared" si="9"/>
        <v>142.01</v>
      </c>
      <c r="G29" s="331" t="s">
        <v>466</v>
      </c>
      <c r="H29" s="332">
        <v>137</v>
      </c>
      <c r="I29" s="105">
        <f t="shared" si="6"/>
        <v>8224.26</v>
      </c>
      <c r="J29" s="17">
        <f t="shared" si="2"/>
        <v>19455.37</v>
      </c>
      <c r="L29" s="122"/>
      <c r="M29" s="183">
        <f t="shared" si="7"/>
        <v>148</v>
      </c>
      <c r="N29" s="15"/>
      <c r="O29" s="69"/>
      <c r="P29" s="203"/>
      <c r="Q29" s="69">
        <f t="shared" si="1"/>
        <v>0</v>
      </c>
      <c r="R29" s="70"/>
      <c r="S29" s="71"/>
      <c r="T29" s="105">
        <f t="shared" si="8"/>
        <v>4552.2100000000009</v>
      </c>
      <c r="U29" s="17">
        <f t="shared" si="3"/>
        <v>0</v>
      </c>
    </row>
    <row r="30" spans="1:21" x14ac:dyDescent="0.25">
      <c r="A30" s="122"/>
      <c r="B30" s="83">
        <f t="shared" si="4"/>
        <v>263</v>
      </c>
      <c r="C30" s="15">
        <v>1</v>
      </c>
      <c r="D30" s="549">
        <v>30.71</v>
      </c>
      <c r="E30" s="802">
        <v>44845</v>
      </c>
      <c r="F30" s="549">
        <f t="shared" si="9"/>
        <v>30.71</v>
      </c>
      <c r="G30" s="331" t="s">
        <v>435</v>
      </c>
      <c r="H30" s="332">
        <v>137</v>
      </c>
      <c r="I30" s="105">
        <f t="shared" si="6"/>
        <v>8193.5500000000011</v>
      </c>
      <c r="J30" s="17">
        <f t="shared" si="2"/>
        <v>4207.2700000000004</v>
      </c>
      <c r="L30" s="122"/>
      <c r="M30" s="183">
        <f t="shared" si="7"/>
        <v>148</v>
      </c>
      <c r="N30" s="15"/>
      <c r="O30" s="69"/>
      <c r="P30" s="203"/>
      <c r="Q30" s="69">
        <f t="shared" si="1"/>
        <v>0</v>
      </c>
      <c r="R30" s="70"/>
      <c r="S30" s="71"/>
      <c r="T30" s="105">
        <f t="shared" si="8"/>
        <v>4552.2100000000009</v>
      </c>
      <c r="U30" s="17">
        <f t="shared" si="3"/>
        <v>0</v>
      </c>
    </row>
    <row r="31" spans="1:21" x14ac:dyDescent="0.25">
      <c r="A31" s="122"/>
      <c r="B31" s="83">
        <f t="shared" si="4"/>
        <v>253</v>
      </c>
      <c r="C31" s="15">
        <v>10</v>
      </c>
      <c r="D31" s="549">
        <v>289.92</v>
      </c>
      <c r="E31" s="802">
        <v>44846</v>
      </c>
      <c r="F31" s="549">
        <f t="shared" si="9"/>
        <v>289.92</v>
      </c>
      <c r="G31" s="331" t="s">
        <v>474</v>
      </c>
      <c r="H31" s="332">
        <v>137</v>
      </c>
      <c r="I31" s="105">
        <f t="shared" si="6"/>
        <v>7903.630000000001</v>
      </c>
      <c r="J31" s="17">
        <f t="shared" si="2"/>
        <v>39719.040000000001</v>
      </c>
      <c r="L31" s="122"/>
      <c r="M31" s="183">
        <f t="shared" si="7"/>
        <v>148</v>
      </c>
      <c r="N31" s="15"/>
      <c r="O31" s="69"/>
      <c r="P31" s="203"/>
      <c r="Q31" s="69">
        <f t="shared" si="1"/>
        <v>0</v>
      </c>
      <c r="R31" s="70"/>
      <c r="S31" s="71"/>
      <c r="T31" s="105">
        <f t="shared" si="8"/>
        <v>4552.2100000000009</v>
      </c>
      <c r="U31" s="17">
        <f t="shared" si="3"/>
        <v>0</v>
      </c>
    </row>
    <row r="32" spans="1:21" x14ac:dyDescent="0.25">
      <c r="A32" s="122"/>
      <c r="B32" s="83">
        <f t="shared" si="4"/>
        <v>223</v>
      </c>
      <c r="C32" s="15">
        <v>30</v>
      </c>
      <c r="D32" s="549">
        <v>977.71</v>
      </c>
      <c r="E32" s="802">
        <v>44846</v>
      </c>
      <c r="F32" s="549">
        <f t="shared" si="9"/>
        <v>977.71</v>
      </c>
      <c r="G32" s="331" t="s">
        <v>476</v>
      </c>
      <c r="H32" s="332">
        <v>137</v>
      </c>
      <c r="I32" s="105">
        <f t="shared" si="6"/>
        <v>6925.920000000001</v>
      </c>
      <c r="J32" s="17">
        <f t="shared" si="2"/>
        <v>133946.27000000002</v>
      </c>
      <c r="L32" s="122"/>
      <c r="M32" s="183">
        <f t="shared" si="7"/>
        <v>148</v>
      </c>
      <c r="N32" s="15"/>
      <c r="O32" s="69"/>
      <c r="P32" s="203"/>
      <c r="Q32" s="69">
        <f t="shared" si="1"/>
        <v>0</v>
      </c>
      <c r="R32" s="70"/>
      <c r="S32" s="71"/>
      <c r="T32" s="105">
        <f t="shared" si="8"/>
        <v>4552.2100000000009</v>
      </c>
      <c r="U32" s="17">
        <f t="shared" si="3"/>
        <v>0</v>
      </c>
    </row>
    <row r="33" spans="1:21" x14ac:dyDescent="0.25">
      <c r="A33" s="122"/>
      <c r="B33" s="83">
        <f t="shared" si="4"/>
        <v>222</v>
      </c>
      <c r="C33" s="15">
        <v>1</v>
      </c>
      <c r="D33" s="549">
        <v>27.85</v>
      </c>
      <c r="E33" s="802">
        <v>44847</v>
      </c>
      <c r="F33" s="549">
        <f t="shared" si="9"/>
        <v>27.85</v>
      </c>
      <c r="G33" s="331" t="s">
        <v>478</v>
      </c>
      <c r="H33" s="332">
        <v>137</v>
      </c>
      <c r="I33" s="105">
        <f t="shared" si="6"/>
        <v>6898.0700000000006</v>
      </c>
      <c r="J33" s="17">
        <f t="shared" si="2"/>
        <v>3815.4500000000003</v>
      </c>
      <c r="L33" s="122"/>
      <c r="M33" s="183">
        <f t="shared" si="7"/>
        <v>148</v>
      </c>
      <c r="N33" s="15"/>
      <c r="O33" s="69"/>
      <c r="P33" s="203"/>
      <c r="Q33" s="69">
        <f t="shared" si="1"/>
        <v>0</v>
      </c>
      <c r="R33" s="70"/>
      <c r="S33" s="71"/>
      <c r="T33" s="105">
        <f t="shared" si="8"/>
        <v>4552.2100000000009</v>
      </c>
      <c r="U33" s="17">
        <f t="shared" si="3"/>
        <v>0</v>
      </c>
    </row>
    <row r="34" spans="1:21" x14ac:dyDescent="0.25">
      <c r="A34" s="122"/>
      <c r="B34" s="83">
        <f t="shared" si="4"/>
        <v>217</v>
      </c>
      <c r="C34" s="15">
        <v>5</v>
      </c>
      <c r="D34" s="549">
        <v>156.31</v>
      </c>
      <c r="E34" s="802">
        <v>44848</v>
      </c>
      <c r="F34" s="549">
        <f t="shared" si="9"/>
        <v>156.31</v>
      </c>
      <c r="G34" s="331" t="s">
        <v>493</v>
      </c>
      <c r="H34" s="332">
        <v>137</v>
      </c>
      <c r="I34" s="105">
        <f t="shared" si="6"/>
        <v>6741.76</v>
      </c>
      <c r="J34" s="17">
        <f t="shared" si="2"/>
        <v>21414.47</v>
      </c>
      <c r="L34" s="122"/>
      <c r="M34" s="183">
        <f t="shared" si="7"/>
        <v>148</v>
      </c>
      <c r="N34" s="15"/>
      <c r="O34" s="69"/>
      <c r="P34" s="203"/>
      <c r="Q34" s="69">
        <f t="shared" si="1"/>
        <v>0</v>
      </c>
      <c r="R34" s="70"/>
      <c r="S34" s="71"/>
      <c r="T34" s="105">
        <f t="shared" si="8"/>
        <v>4552.2100000000009</v>
      </c>
      <c r="U34" s="17">
        <f t="shared" si="3"/>
        <v>0</v>
      </c>
    </row>
    <row r="35" spans="1:21" x14ac:dyDescent="0.25">
      <c r="A35" s="122"/>
      <c r="B35" s="83">
        <f t="shared" si="4"/>
        <v>216</v>
      </c>
      <c r="C35" s="15">
        <v>1</v>
      </c>
      <c r="D35" s="549">
        <v>27.4</v>
      </c>
      <c r="E35" s="802">
        <v>44848</v>
      </c>
      <c r="F35" s="549">
        <f t="shared" si="9"/>
        <v>27.4</v>
      </c>
      <c r="G35" s="331" t="s">
        <v>493</v>
      </c>
      <c r="H35" s="332">
        <v>137</v>
      </c>
      <c r="I35" s="105">
        <f t="shared" si="6"/>
        <v>6714.3600000000006</v>
      </c>
      <c r="J35" s="17">
        <f t="shared" si="2"/>
        <v>3753.7999999999997</v>
      </c>
      <c r="L35" s="122"/>
      <c r="M35" s="183">
        <f t="shared" si="7"/>
        <v>148</v>
      </c>
      <c r="N35" s="15"/>
      <c r="O35" s="69"/>
      <c r="P35" s="203"/>
      <c r="Q35" s="69">
        <f t="shared" si="1"/>
        <v>0</v>
      </c>
      <c r="R35" s="70"/>
      <c r="S35" s="71"/>
      <c r="T35" s="105">
        <f t="shared" si="8"/>
        <v>4552.2100000000009</v>
      </c>
      <c r="U35" s="17">
        <f t="shared" si="3"/>
        <v>0</v>
      </c>
    </row>
    <row r="36" spans="1:21" x14ac:dyDescent="0.25">
      <c r="A36" s="122"/>
      <c r="B36" s="83">
        <f t="shared" si="4"/>
        <v>215</v>
      </c>
      <c r="C36" s="15">
        <v>1</v>
      </c>
      <c r="D36" s="549">
        <v>30.39</v>
      </c>
      <c r="E36" s="802">
        <v>44849</v>
      </c>
      <c r="F36" s="549">
        <f t="shared" si="9"/>
        <v>30.39</v>
      </c>
      <c r="G36" s="331" t="s">
        <v>498</v>
      </c>
      <c r="H36" s="332">
        <v>137</v>
      </c>
      <c r="I36" s="105">
        <f t="shared" si="6"/>
        <v>6683.97</v>
      </c>
      <c r="J36" s="17">
        <f t="shared" si="2"/>
        <v>4163.43</v>
      </c>
      <c r="L36" s="122"/>
      <c r="M36" s="183">
        <f t="shared" si="7"/>
        <v>148</v>
      </c>
      <c r="N36" s="15"/>
      <c r="O36" s="69"/>
      <c r="P36" s="203"/>
      <c r="Q36" s="69">
        <f t="shared" si="1"/>
        <v>0</v>
      </c>
      <c r="R36" s="70"/>
      <c r="S36" s="71"/>
      <c r="T36" s="105">
        <f t="shared" si="8"/>
        <v>4552.2100000000009</v>
      </c>
      <c r="U36" s="17">
        <f t="shared" si="3"/>
        <v>0</v>
      </c>
    </row>
    <row r="37" spans="1:21" x14ac:dyDescent="0.25">
      <c r="A37" s="122" t="s">
        <v>22</v>
      </c>
      <c r="B37" s="83">
        <f t="shared" si="4"/>
        <v>185</v>
      </c>
      <c r="C37" s="15">
        <v>30</v>
      </c>
      <c r="D37" s="549">
        <v>964.07</v>
      </c>
      <c r="E37" s="802">
        <v>44849</v>
      </c>
      <c r="F37" s="549">
        <f t="shared" si="9"/>
        <v>964.07</v>
      </c>
      <c r="G37" s="331" t="s">
        <v>505</v>
      </c>
      <c r="H37" s="332">
        <v>137</v>
      </c>
      <c r="I37" s="105">
        <f t="shared" si="6"/>
        <v>5719.9000000000005</v>
      </c>
      <c r="J37" s="17">
        <f t="shared" si="2"/>
        <v>132077.59</v>
      </c>
      <c r="L37" s="122" t="s">
        <v>22</v>
      </c>
      <c r="M37" s="183">
        <f t="shared" si="7"/>
        <v>148</v>
      </c>
      <c r="N37" s="15"/>
      <c r="O37" s="69"/>
      <c r="P37" s="203"/>
      <c r="Q37" s="69">
        <f t="shared" si="1"/>
        <v>0</v>
      </c>
      <c r="R37" s="70"/>
      <c r="S37" s="71"/>
      <c r="T37" s="105">
        <f t="shared" si="8"/>
        <v>4552.2100000000009</v>
      </c>
      <c r="U37" s="17">
        <f t="shared" si="3"/>
        <v>0</v>
      </c>
    </row>
    <row r="38" spans="1:21" x14ac:dyDescent="0.25">
      <c r="A38" s="123"/>
      <c r="B38" s="83">
        <f t="shared" si="4"/>
        <v>175</v>
      </c>
      <c r="C38" s="15">
        <v>10</v>
      </c>
      <c r="D38" s="549">
        <v>299.69</v>
      </c>
      <c r="E38" s="802">
        <v>44851</v>
      </c>
      <c r="F38" s="549">
        <f t="shared" si="9"/>
        <v>299.69</v>
      </c>
      <c r="G38" s="331" t="s">
        <v>506</v>
      </c>
      <c r="H38" s="332">
        <v>137</v>
      </c>
      <c r="I38" s="105">
        <f t="shared" si="6"/>
        <v>5420.2100000000009</v>
      </c>
      <c r="J38" s="17">
        <f t="shared" si="2"/>
        <v>41057.53</v>
      </c>
      <c r="L38" s="123"/>
      <c r="M38" s="183">
        <f t="shared" si="7"/>
        <v>148</v>
      </c>
      <c r="N38" s="15"/>
      <c r="O38" s="69"/>
      <c r="P38" s="203"/>
      <c r="Q38" s="69">
        <f t="shared" si="1"/>
        <v>0</v>
      </c>
      <c r="R38" s="70"/>
      <c r="S38" s="71"/>
      <c r="T38" s="105">
        <f t="shared" si="8"/>
        <v>4552.2100000000009</v>
      </c>
      <c r="U38" s="17">
        <f t="shared" si="3"/>
        <v>0</v>
      </c>
    </row>
    <row r="39" spans="1:21" x14ac:dyDescent="0.25">
      <c r="A39" s="122"/>
      <c r="B39" s="83">
        <f t="shared" si="4"/>
        <v>145</v>
      </c>
      <c r="C39" s="15">
        <v>30</v>
      </c>
      <c r="D39" s="549">
        <v>939.13</v>
      </c>
      <c r="E39" s="802">
        <v>44852</v>
      </c>
      <c r="F39" s="549">
        <f t="shared" si="9"/>
        <v>939.13</v>
      </c>
      <c r="G39" s="331" t="s">
        <v>511</v>
      </c>
      <c r="H39" s="332">
        <v>137</v>
      </c>
      <c r="I39" s="105">
        <f t="shared" si="6"/>
        <v>4481.0800000000008</v>
      </c>
      <c r="J39" s="17">
        <f t="shared" si="2"/>
        <v>128660.81</v>
      </c>
      <c r="L39" s="122"/>
      <c r="M39" s="183">
        <f t="shared" si="7"/>
        <v>148</v>
      </c>
      <c r="N39" s="15"/>
      <c r="O39" s="69"/>
      <c r="P39" s="203"/>
      <c r="Q39" s="69">
        <f t="shared" si="1"/>
        <v>0</v>
      </c>
      <c r="R39" s="70"/>
      <c r="S39" s="71"/>
      <c r="T39" s="105">
        <f t="shared" si="8"/>
        <v>4552.2100000000009</v>
      </c>
      <c r="U39" s="17">
        <f t="shared" si="3"/>
        <v>0</v>
      </c>
    </row>
    <row r="40" spans="1:21" x14ac:dyDescent="0.25">
      <c r="A40" s="122"/>
      <c r="B40" s="83">
        <f t="shared" si="4"/>
        <v>144</v>
      </c>
      <c r="C40" s="15">
        <v>1</v>
      </c>
      <c r="D40" s="549">
        <v>22.82</v>
      </c>
      <c r="E40" s="802">
        <v>44853</v>
      </c>
      <c r="F40" s="549">
        <f t="shared" si="9"/>
        <v>22.82</v>
      </c>
      <c r="G40" s="331" t="s">
        <v>515</v>
      </c>
      <c r="H40" s="332">
        <v>137</v>
      </c>
      <c r="I40" s="105">
        <f t="shared" si="6"/>
        <v>4458.2600000000011</v>
      </c>
      <c r="J40" s="17">
        <f t="shared" si="2"/>
        <v>3126.34</v>
      </c>
      <c r="L40" s="122"/>
      <c r="M40" s="183">
        <f t="shared" si="7"/>
        <v>148</v>
      </c>
      <c r="N40" s="15"/>
      <c r="O40" s="69"/>
      <c r="P40" s="203"/>
      <c r="Q40" s="69">
        <f t="shared" si="1"/>
        <v>0</v>
      </c>
      <c r="R40" s="70"/>
      <c r="S40" s="71"/>
      <c r="T40" s="105">
        <f t="shared" si="8"/>
        <v>4552.2100000000009</v>
      </c>
      <c r="U40" s="17">
        <f t="shared" si="3"/>
        <v>0</v>
      </c>
    </row>
    <row r="41" spans="1:21" x14ac:dyDescent="0.25">
      <c r="A41" s="122"/>
      <c r="B41" s="83">
        <f t="shared" si="4"/>
        <v>134</v>
      </c>
      <c r="C41" s="15">
        <v>10</v>
      </c>
      <c r="D41" s="549">
        <v>286.45</v>
      </c>
      <c r="E41" s="802">
        <v>44853</v>
      </c>
      <c r="F41" s="549">
        <f t="shared" si="9"/>
        <v>286.45</v>
      </c>
      <c r="G41" s="331" t="s">
        <v>516</v>
      </c>
      <c r="H41" s="332">
        <v>137</v>
      </c>
      <c r="I41" s="105">
        <f t="shared" si="6"/>
        <v>4171.8100000000013</v>
      </c>
      <c r="J41" s="17">
        <f t="shared" si="2"/>
        <v>39243.65</v>
      </c>
      <c r="L41" s="122"/>
      <c r="M41" s="183">
        <f t="shared" si="7"/>
        <v>148</v>
      </c>
      <c r="N41" s="15"/>
      <c r="O41" s="69"/>
      <c r="P41" s="203"/>
      <c r="Q41" s="69">
        <f t="shared" si="1"/>
        <v>0</v>
      </c>
      <c r="R41" s="70"/>
      <c r="S41" s="71"/>
      <c r="T41" s="105">
        <f t="shared" si="8"/>
        <v>4552.2100000000009</v>
      </c>
      <c r="U41" s="17">
        <f t="shared" si="3"/>
        <v>0</v>
      </c>
    </row>
    <row r="42" spans="1:21" x14ac:dyDescent="0.25">
      <c r="A42" s="122"/>
      <c r="B42" s="83">
        <f t="shared" si="4"/>
        <v>133</v>
      </c>
      <c r="C42" s="15">
        <v>1</v>
      </c>
      <c r="D42" s="549">
        <v>29.48</v>
      </c>
      <c r="E42" s="802">
        <v>44855</v>
      </c>
      <c r="F42" s="549">
        <f t="shared" si="9"/>
        <v>29.48</v>
      </c>
      <c r="G42" s="331" t="s">
        <v>535</v>
      </c>
      <c r="H42" s="332">
        <v>137</v>
      </c>
      <c r="I42" s="105">
        <f t="shared" si="6"/>
        <v>4142.3300000000017</v>
      </c>
      <c r="J42" s="17">
        <f t="shared" si="2"/>
        <v>4038.76</v>
      </c>
      <c r="L42" s="122"/>
      <c r="M42" s="183">
        <f t="shared" si="7"/>
        <v>148</v>
      </c>
      <c r="N42" s="15"/>
      <c r="O42" s="69"/>
      <c r="P42" s="203"/>
      <c r="Q42" s="69">
        <f t="shared" si="1"/>
        <v>0</v>
      </c>
      <c r="R42" s="70"/>
      <c r="S42" s="71"/>
      <c r="T42" s="105">
        <f t="shared" si="8"/>
        <v>4552.2100000000009</v>
      </c>
      <c r="U42" s="17">
        <f t="shared" si="3"/>
        <v>0</v>
      </c>
    </row>
    <row r="43" spans="1:21" x14ac:dyDescent="0.25">
      <c r="A43" s="122"/>
      <c r="B43" s="83">
        <f t="shared" si="4"/>
        <v>128</v>
      </c>
      <c r="C43" s="15">
        <v>5</v>
      </c>
      <c r="D43" s="549">
        <v>153.26</v>
      </c>
      <c r="E43" s="802">
        <v>44855</v>
      </c>
      <c r="F43" s="549">
        <f t="shared" si="9"/>
        <v>153.26</v>
      </c>
      <c r="G43" s="331" t="s">
        <v>535</v>
      </c>
      <c r="H43" s="332">
        <v>137</v>
      </c>
      <c r="I43" s="105">
        <f t="shared" si="6"/>
        <v>3989.0700000000015</v>
      </c>
      <c r="J43" s="17">
        <f t="shared" si="2"/>
        <v>20996.62</v>
      </c>
      <c r="L43" s="122"/>
      <c r="M43" s="183">
        <f t="shared" si="7"/>
        <v>148</v>
      </c>
      <c r="N43" s="15"/>
      <c r="O43" s="69"/>
      <c r="P43" s="203"/>
      <c r="Q43" s="69">
        <f t="shared" si="1"/>
        <v>0</v>
      </c>
      <c r="R43" s="70"/>
      <c r="S43" s="71"/>
      <c r="T43" s="105">
        <f t="shared" si="8"/>
        <v>4552.2100000000009</v>
      </c>
      <c r="U43" s="17">
        <f t="shared" si="3"/>
        <v>0</v>
      </c>
    </row>
    <row r="44" spans="1:21" x14ac:dyDescent="0.25">
      <c r="A44" s="122"/>
      <c r="B44" s="83">
        <f t="shared" si="4"/>
        <v>127</v>
      </c>
      <c r="C44" s="15">
        <v>1</v>
      </c>
      <c r="D44" s="549">
        <v>31.84</v>
      </c>
      <c r="E44" s="802">
        <v>44856</v>
      </c>
      <c r="F44" s="549">
        <f t="shared" si="9"/>
        <v>31.84</v>
      </c>
      <c r="G44" s="331" t="s">
        <v>539</v>
      </c>
      <c r="H44" s="332">
        <v>137</v>
      </c>
      <c r="I44" s="105">
        <f t="shared" si="6"/>
        <v>3957.2300000000014</v>
      </c>
      <c r="J44" s="17">
        <f t="shared" si="2"/>
        <v>4362.08</v>
      </c>
      <c r="L44" s="122"/>
      <c r="M44" s="183">
        <f t="shared" si="7"/>
        <v>148</v>
      </c>
      <c r="N44" s="15"/>
      <c r="O44" s="69"/>
      <c r="P44" s="203"/>
      <c r="Q44" s="69">
        <f t="shared" si="1"/>
        <v>0</v>
      </c>
      <c r="R44" s="70"/>
      <c r="S44" s="71"/>
      <c r="T44" s="105">
        <f t="shared" si="8"/>
        <v>4552.2100000000009</v>
      </c>
      <c r="U44" s="17">
        <f t="shared" si="3"/>
        <v>0</v>
      </c>
    </row>
    <row r="45" spans="1:21" x14ac:dyDescent="0.25">
      <c r="A45" s="122"/>
      <c r="B45" s="83">
        <f t="shared" si="4"/>
        <v>97</v>
      </c>
      <c r="C45" s="15">
        <v>30</v>
      </c>
      <c r="D45" s="549">
        <v>932.98</v>
      </c>
      <c r="E45" s="802">
        <v>44856</v>
      </c>
      <c r="F45" s="549">
        <f t="shared" si="9"/>
        <v>932.98</v>
      </c>
      <c r="G45" s="331" t="s">
        <v>541</v>
      </c>
      <c r="H45" s="332">
        <v>137</v>
      </c>
      <c r="I45" s="105">
        <f t="shared" si="6"/>
        <v>3024.2500000000014</v>
      </c>
      <c r="J45" s="17">
        <f t="shared" si="2"/>
        <v>127818.26000000001</v>
      </c>
      <c r="L45" s="122"/>
      <c r="M45" s="183">
        <f t="shared" si="7"/>
        <v>148</v>
      </c>
      <c r="N45" s="15"/>
      <c r="O45" s="69"/>
      <c r="P45" s="203"/>
      <c r="Q45" s="69">
        <f t="shared" si="1"/>
        <v>0</v>
      </c>
      <c r="R45" s="70"/>
      <c r="S45" s="71"/>
      <c r="T45" s="105">
        <f t="shared" si="8"/>
        <v>4552.2100000000009</v>
      </c>
      <c r="U45" s="17">
        <f t="shared" si="3"/>
        <v>0</v>
      </c>
    </row>
    <row r="46" spans="1:21" x14ac:dyDescent="0.25">
      <c r="A46" s="122"/>
      <c r="B46" s="83">
        <f t="shared" si="4"/>
        <v>67</v>
      </c>
      <c r="C46" s="15">
        <v>30</v>
      </c>
      <c r="D46" s="549">
        <v>996.94</v>
      </c>
      <c r="E46" s="802">
        <v>44858</v>
      </c>
      <c r="F46" s="549">
        <f t="shared" si="9"/>
        <v>996.94</v>
      </c>
      <c r="G46" s="331" t="s">
        <v>549</v>
      </c>
      <c r="H46" s="332">
        <v>137</v>
      </c>
      <c r="I46" s="105">
        <f t="shared" si="6"/>
        <v>2027.3100000000013</v>
      </c>
      <c r="J46" s="17">
        <f t="shared" si="2"/>
        <v>136580.78</v>
      </c>
      <c r="L46" s="122"/>
      <c r="M46" s="183">
        <f t="shared" si="7"/>
        <v>148</v>
      </c>
      <c r="N46" s="15"/>
      <c r="O46" s="69"/>
      <c r="P46" s="203"/>
      <c r="Q46" s="69">
        <f t="shared" si="1"/>
        <v>0</v>
      </c>
      <c r="R46" s="70"/>
      <c r="S46" s="71"/>
      <c r="T46" s="105">
        <f t="shared" si="8"/>
        <v>4552.2100000000009</v>
      </c>
      <c r="U46" s="17">
        <f t="shared" si="3"/>
        <v>0</v>
      </c>
    </row>
    <row r="47" spans="1:21" x14ac:dyDescent="0.25">
      <c r="A47" s="122"/>
      <c r="B47" s="83">
        <f t="shared" si="4"/>
        <v>62</v>
      </c>
      <c r="C47" s="15">
        <v>5</v>
      </c>
      <c r="D47" s="549">
        <v>156.21</v>
      </c>
      <c r="E47" s="802">
        <v>44859</v>
      </c>
      <c r="F47" s="549">
        <f t="shared" si="9"/>
        <v>156.21</v>
      </c>
      <c r="G47" s="331" t="s">
        <v>550</v>
      </c>
      <c r="H47" s="332">
        <v>137</v>
      </c>
      <c r="I47" s="105">
        <f t="shared" si="6"/>
        <v>1871.1000000000013</v>
      </c>
      <c r="J47" s="17">
        <f t="shared" si="2"/>
        <v>21400.77</v>
      </c>
      <c r="L47" s="122"/>
      <c r="M47" s="183">
        <f t="shared" si="7"/>
        <v>148</v>
      </c>
      <c r="N47" s="15"/>
      <c r="O47" s="69"/>
      <c r="P47" s="203"/>
      <c r="Q47" s="69">
        <f t="shared" si="1"/>
        <v>0</v>
      </c>
      <c r="R47" s="70"/>
      <c r="S47" s="71"/>
      <c r="T47" s="105">
        <f t="shared" si="8"/>
        <v>4552.2100000000009</v>
      </c>
      <c r="U47" s="17">
        <f t="shared" si="3"/>
        <v>0</v>
      </c>
    </row>
    <row r="48" spans="1:21" x14ac:dyDescent="0.25">
      <c r="A48" s="122"/>
      <c r="B48" s="83">
        <f t="shared" si="4"/>
        <v>52</v>
      </c>
      <c r="C48" s="15">
        <v>10</v>
      </c>
      <c r="D48" s="549">
        <v>313.26</v>
      </c>
      <c r="E48" s="802">
        <v>44860</v>
      </c>
      <c r="F48" s="549">
        <f t="shared" si="9"/>
        <v>313.26</v>
      </c>
      <c r="G48" s="331" t="s">
        <v>556</v>
      </c>
      <c r="H48" s="332">
        <v>137</v>
      </c>
      <c r="I48" s="105">
        <f t="shared" si="6"/>
        <v>1557.8400000000013</v>
      </c>
      <c r="J48" s="17">
        <f t="shared" si="2"/>
        <v>42916.619999999995</v>
      </c>
      <c r="L48" s="122"/>
      <c r="M48" s="183">
        <f t="shared" si="7"/>
        <v>148</v>
      </c>
      <c r="N48" s="15"/>
      <c r="O48" s="69"/>
      <c r="P48" s="203"/>
      <c r="Q48" s="69">
        <f t="shared" si="1"/>
        <v>0</v>
      </c>
      <c r="R48" s="70"/>
      <c r="S48" s="71"/>
      <c r="T48" s="105">
        <f t="shared" si="8"/>
        <v>4552.2100000000009</v>
      </c>
      <c r="U48" s="17">
        <f t="shared" si="3"/>
        <v>0</v>
      </c>
    </row>
    <row r="49" spans="1:21" x14ac:dyDescent="0.25">
      <c r="A49" s="122"/>
      <c r="B49" s="83">
        <f t="shared" si="4"/>
        <v>51</v>
      </c>
      <c r="C49" s="15">
        <v>1</v>
      </c>
      <c r="D49" s="549">
        <v>31.71</v>
      </c>
      <c r="E49" s="802">
        <v>44860</v>
      </c>
      <c r="F49" s="549">
        <f t="shared" si="9"/>
        <v>31.71</v>
      </c>
      <c r="G49" s="331" t="s">
        <v>560</v>
      </c>
      <c r="H49" s="332">
        <v>137</v>
      </c>
      <c r="I49" s="105">
        <f t="shared" si="6"/>
        <v>1526.1300000000012</v>
      </c>
      <c r="J49" s="17">
        <f t="shared" si="2"/>
        <v>4344.2700000000004</v>
      </c>
      <c r="L49" s="122"/>
      <c r="M49" s="183">
        <f t="shared" si="7"/>
        <v>148</v>
      </c>
      <c r="N49" s="15"/>
      <c r="O49" s="69"/>
      <c r="P49" s="203"/>
      <c r="Q49" s="69">
        <f t="shared" si="1"/>
        <v>0</v>
      </c>
      <c r="R49" s="70"/>
      <c r="S49" s="71"/>
      <c r="T49" s="105">
        <f t="shared" si="8"/>
        <v>4552.2100000000009</v>
      </c>
      <c r="U49" s="17">
        <f t="shared" si="3"/>
        <v>0</v>
      </c>
    </row>
    <row r="50" spans="1:21" x14ac:dyDescent="0.25">
      <c r="A50" s="122"/>
      <c r="B50" s="83">
        <f t="shared" si="4"/>
        <v>21</v>
      </c>
      <c r="C50" s="15">
        <v>30</v>
      </c>
      <c r="D50" s="549">
        <v>904.72</v>
      </c>
      <c r="E50" s="802">
        <v>44860</v>
      </c>
      <c r="F50" s="549">
        <f t="shared" si="9"/>
        <v>904.72</v>
      </c>
      <c r="G50" s="331" t="s">
        <v>566</v>
      </c>
      <c r="H50" s="332">
        <v>137</v>
      </c>
      <c r="I50" s="105">
        <f t="shared" si="6"/>
        <v>621.41000000000122</v>
      </c>
      <c r="J50" s="17">
        <f t="shared" si="2"/>
        <v>123946.64</v>
      </c>
      <c r="L50" s="122"/>
      <c r="M50" s="183">
        <f t="shared" si="7"/>
        <v>148</v>
      </c>
      <c r="N50" s="15"/>
      <c r="O50" s="69"/>
      <c r="P50" s="203"/>
      <c r="Q50" s="69">
        <f t="shared" si="1"/>
        <v>0</v>
      </c>
      <c r="R50" s="70"/>
      <c r="S50" s="71"/>
      <c r="T50" s="105">
        <f t="shared" si="8"/>
        <v>4552.2100000000009</v>
      </c>
      <c r="U50" s="17">
        <f t="shared" si="3"/>
        <v>0</v>
      </c>
    </row>
    <row r="51" spans="1:21" x14ac:dyDescent="0.25">
      <c r="A51" s="122"/>
      <c r="B51" s="83">
        <f t="shared" si="4"/>
        <v>20</v>
      </c>
      <c r="C51" s="15">
        <v>1</v>
      </c>
      <c r="D51" s="549">
        <v>36.700000000000003</v>
      </c>
      <c r="E51" s="802">
        <v>44861</v>
      </c>
      <c r="F51" s="549">
        <f t="shared" si="9"/>
        <v>36.700000000000003</v>
      </c>
      <c r="G51" s="331" t="s">
        <v>571</v>
      </c>
      <c r="H51" s="332">
        <v>137</v>
      </c>
      <c r="I51" s="105">
        <f t="shared" si="6"/>
        <v>584.71000000000117</v>
      </c>
      <c r="J51" s="17">
        <f t="shared" si="2"/>
        <v>5027.9000000000005</v>
      </c>
      <c r="L51" s="122"/>
      <c r="M51" s="183">
        <f t="shared" si="7"/>
        <v>148</v>
      </c>
      <c r="N51" s="15"/>
      <c r="O51" s="69"/>
      <c r="P51" s="203"/>
      <c r="Q51" s="69">
        <f t="shared" si="1"/>
        <v>0</v>
      </c>
      <c r="R51" s="70"/>
      <c r="S51" s="71"/>
      <c r="T51" s="105">
        <f t="shared" si="8"/>
        <v>4552.2100000000009</v>
      </c>
      <c r="U51" s="17">
        <f t="shared" si="3"/>
        <v>0</v>
      </c>
    </row>
    <row r="52" spans="1:21" x14ac:dyDescent="0.25">
      <c r="A52" s="122"/>
      <c r="B52" s="83">
        <f t="shared" si="4"/>
        <v>15</v>
      </c>
      <c r="C52" s="15">
        <v>5</v>
      </c>
      <c r="D52" s="549">
        <v>145.65</v>
      </c>
      <c r="E52" s="802">
        <v>44862</v>
      </c>
      <c r="F52" s="549">
        <f t="shared" si="9"/>
        <v>145.65</v>
      </c>
      <c r="G52" s="331" t="s">
        <v>572</v>
      </c>
      <c r="H52" s="332">
        <v>137</v>
      </c>
      <c r="I52" s="105">
        <f t="shared" si="6"/>
        <v>439.0600000000012</v>
      </c>
      <c r="J52" s="17">
        <f t="shared" si="2"/>
        <v>19954.05</v>
      </c>
      <c r="L52" s="122"/>
      <c r="M52" s="183">
        <f t="shared" si="7"/>
        <v>148</v>
      </c>
      <c r="N52" s="15"/>
      <c r="O52" s="69"/>
      <c r="P52" s="203"/>
      <c r="Q52" s="69">
        <f t="shared" si="1"/>
        <v>0</v>
      </c>
      <c r="R52" s="70"/>
      <c r="S52" s="71"/>
      <c r="T52" s="105">
        <f t="shared" si="8"/>
        <v>4552.2100000000009</v>
      </c>
      <c r="U52" s="17">
        <f t="shared" si="3"/>
        <v>0</v>
      </c>
    </row>
    <row r="53" spans="1:21" x14ac:dyDescent="0.25">
      <c r="A53" s="122"/>
      <c r="B53" s="83">
        <f t="shared" si="4"/>
        <v>15</v>
      </c>
      <c r="C53" s="15"/>
      <c r="D53" s="549"/>
      <c r="E53" s="802"/>
      <c r="F53" s="973">
        <f t="shared" si="9"/>
        <v>0</v>
      </c>
      <c r="G53" s="957"/>
      <c r="H53" s="958"/>
      <c r="I53" s="974">
        <f t="shared" si="6"/>
        <v>439.0600000000012</v>
      </c>
      <c r="J53" s="980">
        <f t="shared" si="2"/>
        <v>0</v>
      </c>
      <c r="L53" s="122"/>
      <c r="M53" s="183">
        <f t="shared" si="7"/>
        <v>148</v>
      </c>
      <c r="N53" s="15"/>
      <c r="O53" s="69"/>
      <c r="P53" s="203"/>
      <c r="Q53" s="69">
        <f t="shared" si="1"/>
        <v>0</v>
      </c>
      <c r="R53" s="70"/>
      <c r="S53" s="71"/>
      <c r="T53" s="105">
        <f t="shared" si="8"/>
        <v>4552.2100000000009</v>
      </c>
      <c r="U53" s="17">
        <f t="shared" si="3"/>
        <v>0</v>
      </c>
    </row>
    <row r="54" spans="1:21" x14ac:dyDescent="0.25">
      <c r="A54" s="122"/>
      <c r="B54" s="83">
        <f t="shared" si="4"/>
        <v>15</v>
      </c>
      <c r="C54" s="15"/>
      <c r="D54" s="549"/>
      <c r="E54" s="802"/>
      <c r="F54" s="973">
        <f t="shared" si="9"/>
        <v>0</v>
      </c>
      <c r="G54" s="957"/>
      <c r="H54" s="958"/>
      <c r="I54" s="974">
        <f t="shared" si="6"/>
        <v>439.0600000000012</v>
      </c>
      <c r="J54" s="980">
        <f t="shared" si="2"/>
        <v>0</v>
      </c>
      <c r="L54" s="122"/>
      <c r="M54" s="183">
        <f t="shared" si="7"/>
        <v>148</v>
      </c>
      <c r="N54" s="15"/>
      <c r="O54" s="69"/>
      <c r="P54" s="203"/>
      <c r="Q54" s="69">
        <f t="shared" si="1"/>
        <v>0</v>
      </c>
      <c r="R54" s="70"/>
      <c r="S54" s="71"/>
      <c r="T54" s="105">
        <f t="shared" si="8"/>
        <v>4552.2100000000009</v>
      </c>
      <c r="U54" s="17">
        <f t="shared" si="3"/>
        <v>0</v>
      </c>
    </row>
    <row r="55" spans="1:21" x14ac:dyDescent="0.25">
      <c r="A55" s="122"/>
      <c r="B55" s="83">
        <f t="shared" si="4"/>
        <v>0</v>
      </c>
      <c r="C55" s="15">
        <v>15</v>
      </c>
      <c r="D55" s="549"/>
      <c r="E55" s="802"/>
      <c r="F55" s="973">
        <v>439.06</v>
      </c>
      <c r="G55" s="957"/>
      <c r="H55" s="958"/>
      <c r="I55" s="974">
        <f t="shared" si="6"/>
        <v>1.1937117960769683E-12</v>
      </c>
      <c r="J55" s="980">
        <f t="shared" si="2"/>
        <v>0</v>
      </c>
      <c r="L55" s="122"/>
      <c r="M55" s="183">
        <f t="shared" si="7"/>
        <v>148</v>
      </c>
      <c r="N55" s="15"/>
      <c r="O55" s="69"/>
      <c r="P55" s="203"/>
      <c r="Q55" s="69">
        <f t="shared" si="1"/>
        <v>0</v>
      </c>
      <c r="R55" s="70"/>
      <c r="S55" s="71"/>
      <c r="T55" s="105">
        <f t="shared" si="8"/>
        <v>4552.2100000000009</v>
      </c>
      <c r="U55" s="17">
        <f t="shared" si="3"/>
        <v>0</v>
      </c>
    </row>
    <row r="56" spans="1:21" x14ac:dyDescent="0.25">
      <c r="A56" s="122"/>
      <c r="B56" s="83">
        <f t="shared" si="4"/>
        <v>0</v>
      </c>
      <c r="C56" s="15"/>
      <c r="D56" s="549"/>
      <c r="E56" s="802"/>
      <c r="F56" s="973">
        <f t="shared" si="9"/>
        <v>0</v>
      </c>
      <c r="G56" s="957"/>
      <c r="H56" s="958"/>
      <c r="I56" s="974">
        <f t="shared" si="6"/>
        <v>1.1937117960769683E-12</v>
      </c>
      <c r="J56" s="980">
        <f t="shared" si="2"/>
        <v>0</v>
      </c>
      <c r="L56" s="122"/>
      <c r="M56" s="183">
        <f t="shared" si="7"/>
        <v>148</v>
      </c>
      <c r="N56" s="15"/>
      <c r="O56" s="69"/>
      <c r="P56" s="203"/>
      <c r="Q56" s="69">
        <f t="shared" si="1"/>
        <v>0</v>
      </c>
      <c r="R56" s="70"/>
      <c r="S56" s="71"/>
      <c r="T56" s="105">
        <f t="shared" si="8"/>
        <v>4552.2100000000009</v>
      </c>
      <c r="U56" s="17">
        <f t="shared" si="3"/>
        <v>0</v>
      </c>
    </row>
    <row r="57" spans="1:21" x14ac:dyDescent="0.25">
      <c r="A57" s="122"/>
      <c r="B57" s="83">
        <f t="shared" si="4"/>
        <v>0</v>
      </c>
      <c r="C57" s="15"/>
      <c r="D57" s="549"/>
      <c r="E57" s="802"/>
      <c r="F57" s="549">
        <f t="shared" si="9"/>
        <v>0</v>
      </c>
      <c r="G57" s="331"/>
      <c r="H57" s="332"/>
      <c r="I57" s="105">
        <f t="shared" si="6"/>
        <v>1.1937117960769683E-12</v>
      </c>
      <c r="J57" s="17">
        <f t="shared" si="2"/>
        <v>0</v>
      </c>
      <c r="L57" s="122"/>
      <c r="M57" s="183">
        <f t="shared" si="7"/>
        <v>148</v>
      </c>
      <c r="N57" s="15"/>
      <c r="O57" s="69"/>
      <c r="P57" s="203"/>
      <c r="Q57" s="69">
        <f t="shared" si="1"/>
        <v>0</v>
      </c>
      <c r="R57" s="70"/>
      <c r="S57" s="71"/>
      <c r="T57" s="105">
        <f t="shared" si="8"/>
        <v>4552.2100000000009</v>
      </c>
      <c r="U57" s="17">
        <f t="shared" si="3"/>
        <v>0</v>
      </c>
    </row>
    <row r="58" spans="1:21" x14ac:dyDescent="0.25">
      <c r="A58" s="122"/>
      <c r="B58" s="83">
        <f t="shared" si="4"/>
        <v>0</v>
      </c>
      <c r="C58" s="15"/>
      <c r="D58" s="549"/>
      <c r="E58" s="802"/>
      <c r="F58" s="549">
        <v>0</v>
      </c>
      <c r="G58" s="331"/>
      <c r="H58" s="332"/>
      <c r="I58" s="105">
        <f t="shared" si="6"/>
        <v>1.1937117960769683E-12</v>
      </c>
      <c r="J58" s="17">
        <f t="shared" si="2"/>
        <v>0</v>
      </c>
      <c r="L58" s="122"/>
      <c r="M58" s="183">
        <f t="shared" si="7"/>
        <v>148</v>
      </c>
      <c r="N58" s="15"/>
      <c r="O58" s="69"/>
      <c r="P58" s="203"/>
      <c r="Q58" s="69">
        <v>0</v>
      </c>
      <c r="R58" s="70"/>
      <c r="S58" s="71"/>
      <c r="T58" s="105">
        <f t="shared" si="8"/>
        <v>4552.2100000000009</v>
      </c>
      <c r="U58" s="17">
        <f t="shared" si="3"/>
        <v>0</v>
      </c>
    </row>
    <row r="59" spans="1:21" x14ac:dyDescent="0.25">
      <c r="A59" s="122"/>
      <c r="B59" s="83">
        <f t="shared" si="4"/>
        <v>0</v>
      </c>
      <c r="C59" s="15"/>
      <c r="D59" s="549"/>
      <c r="E59" s="802"/>
      <c r="F59" s="549">
        <f t="shared" ref="F59:F74" si="10">D59</f>
        <v>0</v>
      </c>
      <c r="G59" s="331"/>
      <c r="H59" s="332"/>
      <c r="I59" s="105">
        <f t="shared" si="6"/>
        <v>1.1937117960769683E-12</v>
      </c>
      <c r="J59" s="17">
        <f t="shared" si="2"/>
        <v>0</v>
      </c>
      <c r="L59" s="122"/>
      <c r="M59" s="183">
        <f t="shared" si="7"/>
        <v>148</v>
      </c>
      <c r="N59" s="15"/>
      <c r="O59" s="69"/>
      <c r="P59" s="203"/>
      <c r="Q59" s="69">
        <f t="shared" ref="Q59:Q74" si="11">O59</f>
        <v>0</v>
      </c>
      <c r="R59" s="70"/>
      <c r="S59" s="71"/>
      <c r="T59" s="105">
        <f t="shared" si="8"/>
        <v>4552.2100000000009</v>
      </c>
      <c r="U59" s="17">
        <f t="shared" si="3"/>
        <v>0</v>
      </c>
    </row>
    <row r="60" spans="1:21" x14ac:dyDescent="0.25">
      <c r="A60" s="122"/>
      <c r="B60" s="83">
        <f t="shared" si="4"/>
        <v>0</v>
      </c>
      <c r="C60" s="15"/>
      <c r="D60" s="549"/>
      <c r="E60" s="802"/>
      <c r="F60" s="549">
        <f t="shared" si="10"/>
        <v>0</v>
      </c>
      <c r="G60" s="331"/>
      <c r="H60" s="332"/>
      <c r="I60" s="105">
        <f t="shared" si="6"/>
        <v>1.1937117960769683E-12</v>
      </c>
      <c r="J60" s="17">
        <f t="shared" si="2"/>
        <v>0</v>
      </c>
      <c r="L60" s="122"/>
      <c r="M60" s="183">
        <f t="shared" si="7"/>
        <v>148</v>
      </c>
      <c r="N60" s="15"/>
      <c r="O60" s="69"/>
      <c r="P60" s="203"/>
      <c r="Q60" s="69">
        <f t="shared" si="11"/>
        <v>0</v>
      </c>
      <c r="R60" s="70"/>
      <c r="S60" s="71"/>
      <c r="T60" s="105">
        <f t="shared" si="8"/>
        <v>4552.2100000000009</v>
      </c>
      <c r="U60" s="17">
        <f t="shared" si="3"/>
        <v>0</v>
      </c>
    </row>
    <row r="61" spans="1:21" x14ac:dyDescent="0.25">
      <c r="A61" s="122"/>
      <c r="B61" s="83">
        <f t="shared" si="4"/>
        <v>0</v>
      </c>
      <c r="C61" s="15"/>
      <c r="D61" s="549"/>
      <c r="E61" s="802"/>
      <c r="F61" s="549">
        <f t="shared" si="10"/>
        <v>0</v>
      </c>
      <c r="G61" s="331"/>
      <c r="H61" s="332"/>
      <c r="I61" s="105">
        <f t="shared" si="6"/>
        <v>1.1937117960769683E-12</v>
      </c>
      <c r="J61" s="17">
        <f t="shared" si="2"/>
        <v>0</v>
      </c>
      <c r="L61" s="122"/>
      <c r="M61" s="183">
        <f t="shared" si="7"/>
        <v>148</v>
      </c>
      <c r="N61" s="15"/>
      <c r="O61" s="69"/>
      <c r="P61" s="203"/>
      <c r="Q61" s="69">
        <f t="shared" si="11"/>
        <v>0</v>
      </c>
      <c r="R61" s="70"/>
      <c r="S61" s="71"/>
      <c r="T61" s="105">
        <f t="shared" si="8"/>
        <v>4552.2100000000009</v>
      </c>
      <c r="U61" s="17">
        <f t="shared" si="3"/>
        <v>0</v>
      </c>
    </row>
    <row r="62" spans="1:21" x14ac:dyDescent="0.25">
      <c r="A62" s="122"/>
      <c r="B62" s="83">
        <f t="shared" si="4"/>
        <v>0</v>
      </c>
      <c r="C62" s="15"/>
      <c r="D62" s="69"/>
      <c r="E62" s="203"/>
      <c r="F62" s="69">
        <f t="shared" si="10"/>
        <v>0</v>
      </c>
      <c r="G62" s="70"/>
      <c r="H62" s="71"/>
      <c r="I62" s="105">
        <f t="shared" si="6"/>
        <v>1.1937117960769683E-12</v>
      </c>
      <c r="J62" s="17">
        <f t="shared" si="2"/>
        <v>0</v>
      </c>
      <c r="L62" s="122"/>
      <c r="M62" s="183">
        <f t="shared" si="7"/>
        <v>148</v>
      </c>
      <c r="N62" s="15"/>
      <c r="O62" s="69"/>
      <c r="P62" s="203"/>
      <c r="Q62" s="69">
        <f t="shared" si="11"/>
        <v>0</v>
      </c>
      <c r="R62" s="70"/>
      <c r="S62" s="71"/>
      <c r="T62" s="105">
        <f t="shared" si="8"/>
        <v>4552.2100000000009</v>
      </c>
      <c r="U62" s="17">
        <f t="shared" si="3"/>
        <v>0</v>
      </c>
    </row>
    <row r="63" spans="1:21" x14ac:dyDescent="0.25">
      <c r="A63" s="122"/>
      <c r="B63" s="83">
        <f t="shared" si="4"/>
        <v>0</v>
      </c>
      <c r="C63" s="15"/>
      <c r="D63" s="69"/>
      <c r="E63" s="203"/>
      <c r="F63" s="69">
        <f t="shared" si="10"/>
        <v>0</v>
      </c>
      <c r="G63" s="70"/>
      <c r="H63" s="71"/>
      <c r="I63" s="105">
        <f t="shared" si="6"/>
        <v>1.1937117960769683E-12</v>
      </c>
      <c r="J63" s="17">
        <f t="shared" si="2"/>
        <v>0</v>
      </c>
      <c r="L63" s="122"/>
      <c r="M63" s="183">
        <f t="shared" si="7"/>
        <v>148</v>
      </c>
      <c r="N63" s="15"/>
      <c r="O63" s="69"/>
      <c r="P63" s="203"/>
      <c r="Q63" s="69">
        <f t="shared" si="11"/>
        <v>0</v>
      </c>
      <c r="R63" s="70"/>
      <c r="S63" s="71"/>
      <c r="T63" s="105">
        <f t="shared" si="8"/>
        <v>4552.2100000000009</v>
      </c>
      <c r="U63" s="17">
        <f t="shared" si="3"/>
        <v>0</v>
      </c>
    </row>
    <row r="64" spans="1:21" x14ac:dyDescent="0.25">
      <c r="A64" s="122"/>
      <c r="B64" s="83">
        <f t="shared" si="4"/>
        <v>0</v>
      </c>
      <c r="C64" s="15"/>
      <c r="D64" s="69"/>
      <c r="E64" s="203"/>
      <c r="F64" s="69">
        <f t="shared" si="10"/>
        <v>0</v>
      </c>
      <c r="G64" s="70"/>
      <c r="H64" s="71"/>
      <c r="I64" s="105">
        <f t="shared" si="6"/>
        <v>1.1937117960769683E-12</v>
      </c>
      <c r="J64" s="17">
        <f t="shared" si="2"/>
        <v>0</v>
      </c>
      <c r="L64" s="122"/>
      <c r="M64" s="183">
        <f t="shared" si="7"/>
        <v>148</v>
      </c>
      <c r="N64" s="15"/>
      <c r="O64" s="69"/>
      <c r="P64" s="203"/>
      <c r="Q64" s="69">
        <f t="shared" si="11"/>
        <v>0</v>
      </c>
      <c r="R64" s="70"/>
      <c r="S64" s="71"/>
      <c r="T64" s="105">
        <f t="shared" si="8"/>
        <v>4552.2100000000009</v>
      </c>
      <c r="U64" s="17">
        <f t="shared" si="3"/>
        <v>0</v>
      </c>
    </row>
    <row r="65" spans="1:21" x14ac:dyDescent="0.25">
      <c r="A65" s="122"/>
      <c r="B65" s="83">
        <f t="shared" si="4"/>
        <v>0</v>
      </c>
      <c r="C65" s="15"/>
      <c r="D65" s="69"/>
      <c r="E65" s="203"/>
      <c r="F65" s="69">
        <f t="shared" si="10"/>
        <v>0</v>
      </c>
      <c r="G65" s="70"/>
      <c r="H65" s="71"/>
      <c r="I65" s="105">
        <f t="shared" si="6"/>
        <v>1.1937117960769683E-12</v>
      </c>
      <c r="J65" s="17">
        <f t="shared" si="2"/>
        <v>0</v>
      </c>
      <c r="L65" s="122"/>
      <c r="M65" s="183">
        <f t="shared" si="7"/>
        <v>148</v>
      </c>
      <c r="N65" s="15"/>
      <c r="O65" s="69"/>
      <c r="P65" s="203"/>
      <c r="Q65" s="69">
        <f t="shared" si="11"/>
        <v>0</v>
      </c>
      <c r="R65" s="70"/>
      <c r="S65" s="71"/>
      <c r="T65" s="105">
        <f t="shared" si="8"/>
        <v>4552.2100000000009</v>
      </c>
      <c r="U65" s="17">
        <f t="shared" si="3"/>
        <v>0</v>
      </c>
    </row>
    <row r="66" spans="1:21" x14ac:dyDescent="0.25">
      <c r="A66" s="122"/>
      <c r="B66" s="83">
        <f t="shared" si="4"/>
        <v>0</v>
      </c>
      <c r="C66" s="15"/>
      <c r="D66" s="69"/>
      <c r="E66" s="203"/>
      <c r="F66" s="69">
        <f t="shared" si="10"/>
        <v>0</v>
      </c>
      <c r="G66" s="70"/>
      <c r="H66" s="71"/>
      <c r="I66" s="105">
        <f t="shared" si="6"/>
        <v>1.1937117960769683E-12</v>
      </c>
      <c r="J66" s="17">
        <f t="shared" si="2"/>
        <v>0</v>
      </c>
      <c r="L66" s="122"/>
      <c r="M66" s="183">
        <f t="shared" si="7"/>
        <v>148</v>
      </c>
      <c r="N66" s="15"/>
      <c r="O66" s="69"/>
      <c r="P66" s="203"/>
      <c r="Q66" s="69">
        <f t="shared" si="11"/>
        <v>0</v>
      </c>
      <c r="R66" s="70"/>
      <c r="S66" s="71"/>
      <c r="T66" s="105">
        <f t="shared" si="8"/>
        <v>4552.2100000000009</v>
      </c>
      <c r="U66" s="17">
        <f t="shared" si="3"/>
        <v>0</v>
      </c>
    </row>
    <row r="67" spans="1:21" x14ac:dyDescent="0.25">
      <c r="A67" s="122"/>
      <c r="B67" s="83">
        <f t="shared" si="4"/>
        <v>0</v>
      </c>
      <c r="C67" s="15"/>
      <c r="D67" s="69"/>
      <c r="E67" s="203"/>
      <c r="F67" s="69">
        <f t="shared" si="10"/>
        <v>0</v>
      </c>
      <c r="G67" s="70"/>
      <c r="H67" s="71"/>
      <c r="I67" s="105">
        <f t="shared" si="6"/>
        <v>1.1937117960769683E-12</v>
      </c>
      <c r="J67" s="17">
        <f t="shared" si="2"/>
        <v>0</v>
      </c>
      <c r="L67" s="122"/>
      <c r="M67" s="183">
        <f t="shared" si="7"/>
        <v>148</v>
      </c>
      <c r="N67" s="15"/>
      <c r="O67" s="69"/>
      <c r="P67" s="203"/>
      <c r="Q67" s="69">
        <f t="shared" si="11"/>
        <v>0</v>
      </c>
      <c r="R67" s="70"/>
      <c r="S67" s="71"/>
      <c r="T67" s="105">
        <f t="shared" si="8"/>
        <v>4552.2100000000009</v>
      </c>
      <c r="U67" s="17">
        <f t="shared" si="3"/>
        <v>0</v>
      </c>
    </row>
    <row r="68" spans="1:21" x14ac:dyDescent="0.25">
      <c r="A68" s="122"/>
      <c r="B68" s="83">
        <f t="shared" si="4"/>
        <v>0</v>
      </c>
      <c r="C68" s="15"/>
      <c r="D68" s="69"/>
      <c r="E68" s="203"/>
      <c r="F68" s="69">
        <f t="shared" si="10"/>
        <v>0</v>
      </c>
      <c r="G68" s="70"/>
      <c r="H68" s="71"/>
      <c r="I68" s="105">
        <f t="shared" si="6"/>
        <v>1.1937117960769683E-12</v>
      </c>
      <c r="J68" s="17">
        <f t="shared" si="2"/>
        <v>0</v>
      </c>
      <c r="L68" s="122"/>
      <c r="M68" s="183">
        <f t="shared" si="7"/>
        <v>148</v>
      </c>
      <c r="N68" s="15"/>
      <c r="O68" s="69"/>
      <c r="P68" s="203"/>
      <c r="Q68" s="69">
        <f t="shared" si="11"/>
        <v>0</v>
      </c>
      <c r="R68" s="70"/>
      <c r="S68" s="71"/>
      <c r="T68" s="105">
        <f t="shared" si="8"/>
        <v>4552.2100000000009</v>
      </c>
      <c r="U68" s="17">
        <f t="shared" si="3"/>
        <v>0</v>
      </c>
    </row>
    <row r="69" spans="1:21" x14ac:dyDescent="0.25">
      <c r="A69" s="122"/>
      <c r="B69" s="83">
        <f t="shared" si="4"/>
        <v>0</v>
      </c>
      <c r="C69" s="15"/>
      <c r="D69" s="69"/>
      <c r="E69" s="203"/>
      <c r="F69" s="69">
        <f t="shared" si="10"/>
        <v>0</v>
      </c>
      <c r="G69" s="70"/>
      <c r="H69" s="71"/>
      <c r="I69" s="105">
        <f t="shared" si="6"/>
        <v>1.1937117960769683E-12</v>
      </c>
      <c r="J69" s="17">
        <f t="shared" si="2"/>
        <v>0</v>
      </c>
      <c r="L69" s="122"/>
      <c r="M69" s="183">
        <f t="shared" si="7"/>
        <v>148</v>
      </c>
      <c r="N69" s="15"/>
      <c r="O69" s="69"/>
      <c r="P69" s="203"/>
      <c r="Q69" s="69">
        <f t="shared" si="11"/>
        <v>0</v>
      </c>
      <c r="R69" s="70"/>
      <c r="S69" s="71"/>
      <c r="T69" s="105">
        <f t="shared" si="8"/>
        <v>4552.2100000000009</v>
      </c>
      <c r="U69" s="17">
        <f t="shared" si="3"/>
        <v>0</v>
      </c>
    </row>
    <row r="70" spans="1:21" x14ac:dyDescent="0.25">
      <c r="A70" s="122"/>
      <c r="B70" s="83">
        <f t="shared" si="4"/>
        <v>0</v>
      </c>
      <c r="C70" s="15"/>
      <c r="D70" s="69"/>
      <c r="E70" s="203"/>
      <c r="F70" s="69">
        <f t="shared" si="10"/>
        <v>0</v>
      </c>
      <c r="G70" s="70"/>
      <c r="H70" s="71"/>
      <c r="I70" s="105">
        <f t="shared" si="6"/>
        <v>1.1937117960769683E-12</v>
      </c>
      <c r="J70" s="17">
        <f t="shared" si="2"/>
        <v>0</v>
      </c>
      <c r="L70" s="122"/>
      <c r="M70" s="183">
        <f t="shared" si="7"/>
        <v>148</v>
      </c>
      <c r="N70" s="15"/>
      <c r="O70" s="69"/>
      <c r="P70" s="203"/>
      <c r="Q70" s="69">
        <f t="shared" si="11"/>
        <v>0</v>
      </c>
      <c r="R70" s="70"/>
      <c r="S70" s="71"/>
      <c r="T70" s="105">
        <f t="shared" si="8"/>
        <v>4552.2100000000009</v>
      </c>
      <c r="U70" s="17">
        <f t="shared" si="3"/>
        <v>0</v>
      </c>
    </row>
    <row r="71" spans="1:21" x14ac:dyDescent="0.25">
      <c r="A71" s="122"/>
      <c r="B71" s="83">
        <f t="shared" si="4"/>
        <v>0</v>
      </c>
      <c r="C71" s="15"/>
      <c r="D71" s="69"/>
      <c r="E71" s="203"/>
      <c r="F71" s="69">
        <f t="shared" si="10"/>
        <v>0</v>
      </c>
      <c r="G71" s="70"/>
      <c r="H71" s="71"/>
      <c r="I71" s="105">
        <f t="shared" si="6"/>
        <v>1.1937117960769683E-12</v>
      </c>
      <c r="J71" s="17">
        <f t="shared" si="2"/>
        <v>0</v>
      </c>
      <c r="L71" s="122"/>
      <c r="M71" s="183">
        <f t="shared" si="7"/>
        <v>148</v>
      </c>
      <c r="N71" s="15"/>
      <c r="O71" s="69"/>
      <c r="P71" s="203"/>
      <c r="Q71" s="69">
        <f t="shared" si="11"/>
        <v>0</v>
      </c>
      <c r="R71" s="70"/>
      <c r="S71" s="71"/>
      <c r="T71" s="105">
        <f t="shared" si="8"/>
        <v>4552.2100000000009</v>
      </c>
      <c r="U71" s="17">
        <f t="shared" si="3"/>
        <v>0</v>
      </c>
    </row>
    <row r="72" spans="1:21" x14ac:dyDescent="0.25">
      <c r="A72" s="122"/>
      <c r="B72" s="83">
        <f t="shared" si="4"/>
        <v>0</v>
      </c>
      <c r="C72" s="15"/>
      <c r="D72" s="69"/>
      <c r="E72" s="203"/>
      <c r="F72" s="69">
        <f t="shared" si="10"/>
        <v>0</v>
      </c>
      <c r="G72" s="70"/>
      <c r="H72" s="71"/>
      <c r="I72" s="105">
        <f t="shared" si="6"/>
        <v>1.1937117960769683E-12</v>
      </c>
      <c r="J72" s="17">
        <f t="shared" si="2"/>
        <v>0</v>
      </c>
      <c r="L72" s="122"/>
      <c r="M72" s="183">
        <f t="shared" si="7"/>
        <v>148</v>
      </c>
      <c r="N72" s="15"/>
      <c r="O72" s="69"/>
      <c r="P72" s="203"/>
      <c r="Q72" s="69">
        <f t="shared" si="11"/>
        <v>0</v>
      </c>
      <c r="R72" s="70"/>
      <c r="S72" s="71"/>
      <c r="T72" s="105">
        <f t="shared" si="8"/>
        <v>4552.2100000000009</v>
      </c>
      <c r="U72" s="17">
        <f t="shared" si="3"/>
        <v>0</v>
      </c>
    </row>
    <row r="73" spans="1:21" x14ac:dyDescent="0.25">
      <c r="A73" s="122"/>
      <c r="B73" s="83">
        <f t="shared" si="4"/>
        <v>0</v>
      </c>
      <c r="C73" s="15"/>
      <c r="D73" s="69"/>
      <c r="E73" s="203"/>
      <c r="F73" s="69">
        <f t="shared" si="10"/>
        <v>0</v>
      </c>
      <c r="G73" s="70"/>
      <c r="H73" s="71"/>
      <c r="I73" s="105">
        <f t="shared" si="6"/>
        <v>1.1937117960769683E-12</v>
      </c>
      <c r="J73" s="17">
        <f t="shared" si="2"/>
        <v>0</v>
      </c>
      <c r="L73" s="122"/>
      <c r="M73" s="183">
        <f t="shared" si="7"/>
        <v>148</v>
      </c>
      <c r="N73" s="15"/>
      <c r="O73" s="69"/>
      <c r="P73" s="203"/>
      <c r="Q73" s="69">
        <f t="shared" si="11"/>
        <v>0</v>
      </c>
      <c r="R73" s="70"/>
      <c r="S73" s="71"/>
      <c r="T73" s="105">
        <f t="shared" si="8"/>
        <v>4552.2100000000009</v>
      </c>
      <c r="U73" s="17">
        <f t="shared" si="3"/>
        <v>0</v>
      </c>
    </row>
    <row r="74" spans="1:21" x14ac:dyDescent="0.25">
      <c r="A74" s="122"/>
      <c r="B74" s="83">
        <f t="shared" si="4"/>
        <v>0</v>
      </c>
      <c r="C74" s="15"/>
      <c r="D74" s="69"/>
      <c r="E74" s="203"/>
      <c r="F74" s="69">
        <f t="shared" si="10"/>
        <v>0</v>
      </c>
      <c r="G74" s="70"/>
      <c r="H74" s="71"/>
      <c r="I74" s="105">
        <f t="shared" si="6"/>
        <v>1.1937117960769683E-12</v>
      </c>
      <c r="J74" s="17">
        <f t="shared" si="2"/>
        <v>0</v>
      </c>
      <c r="L74" s="122"/>
      <c r="M74" s="183">
        <f t="shared" si="7"/>
        <v>148</v>
      </c>
      <c r="N74" s="15"/>
      <c r="O74" s="69"/>
      <c r="P74" s="203"/>
      <c r="Q74" s="69">
        <f t="shared" si="11"/>
        <v>0</v>
      </c>
      <c r="R74" s="70"/>
      <c r="S74" s="71"/>
      <c r="T74" s="105">
        <f t="shared" si="8"/>
        <v>4552.2100000000009</v>
      </c>
      <c r="U74" s="17">
        <f t="shared" si="3"/>
        <v>0</v>
      </c>
    </row>
    <row r="75" spans="1:21" x14ac:dyDescent="0.25">
      <c r="A75" s="122"/>
      <c r="B75" s="83">
        <f t="shared" si="4"/>
        <v>0</v>
      </c>
      <c r="C75" s="15"/>
      <c r="D75" s="69"/>
      <c r="E75" s="203"/>
      <c r="F75" s="69">
        <f>D75</f>
        <v>0</v>
      </c>
      <c r="G75" s="70"/>
      <c r="H75" s="71"/>
      <c r="I75" s="105">
        <f t="shared" si="6"/>
        <v>1.1937117960769683E-12</v>
      </c>
      <c r="J75" s="17">
        <f t="shared" ref="J75:J77" si="12">F75*H75</f>
        <v>0</v>
      </c>
      <c r="L75" s="122"/>
      <c r="M75" s="183">
        <f t="shared" si="7"/>
        <v>148</v>
      </c>
      <c r="N75" s="15"/>
      <c r="O75" s="69"/>
      <c r="P75" s="203"/>
      <c r="Q75" s="69">
        <f>O75</f>
        <v>0</v>
      </c>
      <c r="R75" s="70"/>
      <c r="S75" s="71"/>
      <c r="T75" s="105">
        <f t="shared" si="8"/>
        <v>4552.2100000000009</v>
      </c>
      <c r="U75" s="17">
        <f t="shared" ref="U75:U77" si="13">Q75*S75</f>
        <v>0</v>
      </c>
    </row>
    <row r="76" spans="1:21" x14ac:dyDescent="0.25">
      <c r="A76" s="122"/>
      <c r="B76" s="83">
        <f t="shared" ref="B76" si="14">B75-C76</f>
        <v>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15">I75-F76</f>
        <v>1.1937117960769683E-12</v>
      </c>
      <c r="J76" s="17">
        <f t="shared" si="12"/>
        <v>0</v>
      </c>
      <c r="L76" s="122"/>
      <c r="M76" s="183">
        <f t="shared" ref="M76" si="16">M75-N76</f>
        <v>148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17">T75-Q76</f>
        <v>4552.2100000000009</v>
      </c>
      <c r="U76" s="17">
        <f t="shared" si="13"/>
        <v>0</v>
      </c>
    </row>
    <row r="77" spans="1:21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15"/>
        <v>1.1937117960769683E-12</v>
      </c>
      <c r="J77" s="17">
        <f t="shared" si="12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17"/>
        <v>4552.2100000000009</v>
      </c>
      <c r="U77" s="17">
        <f t="shared" si="13"/>
        <v>0</v>
      </c>
    </row>
    <row r="78" spans="1:21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229"/>
      <c r="N78" s="52"/>
      <c r="O78" s="107"/>
      <c r="P78" s="197"/>
      <c r="Q78" s="103"/>
      <c r="R78" s="104"/>
      <c r="S78" s="60"/>
    </row>
    <row r="79" spans="1:21" x14ac:dyDescent="0.25">
      <c r="C79" s="53">
        <f>SUM(C10:C78)</f>
        <v>490</v>
      </c>
      <c r="D79" s="6">
        <f>SUM(D10:D78)</f>
        <v>14792.649999999998</v>
      </c>
      <c r="F79" s="6">
        <f>SUM(F10:F78)</f>
        <v>15231.709999999997</v>
      </c>
      <c r="N79" s="53">
        <f>SUM(N10:N78)</f>
        <v>36</v>
      </c>
      <c r="O79" s="6">
        <f>SUM(O10:O78)</f>
        <v>1082.27</v>
      </c>
      <c r="Q79" s="6">
        <f>SUM(Q10:Q78)</f>
        <v>1082.27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Q5+Q6-N79+Q7+Q4</f>
        <v>148</v>
      </c>
    </row>
    <row r="83" spans="3:17" ht="15.75" thickBot="1" x14ac:dyDescent="0.3"/>
    <row r="84" spans="3:17" ht="15.75" thickBot="1" x14ac:dyDescent="0.3">
      <c r="C84" s="1072" t="s">
        <v>11</v>
      </c>
      <c r="D84" s="1073"/>
      <c r="E84" s="57">
        <f>E5+E6-F79+E7</f>
        <v>1.8189894035458565E-12</v>
      </c>
      <c r="F84" s="73"/>
      <c r="N84" s="1072" t="s">
        <v>11</v>
      </c>
      <c r="O84" s="1073"/>
      <c r="P84" s="57">
        <f>P5+P6-Q79+P7+P4</f>
        <v>4552.21</v>
      </c>
      <c r="Q84" s="73"/>
    </row>
  </sheetData>
  <sortState ref="C12:H18">
    <sortCondition ref="G12:G18"/>
  </sortState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2022-11-23T21:49:38Z</dcterms:modified>
</cp:coreProperties>
</file>