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OneDrive\Escritorio\INVENTARIOS ZAVALETA 2023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0" i="1" l="1"/>
  <c r="E289" i="1"/>
  <c r="E288" i="1"/>
  <c r="E287" i="1"/>
  <c r="E286" i="1"/>
  <c r="E276" i="1"/>
  <c r="E268" i="1"/>
  <c r="E267" i="1"/>
  <c r="E266" i="1"/>
  <c r="E265" i="1"/>
  <c r="E264" i="1"/>
  <c r="E263" i="1"/>
  <c r="E262" i="1"/>
  <c r="E260" i="1"/>
  <c r="E258" i="1"/>
  <c r="E257" i="1"/>
  <c r="E254" i="1"/>
  <c r="E253" i="1"/>
  <c r="E250" i="1"/>
  <c r="E249" i="1"/>
  <c r="E246" i="1"/>
  <c r="E233" i="1"/>
  <c r="E230" i="1"/>
  <c r="E220" i="1"/>
  <c r="E219" i="1"/>
  <c r="E215" i="1"/>
  <c r="E214" i="1"/>
  <c r="E213" i="1"/>
  <c r="E212" i="1"/>
  <c r="E209" i="1"/>
  <c r="D208" i="1"/>
  <c r="E208" i="1"/>
  <c r="E203" i="1"/>
  <c r="E181" i="1"/>
  <c r="E180" i="1"/>
  <c r="E174" i="1"/>
  <c r="E173" i="1"/>
  <c r="E172" i="1"/>
  <c r="E167" i="1"/>
  <c r="E166" i="1"/>
  <c r="E162" i="1"/>
  <c r="E157" i="1"/>
  <c r="E156" i="1"/>
  <c r="E155" i="1"/>
  <c r="E154" i="1"/>
  <c r="E153" i="1"/>
  <c r="E152" i="1"/>
  <c r="E151" i="1"/>
  <c r="E148" i="1"/>
  <c r="E147" i="1"/>
  <c r="E137" i="1"/>
  <c r="E97" i="1"/>
  <c r="E85" i="1"/>
  <c r="E74" i="1"/>
  <c r="E73" i="1"/>
  <c r="E70" i="1"/>
  <c r="E64" i="1"/>
  <c r="E60" i="1"/>
  <c r="E59" i="1"/>
  <c r="E50" i="1"/>
  <c r="E42" i="1"/>
  <c r="E26" i="1"/>
  <c r="E22" i="1"/>
  <c r="E21" i="1"/>
  <c r="E9" i="1"/>
  <c r="E8" i="1"/>
  <c r="E7" i="1"/>
  <c r="E5" i="1"/>
  <c r="E6" i="1"/>
  <c r="E10" i="1"/>
  <c r="E11" i="1"/>
  <c r="E12" i="1"/>
  <c r="E13" i="1"/>
  <c r="E14" i="1"/>
  <c r="E15" i="1"/>
  <c r="E16" i="1"/>
  <c r="E17" i="1"/>
  <c r="E18" i="1"/>
  <c r="E19" i="1"/>
  <c r="E20" i="1"/>
  <c r="E23" i="1"/>
  <c r="E24" i="1"/>
  <c r="E25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3" i="1"/>
  <c r="E44" i="1"/>
  <c r="E45" i="1"/>
  <c r="E46" i="1"/>
  <c r="E47" i="1"/>
  <c r="E48" i="1"/>
  <c r="E49" i="1"/>
  <c r="E51" i="1"/>
  <c r="E52" i="1"/>
  <c r="E53" i="1"/>
  <c r="E54" i="1"/>
  <c r="E55" i="1"/>
  <c r="E56" i="1"/>
  <c r="E57" i="1"/>
  <c r="E58" i="1"/>
  <c r="E61" i="1"/>
  <c r="E62" i="1"/>
  <c r="E63" i="1"/>
  <c r="E65" i="1"/>
  <c r="E66" i="1"/>
  <c r="E67" i="1"/>
  <c r="E68" i="1"/>
  <c r="E69" i="1"/>
  <c r="E71" i="1"/>
  <c r="E72" i="1"/>
  <c r="E75" i="1"/>
  <c r="E76" i="1"/>
  <c r="E77" i="1"/>
  <c r="E78" i="1"/>
  <c r="E79" i="1"/>
  <c r="E80" i="1"/>
  <c r="E81" i="1"/>
  <c r="E82" i="1"/>
  <c r="E83" i="1"/>
  <c r="E84" i="1"/>
  <c r="E86" i="1"/>
  <c r="E87" i="1"/>
  <c r="E88" i="1"/>
  <c r="E89" i="1"/>
  <c r="E90" i="1"/>
  <c r="E91" i="1"/>
  <c r="E92" i="1"/>
  <c r="E93" i="1"/>
  <c r="E94" i="1"/>
  <c r="E95" i="1"/>
  <c r="E96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8" i="1"/>
  <c r="E139" i="1"/>
  <c r="E140" i="1"/>
  <c r="E141" i="1"/>
  <c r="E142" i="1"/>
  <c r="E143" i="1"/>
  <c r="E144" i="1"/>
  <c r="E145" i="1"/>
  <c r="E146" i="1"/>
  <c r="E149" i="1"/>
  <c r="E150" i="1"/>
  <c r="E158" i="1"/>
  <c r="E159" i="1"/>
  <c r="E160" i="1"/>
  <c r="E161" i="1"/>
  <c r="E163" i="1"/>
  <c r="E164" i="1"/>
  <c r="E165" i="1"/>
  <c r="E168" i="1"/>
  <c r="E169" i="1"/>
  <c r="E170" i="1"/>
  <c r="E171" i="1"/>
  <c r="E175" i="1"/>
  <c r="E176" i="1"/>
  <c r="E177" i="1"/>
  <c r="E178" i="1"/>
  <c r="E179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4" i="1"/>
  <c r="E205" i="1"/>
  <c r="E206" i="1"/>
  <c r="E207" i="1"/>
  <c r="E210" i="1"/>
  <c r="E211" i="1"/>
  <c r="E216" i="1"/>
  <c r="E217" i="1"/>
  <c r="E218" i="1"/>
  <c r="E221" i="1"/>
  <c r="E222" i="1"/>
  <c r="E223" i="1"/>
  <c r="E224" i="1"/>
  <c r="E225" i="1"/>
  <c r="E226" i="1"/>
  <c r="E227" i="1"/>
  <c r="E228" i="1"/>
  <c r="E229" i="1"/>
  <c r="E231" i="1"/>
  <c r="E232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7" i="1"/>
  <c r="E248" i="1"/>
  <c r="E251" i="1"/>
  <c r="E252" i="1"/>
  <c r="E255" i="1"/>
  <c r="E256" i="1"/>
  <c r="E259" i="1"/>
  <c r="E261" i="1"/>
  <c r="E269" i="1"/>
  <c r="E270" i="1"/>
  <c r="E271" i="1"/>
  <c r="E272" i="1"/>
  <c r="E273" i="1"/>
  <c r="E274" i="1"/>
  <c r="E275" i="1"/>
  <c r="E277" i="1"/>
  <c r="E278" i="1"/>
  <c r="E279" i="1"/>
  <c r="E280" i="1"/>
  <c r="E281" i="1"/>
  <c r="E282" i="1"/>
  <c r="E283" i="1"/>
  <c r="E284" i="1"/>
  <c r="E285" i="1"/>
  <c r="E291" i="1"/>
  <c r="E292" i="1"/>
  <c r="E293" i="1"/>
  <c r="E294" i="1"/>
  <c r="E295" i="1"/>
  <c r="E296" i="1"/>
  <c r="E297" i="1"/>
  <c r="E298" i="1"/>
  <c r="E4" i="1"/>
  <c r="B218" i="1"/>
  <c r="B101" i="1"/>
  <c r="D138" i="1"/>
  <c r="D153" i="1"/>
  <c r="D50" i="1"/>
  <c r="D230" i="1"/>
  <c r="E300" i="1" l="1"/>
  <c r="B28" i="1"/>
  <c r="B121" i="1"/>
  <c r="B58" i="1"/>
  <c r="B190" i="1"/>
  <c r="B279" i="1"/>
  <c r="B171" i="1"/>
  <c r="B45" i="1"/>
  <c r="B6" i="1"/>
  <c r="B205" i="1"/>
  <c r="B161" i="1"/>
  <c r="B231" i="1"/>
  <c r="B224" i="1"/>
  <c r="B135" i="1"/>
  <c r="B221" i="1"/>
  <c r="B237" i="1"/>
  <c r="B77" i="1"/>
  <c r="B227" i="1"/>
  <c r="B283" i="1"/>
  <c r="B282" i="1"/>
  <c r="B239" i="1"/>
  <c r="B68" i="1"/>
  <c r="B138" i="1"/>
  <c r="B140" i="1"/>
  <c r="B228" i="1"/>
  <c r="B182" i="1"/>
  <c r="B206" i="1"/>
  <c r="C178" i="1"/>
  <c r="B178" i="1"/>
  <c r="B177" i="1"/>
  <c r="B44" i="1"/>
  <c r="B57" i="1"/>
  <c r="B243" i="1"/>
  <c r="B96" i="1"/>
  <c r="B241" i="1"/>
  <c r="B277" i="1"/>
  <c r="B31" i="1"/>
  <c r="B95" i="1"/>
  <c r="B89" i="1"/>
  <c r="B13" i="1"/>
  <c r="B169" i="1"/>
  <c r="B242" i="1"/>
  <c r="B240" i="1"/>
  <c r="B53" i="1"/>
  <c r="B55" i="1"/>
  <c r="B192" i="1"/>
  <c r="B146" i="1"/>
  <c r="B160" i="1"/>
  <c r="B194" i="1"/>
  <c r="B90" i="1"/>
  <c r="B12" i="1"/>
  <c r="B84" i="1"/>
  <c r="B5" i="1"/>
  <c r="B175" i="1"/>
  <c r="B78" i="1"/>
  <c r="B92" i="1"/>
  <c r="B110" i="1"/>
  <c r="B202" i="1"/>
  <c r="B123" i="1"/>
  <c r="B29" i="1"/>
  <c r="B149" i="1"/>
  <c r="B275" i="1"/>
  <c r="B80" i="1"/>
  <c r="B108" i="1"/>
  <c r="B291" i="1"/>
  <c r="B43" i="1"/>
  <c r="B49" i="1"/>
  <c r="B94" i="1"/>
  <c r="B52" i="1"/>
  <c r="B120" i="1"/>
  <c r="B119" i="1"/>
  <c r="B176" i="1"/>
  <c r="B9" i="1"/>
  <c r="B200" i="1"/>
  <c r="B103" i="1"/>
  <c r="B38" i="1"/>
  <c r="B39" i="1"/>
  <c r="B270" i="1"/>
  <c r="B115" i="1"/>
  <c r="B261" i="1"/>
  <c r="B18" i="1"/>
  <c r="B274" i="1"/>
  <c r="B35" i="1"/>
  <c r="B36" i="1"/>
  <c r="B11" i="1"/>
  <c r="B15" i="1"/>
  <c r="B14" i="1"/>
  <c r="B104" i="1"/>
  <c r="B86" i="1"/>
  <c r="B271" i="1"/>
  <c r="B168" i="1"/>
  <c r="B179" i="1" l="1"/>
  <c r="B222" i="1"/>
  <c r="B211" i="1"/>
  <c r="B207" i="1"/>
  <c r="B236" i="1"/>
  <c r="B63" i="1"/>
  <c r="B62" i="1"/>
  <c r="B61" i="1"/>
  <c r="B150" i="1"/>
  <c r="B223" i="1"/>
  <c r="B188" i="1"/>
  <c r="B72" i="1"/>
  <c r="B191" i="1"/>
  <c r="B296" i="1"/>
  <c r="B127" i="1"/>
  <c r="B139" i="1"/>
  <c r="B245" i="1"/>
  <c r="B116" i="1"/>
  <c r="B217" i="1"/>
  <c r="B269" i="1"/>
  <c r="B128" i="1"/>
  <c r="B131" i="1" l="1"/>
  <c r="B295" i="1"/>
  <c r="B294" i="1"/>
  <c r="B126" i="1"/>
  <c r="B129" i="1"/>
  <c r="B252" i="1"/>
  <c r="B124" i="1"/>
  <c r="B67" i="1"/>
  <c r="B130" i="1"/>
  <c r="B65" i="1"/>
  <c r="B251" i="1"/>
  <c r="B199" i="1"/>
  <c r="B143" i="1"/>
  <c r="B66" i="1"/>
  <c r="B71" i="1"/>
  <c r="B229" i="1"/>
  <c r="B272" i="1"/>
  <c r="B163" i="1"/>
  <c r="B164" i="1"/>
  <c r="B122" i="1"/>
  <c r="B51" i="1"/>
  <c r="B107" i="1"/>
  <c r="B189" i="1"/>
  <c r="B23" i="1"/>
  <c r="B234" i="1"/>
  <c r="B141" i="1"/>
  <c r="B170" i="1"/>
  <c r="B111" i="1"/>
  <c r="B112" i="1"/>
  <c r="B195" i="1"/>
  <c r="B20" i="1"/>
  <c r="B114" i="1"/>
  <c r="B293" i="1"/>
  <c r="B273" i="1"/>
  <c r="B244" i="1"/>
  <c r="B118" i="1"/>
  <c r="B284" i="1"/>
  <c r="B201" i="1"/>
  <c r="B197" i="1"/>
  <c r="B83" i="1"/>
  <c r="B87" i="1"/>
  <c r="B25" i="1"/>
  <c r="B297" i="1"/>
  <c r="B142" i="1"/>
  <c r="B117" i="1"/>
  <c r="B30" i="1"/>
  <c r="B204" i="1"/>
  <c r="B113" i="1"/>
  <c r="B88" i="1"/>
  <c r="C223" i="1"/>
  <c r="B109" i="1"/>
  <c r="B33" i="1"/>
  <c r="B93" i="1"/>
  <c r="B158" i="1"/>
  <c r="B186" i="1"/>
  <c r="B235" i="1"/>
  <c r="B185" i="1"/>
</calcChain>
</file>

<file path=xl/sharedStrings.xml><?xml version="1.0" encoding="utf-8"?>
<sst xmlns="http://schemas.openxmlformats.org/spreadsheetml/2006/main" count="378" uniqueCount="338">
  <si>
    <t>INVENTARIO ZAVALETA 02/06/2023</t>
  </si>
  <si>
    <t>Codillo c/h</t>
  </si>
  <si>
    <t>Producto</t>
  </si>
  <si>
    <t>Kilos</t>
  </si>
  <si>
    <t>Precio</t>
  </si>
  <si>
    <t>Total</t>
  </si>
  <si>
    <t>Pavo Natural</t>
  </si>
  <si>
    <t>Cajas</t>
  </si>
  <si>
    <t>Filete de Res</t>
  </si>
  <si>
    <t>Pavo Ahumado</t>
  </si>
  <si>
    <t>Pollo Ahumado</t>
  </si>
  <si>
    <t>Roastbeef</t>
  </si>
  <si>
    <t>Tomahawk</t>
  </si>
  <si>
    <t>T-Bone</t>
  </si>
  <si>
    <t>Aguja de Res</t>
  </si>
  <si>
    <t>Tuetano</t>
  </si>
  <si>
    <t>Perico</t>
  </si>
  <si>
    <t>Costilla Cargada</t>
  </si>
  <si>
    <t>Chuleton</t>
  </si>
  <si>
    <t>Diezmillo c/h</t>
  </si>
  <si>
    <t>Corte Estrella</t>
  </si>
  <si>
    <t>Pescuezo</t>
  </si>
  <si>
    <t>Pecho de Res</t>
  </si>
  <si>
    <t>Suadero</t>
  </si>
  <si>
    <t>Rib-eye</t>
  </si>
  <si>
    <t>Rana de Res</t>
  </si>
  <si>
    <t>New York</t>
  </si>
  <si>
    <t>Vaciada</t>
  </si>
  <si>
    <t>Cuero de Pierna</t>
  </si>
  <si>
    <t>Hueso de Pco</t>
  </si>
  <si>
    <t>Chambarete</t>
  </si>
  <si>
    <t>Bandera</t>
  </si>
  <si>
    <t>Pulpa de Espaldilla</t>
  </si>
  <si>
    <t>Cuero Papel</t>
  </si>
  <si>
    <t>Pork Belly</t>
  </si>
  <si>
    <t>Tocino de Pierna</t>
  </si>
  <si>
    <t>Tocino Salado</t>
  </si>
  <si>
    <t>Espinazo</t>
  </si>
  <si>
    <t>Espaldilla c/h</t>
  </si>
  <si>
    <t>Chuleta Natural</t>
  </si>
  <si>
    <t>Cabeza de Lomo</t>
  </si>
  <si>
    <t>Pecho</t>
  </si>
  <si>
    <t>Rack Costillar</t>
  </si>
  <si>
    <t>Filete Mignon</t>
  </si>
  <si>
    <t>Falda de Pco</t>
  </si>
  <si>
    <t>Manita</t>
  </si>
  <si>
    <t>Filete de Pco</t>
  </si>
  <si>
    <t xml:space="preserve">Contra </t>
  </si>
  <si>
    <t>Menudo</t>
  </si>
  <si>
    <t>Salmon</t>
  </si>
  <si>
    <t>Chambarete Choice</t>
  </si>
  <si>
    <t>Texana West</t>
  </si>
  <si>
    <t>Short Rib</t>
  </si>
  <si>
    <t xml:space="preserve">Cuete </t>
  </si>
  <si>
    <t>Barriga</t>
  </si>
  <si>
    <t>Lomo de Caña</t>
  </si>
  <si>
    <t>Cabeza</t>
  </si>
  <si>
    <t>Chuck Roll</t>
  </si>
  <si>
    <t>Briscket</t>
  </si>
  <si>
    <t>Lengua de Res</t>
  </si>
  <si>
    <t>Atun</t>
  </si>
  <si>
    <t>Buffalo Boneless</t>
  </si>
  <si>
    <t>Arrachera Texana</t>
  </si>
  <si>
    <t>Camaron Grande</t>
  </si>
  <si>
    <t>Camaron Chico</t>
  </si>
  <si>
    <t>Surimi</t>
  </si>
  <si>
    <t>Arrachera Taquera</t>
  </si>
  <si>
    <t>Dedos de Queso</t>
  </si>
  <si>
    <t>Camaron 16/20</t>
  </si>
  <si>
    <t>Camaron 21/25</t>
  </si>
  <si>
    <t>Camaron U12</t>
  </si>
  <si>
    <t>Papas Gajo</t>
  </si>
  <si>
    <t>Papas Onduladas</t>
  </si>
  <si>
    <t>Papa Lisa</t>
  </si>
  <si>
    <t>Hamburguesa Pollo</t>
  </si>
  <si>
    <t>Tenders de Pollo</t>
  </si>
  <si>
    <t>Madurado Choice</t>
  </si>
  <si>
    <t>Madurado Nacional</t>
  </si>
  <si>
    <t>Nuggets</t>
  </si>
  <si>
    <t>Pechuga Mezquite</t>
  </si>
  <si>
    <t>Filete Tilapia</t>
  </si>
  <si>
    <t>Cowboy Sterling</t>
  </si>
  <si>
    <t>Aros de Cebolla</t>
  </si>
  <si>
    <t>Espaldilla de Carnero</t>
  </si>
  <si>
    <t>Dedos de Queso Brew City</t>
  </si>
  <si>
    <t>Sesos</t>
  </si>
  <si>
    <t>Cuete de Pco</t>
  </si>
  <si>
    <t>Descarne</t>
  </si>
  <si>
    <t>Arrachera Marinada</t>
  </si>
  <si>
    <t>Chorizo Argentino Especial</t>
  </si>
  <si>
    <t>New York Choice</t>
  </si>
  <si>
    <t>Picaña Choice</t>
  </si>
  <si>
    <t>Pierna de Carnero</t>
  </si>
  <si>
    <t>Rib-eye Choice</t>
  </si>
  <si>
    <t>Grasa de Res</t>
  </si>
  <si>
    <t>Rib-eye Sterling</t>
  </si>
  <si>
    <t>Chuck Rib Sterling</t>
  </si>
  <si>
    <t>Retazo</t>
  </si>
  <si>
    <t>Hueso de Res</t>
  </si>
  <si>
    <t>Panza</t>
  </si>
  <si>
    <t>Bistec del 7</t>
  </si>
  <si>
    <t>Carrillera</t>
  </si>
  <si>
    <t>Centro de Codillo</t>
  </si>
  <si>
    <t>Surtido</t>
  </si>
  <si>
    <t>Bola de Res</t>
  </si>
  <si>
    <t>Sirloin</t>
  </si>
  <si>
    <t>Gallina</t>
  </si>
  <si>
    <t>Contra Nacional</t>
  </si>
  <si>
    <t>Queso Gouda Aleman</t>
  </si>
  <si>
    <t>Queso Gouda 4</t>
  </si>
  <si>
    <t>20 Barras</t>
  </si>
  <si>
    <t>Queso Asadero 4</t>
  </si>
  <si>
    <t>23 Barras</t>
  </si>
  <si>
    <t>Queso Manchego 4</t>
  </si>
  <si>
    <t>9 Barras</t>
  </si>
  <si>
    <t>Queso Cheddar</t>
  </si>
  <si>
    <t>26 Barras</t>
  </si>
  <si>
    <t>Cortes Nacionales</t>
  </si>
  <si>
    <t>Pierna c/c</t>
  </si>
  <si>
    <t>Caña de Res</t>
  </si>
  <si>
    <t>Vacios de Res</t>
  </si>
  <si>
    <t>Trozo de Pco</t>
  </si>
  <si>
    <t>Carne Abierta</t>
  </si>
  <si>
    <t>Cecina</t>
  </si>
  <si>
    <t>Capote</t>
  </si>
  <si>
    <t>Combo</t>
  </si>
  <si>
    <t>2 Combos</t>
  </si>
  <si>
    <t xml:space="preserve">Costilla </t>
  </si>
  <si>
    <t>Hamburguesa Comercial</t>
  </si>
  <si>
    <t>Norteño</t>
  </si>
  <si>
    <t>Jamon York</t>
  </si>
  <si>
    <t>Jamon Virginia</t>
  </si>
  <si>
    <t>Jamon Americano</t>
  </si>
  <si>
    <t>Queso de Pco Nu3</t>
  </si>
  <si>
    <t>Sabori Extra Fino</t>
  </si>
  <si>
    <t>Sabori Pavo</t>
  </si>
  <si>
    <t>San Rafael Balance</t>
  </si>
  <si>
    <t>Jamon Patron Pavo</t>
  </si>
  <si>
    <t>Pechuga de Pavo Nu3</t>
  </si>
  <si>
    <t>Jamon Marietta</t>
  </si>
  <si>
    <t>Urby Lomo Miel</t>
  </si>
  <si>
    <t>Urby Almendrado</t>
  </si>
  <si>
    <t>Urby Pistache</t>
  </si>
  <si>
    <t>Roastbeef Ahumado</t>
  </si>
  <si>
    <t>Jamon Serrano Cinta Oro</t>
  </si>
  <si>
    <t>Queso Grana Padono</t>
  </si>
  <si>
    <t>Queso Iberico</t>
  </si>
  <si>
    <t>Queso Leyenda Semicurado</t>
  </si>
  <si>
    <t>Queso Casa Campo</t>
  </si>
  <si>
    <t>Chorizo Pamplona</t>
  </si>
  <si>
    <t>Salchicha Mejorana</t>
  </si>
  <si>
    <t>2 Pzas</t>
  </si>
  <si>
    <t>Salchicha Shubling</t>
  </si>
  <si>
    <t>Salamanca Peñaranda</t>
  </si>
  <si>
    <t>6 Pzas</t>
  </si>
  <si>
    <t>Queso Fondue</t>
  </si>
  <si>
    <t>3 Pzas</t>
  </si>
  <si>
    <t>Queso Crema Semicurado</t>
  </si>
  <si>
    <t>1 Pza</t>
  </si>
  <si>
    <t>Crema de Trufa</t>
  </si>
  <si>
    <t>4 Pzas</t>
  </si>
  <si>
    <t>Queso Crema Curado</t>
  </si>
  <si>
    <t>Queso Crema Oveja</t>
  </si>
  <si>
    <t>Salchicha Capistrano Pco</t>
  </si>
  <si>
    <t>Chorizo Randero</t>
  </si>
  <si>
    <t>Chorizo Español</t>
  </si>
  <si>
    <t>Chorizo Sidra</t>
  </si>
  <si>
    <t>Chorizo Italiano</t>
  </si>
  <si>
    <t>Jamon Serrano Peñaranda</t>
  </si>
  <si>
    <t>8 Pzas</t>
  </si>
  <si>
    <t>Chistorra Argentina</t>
  </si>
  <si>
    <t>Parrillero Eco</t>
  </si>
  <si>
    <t>Longaniza Casera</t>
  </si>
  <si>
    <t>Chorizo Oaxaca</t>
  </si>
  <si>
    <t>Chorizo Argentino Eco</t>
  </si>
  <si>
    <t>Enchilada</t>
  </si>
  <si>
    <t>Condimentos 4 carnes</t>
  </si>
  <si>
    <t>Sal de Chapulin</t>
  </si>
  <si>
    <t>13 Pzas</t>
  </si>
  <si>
    <t>Salsa Artesanal Macha</t>
  </si>
  <si>
    <t>Salsa Gusano 150 gr</t>
  </si>
  <si>
    <t>Salsa Gusano 250gr</t>
  </si>
  <si>
    <t>Chimichurri</t>
  </si>
  <si>
    <t>Salsa Oaxaqueña</t>
  </si>
  <si>
    <t>Asado de Tira</t>
  </si>
  <si>
    <t>Cabreria</t>
  </si>
  <si>
    <t>Cowboy</t>
  </si>
  <si>
    <t>Cortes Americanos</t>
  </si>
  <si>
    <t>Cola de Res</t>
  </si>
  <si>
    <t>Milanesa de Res</t>
  </si>
  <si>
    <t>Chambarete s/h</t>
  </si>
  <si>
    <t>Concha de Res</t>
  </si>
  <si>
    <t>Arrachera Natural</t>
  </si>
  <si>
    <t>Jamon s/h</t>
  </si>
  <si>
    <t>Molida de Pco</t>
  </si>
  <si>
    <t>Molida Mixta</t>
  </si>
  <si>
    <t>Bistec de Pco</t>
  </si>
  <si>
    <t>Picaña Nacional</t>
  </si>
  <si>
    <t>Asar de Pco</t>
  </si>
  <si>
    <t>Hamburguesa Especial</t>
  </si>
  <si>
    <t>Tostadas Naturales</t>
  </si>
  <si>
    <t>10 Pzas</t>
  </si>
  <si>
    <t>Carne Arabe</t>
  </si>
  <si>
    <t>Alitas</t>
  </si>
  <si>
    <t>Carne Al pastor</t>
  </si>
  <si>
    <t>Molida de Res</t>
  </si>
  <si>
    <t>Pechuga de Pollo</t>
  </si>
  <si>
    <t>Chuleta Ahumada</t>
  </si>
  <si>
    <t>Quesillo</t>
  </si>
  <si>
    <t>Chamorro</t>
  </si>
  <si>
    <t>Chicharron Prensado</t>
  </si>
  <si>
    <t>Pierna y Muslo</t>
  </si>
  <si>
    <t>Trozo Economico</t>
  </si>
  <si>
    <t>Costilla p/asar</t>
  </si>
  <si>
    <t>Carne Picada de Res</t>
  </si>
  <si>
    <t>Carne Picada de Pco</t>
  </si>
  <si>
    <t>Roastbeef Metz</t>
  </si>
  <si>
    <t>7 Pzas</t>
  </si>
  <si>
    <t>Tabla Iglesias</t>
  </si>
  <si>
    <t>Queso Philpadelfia</t>
  </si>
  <si>
    <t>24 Pzas</t>
  </si>
  <si>
    <t>Mole Rojito</t>
  </si>
  <si>
    <t>Mole Poblano</t>
  </si>
  <si>
    <t>Alpura Crema Natural</t>
  </si>
  <si>
    <t>Alpura Crema Deslactosada</t>
  </si>
  <si>
    <t>Queso Azul</t>
  </si>
  <si>
    <t>15 Pzas</t>
  </si>
  <si>
    <t>Castell</t>
  </si>
  <si>
    <t>Mantequilla Iberia .90 gr</t>
  </si>
  <si>
    <t>Mantequilla Iberia  1 kg</t>
  </si>
  <si>
    <t>Mantequilla Iberia .500 gr</t>
  </si>
  <si>
    <t>Mantequillas Gloria 225gr</t>
  </si>
  <si>
    <t>Mantequillas Gloria 90gr</t>
  </si>
  <si>
    <t>Queso Gouda</t>
  </si>
  <si>
    <t>Quesos Comque</t>
  </si>
  <si>
    <t>Queso Parmesano</t>
  </si>
  <si>
    <t>Quesos Arce</t>
  </si>
  <si>
    <t>Queso Fresco</t>
  </si>
  <si>
    <t>Quesos Redondos</t>
  </si>
  <si>
    <t>Queso Panela</t>
  </si>
  <si>
    <t>Nata</t>
  </si>
  <si>
    <t>Queso de Cabra Panfilo Sabores</t>
  </si>
  <si>
    <t>Botanero Panfilo</t>
  </si>
  <si>
    <t>Queso Añejo</t>
  </si>
  <si>
    <t>Tocino Winnis</t>
  </si>
  <si>
    <t>Salchicha Chimex</t>
  </si>
  <si>
    <t>Recorte de Jamon</t>
  </si>
  <si>
    <t>Peperoni</t>
  </si>
  <si>
    <t>Salami</t>
  </si>
  <si>
    <t>Recorte de Queso de Pco</t>
  </si>
  <si>
    <t>Parrillero Esp</t>
  </si>
  <si>
    <t>Chistorra Fritz Gourmet</t>
  </si>
  <si>
    <t>Chistorra Fritz Linea de Oro</t>
  </si>
  <si>
    <t>Chistorra Metz</t>
  </si>
  <si>
    <t>Chistorra Peñaranda</t>
  </si>
  <si>
    <t>Chistorra Winnis</t>
  </si>
  <si>
    <t>Pierna Pavo Ahumado</t>
  </si>
  <si>
    <t>64 Pzas</t>
  </si>
  <si>
    <t>44 Pzas</t>
  </si>
  <si>
    <t>Pata Natural</t>
  </si>
  <si>
    <t>Salchicha Anny Azul</t>
  </si>
  <si>
    <t>Adobo</t>
  </si>
  <si>
    <t>Jamon Capistrano</t>
  </si>
  <si>
    <t>Jamon de Espaldilla Cocida</t>
  </si>
  <si>
    <t>Queso de Pco Capistrano</t>
  </si>
  <si>
    <t>Jamon Pavo Fritz</t>
  </si>
  <si>
    <t>Jamon Sabori Pierna</t>
  </si>
  <si>
    <t>Jamon Lomo Fritz</t>
  </si>
  <si>
    <t>Jamon Peñaranda</t>
  </si>
  <si>
    <t>Recorte de Tocino</t>
  </si>
  <si>
    <t>Queso de Pco Fritz</t>
  </si>
  <si>
    <t>Galantina Fritz</t>
  </si>
  <si>
    <t>Jamon Virginia Pavo FUD</t>
  </si>
  <si>
    <t>Jamon Holandes Patron</t>
  </si>
  <si>
    <t>Longaniza Economica</t>
  </si>
  <si>
    <t>Chorizo Español Especial</t>
  </si>
  <si>
    <t>Manteca</t>
  </si>
  <si>
    <t>14 Pzas</t>
  </si>
  <si>
    <t>Salchicha Frankfurt</t>
  </si>
  <si>
    <t>Salchicha p/asar</t>
  </si>
  <si>
    <t>Salchicha Hot Dog FUD</t>
  </si>
  <si>
    <t>Salchicha Pavo FUD</t>
  </si>
  <si>
    <t>Recorte de Chuleta</t>
  </si>
  <si>
    <t>Queso Blanco Red</t>
  </si>
  <si>
    <t xml:space="preserve">Parmesano </t>
  </si>
  <si>
    <t>84 Pzas</t>
  </si>
  <si>
    <t>Crema Natural</t>
  </si>
  <si>
    <t>99 Pzas</t>
  </si>
  <si>
    <t>Top Sirloin</t>
  </si>
  <si>
    <t>Carpaccio</t>
  </si>
  <si>
    <t>Salsa California 1/4</t>
  </si>
  <si>
    <t>33 Pzas</t>
  </si>
  <si>
    <t>Salsa California 1 Litro</t>
  </si>
  <si>
    <t>23 Pzas</t>
  </si>
  <si>
    <t>Salsa California 1/2 litro</t>
  </si>
  <si>
    <t>53 Pzas</t>
  </si>
  <si>
    <t>Condimento California</t>
  </si>
  <si>
    <t>34 Pzas</t>
  </si>
  <si>
    <t>65 Pzas</t>
  </si>
  <si>
    <t>Carbon</t>
  </si>
  <si>
    <t>Tortillinas 12 Pzas</t>
  </si>
  <si>
    <t>5 Pzas</t>
  </si>
  <si>
    <t>Tortillina 22 Pzas</t>
  </si>
  <si>
    <t>11  Pzas</t>
  </si>
  <si>
    <t>Camaron U/15</t>
  </si>
  <si>
    <t>Camaron U/10</t>
  </si>
  <si>
    <t>Milanesa de Pollo</t>
  </si>
  <si>
    <t>Colitas</t>
  </si>
  <si>
    <t>Arrachera Best West</t>
  </si>
  <si>
    <t>Arrachera Sterling</t>
  </si>
  <si>
    <t>Cabreria Sterling</t>
  </si>
  <si>
    <t>T-Bone Sterling</t>
  </si>
  <si>
    <t>Pan Molido Clasico</t>
  </si>
  <si>
    <t>Pan Molido Crujiente</t>
  </si>
  <si>
    <t>Media Noches 16 Pzas</t>
  </si>
  <si>
    <t>Media Noches 8 Pzas</t>
  </si>
  <si>
    <t>Bimbollos 8 Pzas</t>
  </si>
  <si>
    <t xml:space="preserve">Bimbollos Super </t>
  </si>
  <si>
    <t>Tortillina 24 pzas</t>
  </si>
  <si>
    <t>9 Pzas</t>
  </si>
  <si>
    <t>Pan Arabe</t>
  </si>
  <si>
    <t>Totopos</t>
  </si>
  <si>
    <t>46 Pzas</t>
  </si>
  <si>
    <t>Pierna Ahumada</t>
  </si>
  <si>
    <t>Jamon Serrano Culatello</t>
  </si>
  <si>
    <t>11 Pzas</t>
  </si>
  <si>
    <t>4 Pza</t>
  </si>
  <si>
    <t>36 Pzas</t>
  </si>
  <si>
    <t>16 Pzas</t>
  </si>
  <si>
    <t>Maiz Pozolero Poblana</t>
  </si>
  <si>
    <t>35 Pzas</t>
  </si>
  <si>
    <t>Maiz Pozolero Morelos</t>
  </si>
  <si>
    <t>19 Pzas</t>
  </si>
  <si>
    <t>Postres Panfilo</t>
  </si>
  <si>
    <t>Pata Preparada</t>
  </si>
  <si>
    <t>Chicken Bites</t>
  </si>
  <si>
    <t>Morcilla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</si>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</sst>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3" fillId="0" borderId="1" xfId="0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topLeftCell="A279" workbookViewId="0">
      <selection activeCell="F298" sqref="F298"/>
    </sheetView>
  </sheetViews>
  <sheetFormatPr baseColWidth="10" defaultRowHeight="15" x14ac:dyDescent="0.25"/>
  <cols>
    <col min="1" max="1" width="32.28515625" bestFit="1" customWidth="1"/>
    <col min="5" max="5" width="19.5703125" bestFit="1" customWidth="1"/>
  </cols>
  <sheetData>
    <row r="1" spans="1:5" ht="21" x14ac:dyDescent="0.35">
      <c r="A1" s="5" t="s">
        <v>0</v>
      </c>
      <c r="B1" s="5"/>
      <c r="C1" s="5"/>
      <c r="D1" s="5"/>
      <c r="E1" s="5"/>
    </row>
    <row r="2" spans="1:5" x14ac:dyDescent="0.25">
      <c r="A2" s="6"/>
      <c r="B2" s="7"/>
      <c r="C2" s="7"/>
      <c r="D2" s="7"/>
      <c r="E2" s="8"/>
    </row>
    <row r="3" spans="1:5" ht="15.75" x14ac:dyDescent="0.25">
      <c r="A3" s="4" t="s">
        <v>2</v>
      </c>
      <c r="B3" s="4" t="s">
        <v>3</v>
      </c>
      <c r="C3" s="4" t="s">
        <v>7</v>
      </c>
      <c r="D3" s="4" t="s">
        <v>4</v>
      </c>
      <c r="E3" s="4" t="s">
        <v>5</v>
      </c>
    </row>
    <row r="4" spans="1:5" x14ac:dyDescent="0.25">
      <c r="A4" s="1" t="s">
        <v>261</v>
      </c>
      <c r="B4" s="1">
        <v>16.5</v>
      </c>
      <c r="C4" s="1"/>
      <c r="D4" s="2">
        <v>130</v>
      </c>
      <c r="E4" s="3">
        <f>B4*D4</f>
        <v>2145</v>
      </c>
    </row>
    <row r="5" spans="1:5" x14ac:dyDescent="0.25">
      <c r="A5" s="1" t="s">
        <v>14</v>
      </c>
      <c r="B5" s="1">
        <f>140.6+18.8+1.97+13.2</f>
        <v>174.57</v>
      </c>
      <c r="C5" s="1"/>
      <c r="D5" s="2">
        <v>130</v>
      </c>
      <c r="E5" s="3">
        <f t="shared" ref="E5:E68" si="0">B5*D5</f>
        <v>22694.1</v>
      </c>
    </row>
    <row r="6" spans="1:5" x14ac:dyDescent="0.25">
      <c r="A6" s="1" t="s">
        <v>203</v>
      </c>
      <c r="B6" s="1">
        <f>2+4.86+8.6+7.66</f>
        <v>23.12</v>
      </c>
      <c r="C6" s="1"/>
      <c r="D6" s="2">
        <v>120</v>
      </c>
      <c r="E6" s="3">
        <f t="shared" si="0"/>
        <v>2774.4</v>
      </c>
    </row>
    <row r="7" spans="1:5" x14ac:dyDescent="0.25">
      <c r="A7" s="1" t="s">
        <v>224</v>
      </c>
      <c r="B7" s="1"/>
      <c r="C7" s="1" t="s">
        <v>158</v>
      </c>
      <c r="D7" s="2">
        <v>35.5</v>
      </c>
      <c r="E7" s="3">
        <f>1*D7</f>
        <v>35.5</v>
      </c>
    </row>
    <row r="8" spans="1:5" x14ac:dyDescent="0.25">
      <c r="A8" s="1" t="s">
        <v>223</v>
      </c>
      <c r="B8" s="1"/>
      <c r="C8" s="1" t="s">
        <v>156</v>
      </c>
      <c r="D8" s="2">
        <v>35.5</v>
      </c>
      <c r="E8" s="3">
        <f>3*D8</f>
        <v>106.5</v>
      </c>
    </row>
    <row r="9" spans="1:5" x14ac:dyDescent="0.25">
      <c r="A9" s="1" t="s">
        <v>82</v>
      </c>
      <c r="B9" s="1">
        <f>2*10.88+0.907*6+1+0.907*9+5.65</f>
        <v>42.015000000000001</v>
      </c>
      <c r="C9" s="1" t="s">
        <v>303</v>
      </c>
      <c r="D9" s="2">
        <v>119</v>
      </c>
      <c r="E9" s="3">
        <f>B9*D9</f>
        <v>4999.7849999999999</v>
      </c>
    </row>
    <row r="10" spans="1:5" x14ac:dyDescent="0.25">
      <c r="A10" s="1" t="s">
        <v>308</v>
      </c>
      <c r="B10" s="1">
        <v>3.04</v>
      </c>
      <c r="C10" s="1"/>
      <c r="D10" s="2">
        <v>422</v>
      </c>
      <c r="E10" s="3">
        <f t="shared" si="0"/>
        <v>1282.8800000000001</v>
      </c>
    </row>
    <row r="11" spans="1:5" x14ac:dyDescent="0.25">
      <c r="A11" s="1" t="s">
        <v>88</v>
      </c>
      <c r="B11" s="1">
        <f>71+49.4+1+16.24+20.12</f>
        <v>157.76000000000002</v>
      </c>
      <c r="C11" s="1"/>
      <c r="D11" s="2">
        <v>210</v>
      </c>
      <c r="E11" s="3">
        <f t="shared" si="0"/>
        <v>33129.600000000006</v>
      </c>
    </row>
    <row r="12" spans="1:5" x14ac:dyDescent="0.25">
      <c r="A12" s="1" t="s">
        <v>192</v>
      </c>
      <c r="B12" s="1">
        <f>2+2.08</f>
        <v>4.08</v>
      </c>
      <c r="C12" s="1"/>
      <c r="D12" s="2">
        <v>190</v>
      </c>
      <c r="E12" s="3">
        <f t="shared" si="0"/>
        <v>775.2</v>
      </c>
    </row>
    <row r="13" spans="1:5" x14ac:dyDescent="0.25">
      <c r="A13" s="1" t="s">
        <v>309</v>
      </c>
      <c r="B13" s="1">
        <f>0.944+1.26+2.5</f>
        <v>4.7039999999999997</v>
      </c>
      <c r="C13" s="1"/>
      <c r="D13" s="2">
        <v>438.7</v>
      </c>
      <c r="E13" s="3">
        <f t="shared" si="0"/>
        <v>2063.6448</v>
      </c>
    </row>
    <row r="14" spans="1:5" x14ac:dyDescent="0.25">
      <c r="A14" s="1" t="s">
        <v>66</v>
      </c>
      <c r="B14" s="1">
        <f>190+11.33+12.76+1.914+26.64</f>
        <v>242.64400000000001</v>
      </c>
      <c r="C14" s="1">
        <v>17</v>
      </c>
      <c r="D14" s="2">
        <v>100</v>
      </c>
      <c r="E14" s="3">
        <f t="shared" si="0"/>
        <v>24264.400000000001</v>
      </c>
    </row>
    <row r="15" spans="1:5" x14ac:dyDescent="0.25">
      <c r="A15" s="1" t="s">
        <v>62</v>
      </c>
      <c r="B15" s="1">
        <f>71.29+5+14.22</f>
        <v>90.51</v>
      </c>
      <c r="C15" s="1">
        <v>6</v>
      </c>
      <c r="D15" s="2">
        <v>93</v>
      </c>
      <c r="E15" s="3">
        <f t="shared" si="0"/>
        <v>8417.43</v>
      </c>
    </row>
    <row r="16" spans="1:5" x14ac:dyDescent="0.25">
      <c r="A16" s="1" t="s">
        <v>184</v>
      </c>
      <c r="B16" s="1">
        <v>6.8</v>
      </c>
      <c r="C16" s="1"/>
      <c r="D16" s="2">
        <v>120</v>
      </c>
      <c r="E16" s="3">
        <f t="shared" si="0"/>
        <v>816</v>
      </c>
    </row>
    <row r="17" spans="1:5" x14ac:dyDescent="0.25">
      <c r="A17" s="1" t="s">
        <v>198</v>
      </c>
      <c r="B17" s="1">
        <v>8.84</v>
      </c>
      <c r="C17" s="1"/>
      <c r="D17" s="2">
        <v>88</v>
      </c>
      <c r="E17" s="3">
        <f t="shared" si="0"/>
        <v>777.92</v>
      </c>
    </row>
    <row r="18" spans="1:5" x14ac:dyDescent="0.25">
      <c r="A18" s="1" t="s">
        <v>60</v>
      </c>
      <c r="B18" s="1">
        <f>7*20+9.54</f>
        <v>149.54</v>
      </c>
      <c r="C18" s="1">
        <v>7</v>
      </c>
      <c r="D18" s="2">
        <v>230</v>
      </c>
      <c r="E18" s="3">
        <f t="shared" si="0"/>
        <v>34394.199999999997</v>
      </c>
    </row>
    <row r="19" spans="1:5" x14ac:dyDescent="0.25">
      <c r="A19" s="1" t="s">
        <v>31</v>
      </c>
      <c r="B19" s="1">
        <v>118.9</v>
      </c>
      <c r="C19" s="1"/>
      <c r="D19" s="2">
        <v>128</v>
      </c>
      <c r="E19" s="3">
        <f t="shared" si="0"/>
        <v>15219.2</v>
      </c>
    </row>
    <row r="20" spans="1:5" x14ac:dyDescent="0.25">
      <c r="A20" s="1" t="s">
        <v>54</v>
      </c>
      <c r="B20" s="1">
        <f>8.8+36.5+5.48</f>
        <v>50.78</v>
      </c>
      <c r="C20" s="1"/>
      <c r="D20" s="2">
        <v>89</v>
      </c>
      <c r="E20" s="3">
        <f t="shared" si="0"/>
        <v>4519.42</v>
      </c>
    </row>
    <row r="21" spans="1:5" x14ac:dyDescent="0.25">
      <c r="A21" s="1" t="s">
        <v>316</v>
      </c>
      <c r="B21" s="1"/>
      <c r="C21" s="1" t="s">
        <v>160</v>
      </c>
      <c r="D21" s="2">
        <v>68</v>
      </c>
      <c r="E21" s="3">
        <f>4*D21</f>
        <v>272</v>
      </c>
    </row>
    <row r="22" spans="1:5" x14ac:dyDescent="0.25">
      <c r="A22" s="1" t="s">
        <v>317</v>
      </c>
      <c r="B22" s="1"/>
      <c r="C22" s="1" t="s">
        <v>301</v>
      </c>
      <c r="D22" s="2">
        <v>68</v>
      </c>
      <c r="E22" s="3">
        <f>5*D22</f>
        <v>340</v>
      </c>
    </row>
    <row r="23" spans="1:5" x14ac:dyDescent="0.25">
      <c r="A23" s="1" t="s">
        <v>196</v>
      </c>
      <c r="B23" s="1">
        <f>90.3+6.5</f>
        <v>96.8</v>
      </c>
      <c r="C23" s="1"/>
      <c r="D23" s="2">
        <v>98</v>
      </c>
      <c r="E23" s="3">
        <f t="shared" si="0"/>
        <v>9486.4</v>
      </c>
    </row>
    <row r="24" spans="1:5" x14ac:dyDescent="0.25">
      <c r="A24" s="1" t="s">
        <v>100</v>
      </c>
      <c r="B24" s="1">
        <v>23</v>
      </c>
      <c r="C24" s="1"/>
      <c r="D24" s="2">
        <v>135</v>
      </c>
      <c r="E24" s="3">
        <f t="shared" si="0"/>
        <v>3105</v>
      </c>
    </row>
    <row r="25" spans="1:5" x14ac:dyDescent="0.25">
      <c r="A25" s="1" t="s">
        <v>104</v>
      </c>
      <c r="B25" s="1">
        <f>198.2+22.6+95.2</f>
        <v>316</v>
      </c>
      <c r="C25" s="1"/>
      <c r="D25" s="2">
        <v>150</v>
      </c>
      <c r="E25" s="3">
        <f t="shared" si="0"/>
        <v>47400</v>
      </c>
    </row>
    <row r="26" spans="1:5" x14ac:dyDescent="0.25">
      <c r="A26" s="1" t="s">
        <v>242</v>
      </c>
      <c r="B26" s="1"/>
      <c r="C26" s="1" t="s">
        <v>151</v>
      </c>
      <c r="D26" s="2">
        <v>58</v>
      </c>
      <c r="E26" s="3">
        <f>2*D26</f>
        <v>116</v>
      </c>
    </row>
    <row r="27" spans="1:5" x14ac:dyDescent="0.25">
      <c r="A27" s="1" t="s">
        <v>58</v>
      </c>
      <c r="B27" s="1">
        <v>10.8</v>
      </c>
      <c r="C27" s="1"/>
      <c r="D27" s="2">
        <v>188</v>
      </c>
      <c r="E27" s="3">
        <f t="shared" si="0"/>
        <v>2030.4</v>
      </c>
    </row>
    <row r="28" spans="1:5" x14ac:dyDescent="0.25">
      <c r="A28" s="1" t="s">
        <v>61</v>
      </c>
      <c r="B28" s="1">
        <f>19*7.2+0.6*3+0.75*7</f>
        <v>143.85000000000002</v>
      </c>
      <c r="C28" s="1">
        <v>19</v>
      </c>
      <c r="D28" s="2">
        <v>218</v>
      </c>
      <c r="E28" s="3">
        <f t="shared" si="0"/>
        <v>31359.300000000007</v>
      </c>
    </row>
    <row r="29" spans="1:5" x14ac:dyDescent="0.25">
      <c r="A29" s="1" t="s">
        <v>56</v>
      </c>
      <c r="B29" s="1">
        <f>75+2.3+3-11.74+3.76</f>
        <v>72.320000000000007</v>
      </c>
      <c r="C29" s="1"/>
      <c r="D29" s="2">
        <v>30</v>
      </c>
      <c r="E29" s="3">
        <f t="shared" si="0"/>
        <v>2169.6000000000004</v>
      </c>
    </row>
    <row r="30" spans="1:5" x14ac:dyDescent="0.25">
      <c r="A30" s="1" t="s">
        <v>40</v>
      </c>
      <c r="B30" s="1">
        <f>88.8+13.3</f>
        <v>102.1</v>
      </c>
      <c r="C30" s="1"/>
      <c r="D30" s="2">
        <v>98</v>
      </c>
      <c r="E30" s="3">
        <f t="shared" si="0"/>
        <v>10005.799999999999</v>
      </c>
    </row>
    <row r="31" spans="1:5" x14ac:dyDescent="0.25">
      <c r="A31" s="1" t="s">
        <v>185</v>
      </c>
      <c r="B31" s="1">
        <f>1.5+216+2.4</f>
        <v>219.9</v>
      </c>
      <c r="C31" s="1"/>
      <c r="D31" s="2">
        <v>204</v>
      </c>
      <c r="E31" s="3">
        <f t="shared" si="0"/>
        <v>44859.6</v>
      </c>
    </row>
    <row r="32" spans="1:5" x14ac:dyDescent="0.25">
      <c r="A32" s="1" t="s">
        <v>310</v>
      </c>
      <c r="B32" s="1">
        <v>0.74399999999999999</v>
      </c>
      <c r="C32" s="1"/>
      <c r="D32" s="2">
        <v>569</v>
      </c>
      <c r="E32" s="3">
        <f t="shared" si="0"/>
        <v>423.33600000000001</v>
      </c>
    </row>
    <row r="33" spans="1:5" x14ac:dyDescent="0.25">
      <c r="A33" s="1" t="s">
        <v>68</v>
      </c>
      <c r="B33" s="1">
        <f>8*0.27</f>
        <v>2.16</v>
      </c>
      <c r="C33" s="1">
        <v>8</v>
      </c>
      <c r="D33" s="2">
        <v>450</v>
      </c>
      <c r="E33" s="3">
        <f t="shared" si="0"/>
        <v>972.00000000000011</v>
      </c>
    </row>
    <row r="34" spans="1:5" x14ac:dyDescent="0.25">
      <c r="A34" s="1" t="s">
        <v>69</v>
      </c>
      <c r="B34" s="1">
        <v>2.27</v>
      </c>
      <c r="C34" s="1">
        <v>1</v>
      </c>
      <c r="D34" s="2">
        <v>390</v>
      </c>
      <c r="E34" s="3">
        <f t="shared" si="0"/>
        <v>885.3</v>
      </c>
    </row>
    <row r="35" spans="1:5" x14ac:dyDescent="0.25">
      <c r="A35" s="1" t="s">
        <v>64</v>
      </c>
      <c r="B35" s="1">
        <f>5*10+10</f>
        <v>60</v>
      </c>
      <c r="C35" s="1">
        <v>6</v>
      </c>
      <c r="D35" s="2">
        <v>120</v>
      </c>
      <c r="E35" s="3">
        <f t="shared" si="0"/>
        <v>7200</v>
      </c>
    </row>
    <row r="36" spans="1:5" x14ac:dyDescent="0.25">
      <c r="A36" s="1" t="s">
        <v>63</v>
      </c>
      <c r="B36" s="1">
        <f>2*10+14</f>
        <v>34</v>
      </c>
      <c r="C36" s="1">
        <v>3</v>
      </c>
      <c r="D36" s="2">
        <v>130</v>
      </c>
      <c r="E36" s="3">
        <f t="shared" si="0"/>
        <v>4420</v>
      </c>
    </row>
    <row r="37" spans="1:5" x14ac:dyDescent="0.25">
      <c r="A37" s="1" t="s">
        <v>305</v>
      </c>
      <c r="B37" s="1">
        <v>2.6</v>
      </c>
      <c r="C37" s="1"/>
      <c r="D37" s="2">
        <v>555</v>
      </c>
      <c r="E37" s="3">
        <f t="shared" si="0"/>
        <v>1443</v>
      </c>
    </row>
    <row r="38" spans="1:5" x14ac:dyDescent="0.25">
      <c r="A38" s="1" t="s">
        <v>304</v>
      </c>
      <c r="B38" s="1">
        <f>1.9+2.4</f>
        <v>4.3</v>
      </c>
      <c r="C38" s="1"/>
      <c r="D38" s="2">
        <v>480</v>
      </c>
      <c r="E38" s="3">
        <f t="shared" si="0"/>
        <v>2064</v>
      </c>
    </row>
    <row r="39" spans="1:5" x14ac:dyDescent="0.25">
      <c r="A39" s="1" t="s">
        <v>70</v>
      </c>
      <c r="B39" s="1">
        <f>2.27*2+3</f>
        <v>7.54</v>
      </c>
      <c r="C39" s="1">
        <v>2</v>
      </c>
      <c r="D39" s="2">
        <v>500</v>
      </c>
      <c r="E39" s="3">
        <f t="shared" si="0"/>
        <v>3770</v>
      </c>
    </row>
    <row r="40" spans="1:5" x14ac:dyDescent="0.25">
      <c r="A40" s="1" t="s">
        <v>119</v>
      </c>
      <c r="B40" s="1">
        <v>17.600000000000001</v>
      </c>
      <c r="C40" s="1"/>
      <c r="D40" s="2">
        <v>204</v>
      </c>
      <c r="E40" s="3">
        <f t="shared" si="0"/>
        <v>3590.4</v>
      </c>
    </row>
    <row r="41" spans="1:5" x14ac:dyDescent="0.25">
      <c r="A41" s="1" t="s">
        <v>124</v>
      </c>
      <c r="B41" s="1">
        <v>72</v>
      </c>
      <c r="C41" s="1"/>
      <c r="D41" s="2">
        <v>53</v>
      </c>
      <c r="E41" s="3">
        <f t="shared" si="0"/>
        <v>3816</v>
      </c>
    </row>
    <row r="42" spans="1:5" x14ac:dyDescent="0.25">
      <c r="A42" s="1" t="s">
        <v>299</v>
      </c>
      <c r="B42" s="1"/>
      <c r="C42" s="1" t="s">
        <v>297</v>
      </c>
      <c r="D42" s="2">
        <v>135</v>
      </c>
      <c r="E42" s="3">
        <f>34*D42</f>
        <v>4590</v>
      </c>
    </row>
    <row r="43" spans="1:5" x14ac:dyDescent="0.25">
      <c r="A43" s="1" t="s">
        <v>122</v>
      </c>
      <c r="B43" s="1">
        <f>16.3+2.31+9.44</f>
        <v>28.049999999999997</v>
      </c>
      <c r="C43" s="1"/>
      <c r="D43" s="2">
        <v>170</v>
      </c>
      <c r="E43" s="3">
        <f t="shared" si="0"/>
        <v>4768.4999999999991</v>
      </c>
    </row>
    <row r="44" spans="1:5" x14ac:dyDescent="0.25">
      <c r="A44" s="1" t="s">
        <v>204</v>
      </c>
      <c r="B44" s="1">
        <f>5.7</f>
        <v>5.7</v>
      </c>
      <c r="C44" s="1"/>
      <c r="D44" s="2">
        <v>160</v>
      </c>
      <c r="E44" s="3">
        <f t="shared" si="0"/>
        <v>912</v>
      </c>
    </row>
    <row r="45" spans="1:5" x14ac:dyDescent="0.25">
      <c r="A45" s="1" t="s">
        <v>202</v>
      </c>
      <c r="B45" s="1">
        <f>2+4.68</f>
        <v>6.68</v>
      </c>
      <c r="C45" s="1"/>
      <c r="D45" s="2">
        <v>95</v>
      </c>
      <c r="E45" s="3">
        <f t="shared" si="0"/>
        <v>634.6</v>
      </c>
    </row>
    <row r="46" spans="1:5" x14ac:dyDescent="0.25">
      <c r="A46" s="1" t="s">
        <v>215</v>
      </c>
      <c r="B46" s="1">
        <v>7.36</v>
      </c>
      <c r="C46" s="1"/>
      <c r="D46" s="2">
        <v>83</v>
      </c>
      <c r="E46" s="3">
        <f t="shared" si="0"/>
        <v>610.88</v>
      </c>
    </row>
    <row r="47" spans="1:5" x14ac:dyDescent="0.25">
      <c r="A47" s="1" t="s">
        <v>214</v>
      </c>
      <c r="B47" s="1">
        <v>2.64</v>
      </c>
      <c r="C47" s="1"/>
      <c r="D47" s="2">
        <v>173</v>
      </c>
      <c r="E47" s="3">
        <f t="shared" si="0"/>
        <v>456.72</v>
      </c>
    </row>
    <row r="48" spans="1:5" x14ac:dyDescent="0.25">
      <c r="A48" s="1" t="s">
        <v>289</v>
      </c>
      <c r="B48" s="1">
        <v>3.64</v>
      </c>
      <c r="C48" s="1"/>
      <c r="D48" s="2">
        <v>430</v>
      </c>
      <c r="E48" s="3">
        <f t="shared" si="0"/>
        <v>1565.2</v>
      </c>
    </row>
    <row r="49" spans="1:5" x14ac:dyDescent="0.25">
      <c r="A49" s="1" t="s">
        <v>101</v>
      </c>
      <c r="B49" s="1">
        <f>26.7+9.3+1.178+1.68</f>
        <v>38.857999999999997</v>
      </c>
      <c r="C49" s="1"/>
      <c r="D49" s="2">
        <v>125</v>
      </c>
      <c r="E49" s="3">
        <f t="shared" si="0"/>
        <v>4857.25</v>
      </c>
    </row>
    <row r="50" spans="1:5" x14ac:dyDescent="0.25">
      <c r="A50" s="1" t="s">
        <v>227</v>
      </c>
      <c r="B50" s="1"/>
      <c r="C50" s="1" t="s">
        <v>287</v>
      </c>
      <c r="D50" s="2">
        <f>87/10</f>
        <v>8.6999999999999993</v>
      </c>
      <c r="E50" s="3">
        <f>99*D50</f>
        <v>861.3</v>
      </c>
    </row>
    <row r="51" spans="1:5" x14ac:dyDescent="0.25">
      <c r="A51" s="1" t="s">
        <v>123</v>
      </c>
      <c r="B51" s="1">
        <f>17.6+17.46-3.2+4.08</f>
        <v>35.940000000000005</v>
      </c>
      <c r="C51" s="1"/>
      <c r="D51" s="2">
        <v>240</v>
      </c>
      <c r="E51" s="3">
        <f t="shared" si="0"/>
        <v>8625.6</v>
      </c>
    </row>
    <row r="52" spans="1:5" x14ac:dyDescent="0.25">
      <c r="A52" s="1" t="s">
        <v>102</v>
      </c>
      <c r="B52" s="1">
        <f>28.4+24.6+4.1+5.96</f>
        <v>63.06</v>
      </c>
      <c r="C52" s="1"/>
      <c r="D52" s="2">
        <v>66</v>
      </c>
      <c r="E52" s="3">
        <f t="shared" si="0"/>
        <v>4161.96</v>
      </c>
    </row>
    <row r="53" spans="1:5" x14ac:dyDescent="0.25">
      <c r="A53" s="1" t="s">
        <v>30</v>
      </c>
      <c r="B53" s="1">
        <f>159.7+183.46+30.9+1.61+6.34</f>
        <v>382.00999999999993</v>
      </c>
      <c r="C53" s="1"/>
      <c r="D53" s="2">
        <v>138</v>
      </c>
      <c r="E53" s="3">
        <f t="shared" si="0"/>
        <v>52717.37999999999</v>
      </c>
    </row>
    <row r="54" spans="1:5" x14ac:dyDescent="0.25">
      <c r="A54" s="1" t="s">
        <v>50</v>
      </c>
      <c r="B54" s="1">
        <v>18.2</v>
      </c>
      <c r="C54" s="1"/>
      <c r="D54" s="2">
        <v>170</v>
      </c>
      <c r="E54" s="3">
        <f t="shared" si="0"/>
        <v>3094</v>
      </c>
    </row>
    <row r="55" spans="1:5" x14ac:dyDescent="0.25">
      <c r="A55" s="1" t="s">
        <v>190</v>
      </c>
      <c r="B55" s="1">
        <f>0.725+5.18</f>
        <v>5.9049999999999994</v>
      </c>
      <c r="C55" s="1"/>
      <c r="D55" s="2">
        <v>185</v>
      </c>
      <c r="E55" s="3">
        <f t="shared" si="0"/>
        <v>1092.425</v>
      </c>
    </row>
    <row r="56" spans="1:5" x14ac:dyDescent="0.25">
      <c r="A56" s="1" t="s">
        <v>209</v>
      </c>
      <c r="B56" s="1">
        <v>10</v>
      </c>
      <c r="C56" s="1"/>
      <c r="D56" s="2">
        <v>65</v>
      </c>
      <c r="E56" s="3">
        <f t="shared" si="0"/>
        <v>650</v>
      </c>
    </row>
    <row r="57" spans="1:5" x14ac:dyDescent="0.25">
      <c r="A57" s="1" t="s">
        <v>210</v>
      </c>
      <c r="B57" s="1">
        <f>2+36+11.92+9.03+7.89</f>
        <v>66.84</v>
      </c>
      <c r="C57" s="1"/>
      <c r="D57" s="2">
        <v>100</v>
      </c>
      <c r="E57" s="3">
        <f t="shared" si="0"/>
        <v>6684</v>
      </c>
    </row>
    <row r="58" spans="1:5" x14ac:dyDescent="0.25">
      <c r="A58" s="1" t="s">
        <v>335</v>
      </c>
      <c r="B58" s="1">
        <f>6*20+0.5*8</f>
        <v>124</v>
      </c>
      <c r="C58" s="1">
        <v>20</v>
      </c>
      <c r="D58" s="2">
        <v>130</v>
      </c>
      <c r="E58" s="3">
        <f t="shared" si="0"/>
        <v>16120</v>
      </c>
    </row>
    <row r="59" spans="1:5" x14ac:dyDescent="0.25">
      <c r="A59" s="1" t="s">
        <v>182</v>
      </c>
      <c r="B59" s="1"/>
      <c r="C59" s="1" t="s">
        <v>158</v>
      </c>
      <c r="D59" s="2">
        <v>90</v>
      </c>
      <c r="E59" s="3">
        <f>1*D59</f>
        <v>90</v>
      </c>
    </row>
    <row r="60" spans="1:5" x14ac:dyDescent="0.25">
      <c r="A60" s="1" t="s">
        <v>170</v>
      </c>
      <c r="B60" s="1"/>
      <c r="C60" s="1" t="s">
        <v>151</v>
      </c>
      <c r="D60" s="2">
        <v>80</v>
      </c>
      <c r="E60" s="3">
        <f>2*D60</f>
        <v>160</v>
      </c>
    </row>
    <row r="61" spans="1:5" x14ac:dyDescent="0.25">
      <c r="A61" s="1" t="s">
        <v>251</v>
      </c>
      <c r="B61" s="1">
        <f>24*0.5</f>
        <v>12</v>
      </c>
      <c r="C61" s="1" t="s">
        <v>220</v>
      </c>
      <c r="D61" s="2">
        <v>199</v>
      </c>
      <c r="E61" s="3">
        <f t="shared" si="0"/>
        <v>2388</v>
      </c>
    </row>
    <row r="62" spans="1:5" x14ac:dyDescent="0.25">
      <c r="A62" s="1" t="s">
        <v>252</v>
      </c>
      <c r="B62" s="1">
        <f>0.5*44</f>
        <v>22</v>
      </c>
      <c r="C62" s="1" t="s">
        <v>258</v>
      </c>
      <c r="D62" s="2">
        <v>113</v>
      </c>
      <c r="E62" s="3">
        <f t="shared" si="0"/>
        <v>2486</v>
      </c>
    </row>
    <row r="63" spans="1:5" x14ac:dyDescent="0.25">
      <c r="A63" s="1" t="s">
        <v>253</v>
      </c>
      <c r="B63" s="1">
        <f>14*0.25</f>
        <v>3.5</v>
      </c>
      <c r="C63" s="1" t="s">
        <v>277</v>
      </c>
      <c r="D63" s="2">
        <v>44</v>
      </c>
      <c r="E63" s="3">
        <f t="shared" si="0"/>
        <v>154</v>
      </c>
    </row>
    <row r="64" spans="1:5" x14ac:dyDescent="0.25">
      <c r="A64" s="1" t="s">
        <v>254</v>
      </c>
      <c r="B64" s="1"/>
      <c r="C64" s="1" t="s">
        <v>158</v>
      </c>
      <c r="D64" s="2">
        <v>110</v>
      </c>
      <c r="E64" s="3">
        <f>1*D64</f>
        <v>110</v>
      </c>
    </row>
    <row r="65" spans="1:5" x14ac:dyDescent="0.25">
      <c r="A65" s="1" t="s">
        <v>255</v>
      </c>
      <c r="B65" s="1">
        <f>64*0.5</f>
        <v>32</v>
      </c>
      <c r="C65" s="1" t="s">
        <v>257</v>
      </c>
      <c r="D65" s="2">
        <v>96</v>
      </c>
      <c r="E65" s="3">
        <f t="shared" si="0"/>
        <v>3072</v>
      </c>
    </row>
    <row r="66" spans="1:5" x14ac:dyDescent="0.25">
      <c r="A66" s="1" t="s">
        <v>174</v>
      </c>
      <c r="B66" s="1">
        <f>29+13.8+37+15.5+44</f>
        <v>139.30000000000001</v>
      </c>
      <c r="C66" s="1"/>
      <c r="D66" s="2">
        <v>80</v>
      </c>
      <c r="E66" s="3">
        <f t="shared" si="0"/>
        <v>11144</v>
      </c>
    </row>
    <row r="67" spans="1:5" x14ac:dyDescent="0.25">
      <c r="A67" s="1" t="s">
        <v>89</v>
      </c>
      <c r="B67" s="1">
        <f>40+9.27+6.08+32.5</f>
        <v>87.85</v>
      </c>
      <c r="C67" s="1"/>
      <c r="D67" s="2">
        <v>100</v>
      </c>
      <c r="E67" s="3">
        <f t="shared" si="0"/>
        <v>8785</v>
      </c>
    </row>
    <row r="68" spans="1:5" x14ac:dyDescent="0.25">
      <c r="A68" s="1" t="s">
        <v>165</v>
      </c>
      <c r="B68" s="1">
        <f>3.35+40+4.47+0.84+7.79</f>
        <v>56.45</v>
      </c>
      <c r="C68" s="1"/>
      <c r="D68" s="2">
        <v>80</v>
      </c>
      <c r="E68" s="3">
        <f t="shared" si="0"/>
        <v>4516</v>
      </c>
    </row>
    <row r="69" spans="1:5" x14ac:dyDescent="0.25">
      <c r="A69" s="1" t="s">
        <v>275</v>
      </c>
      <c r="B69" s="1">
        <v>23.5</v>
      </c>
      <c r="C69" s="1"/>
      <c r="D69" s="2">
        <v>80</v>
      </c>
      <c r="E69" s="3">
        <f t="shared" ref="E69:E132" si="1">B69*D69</f>
        <v>1880</v>
      </c>
    </row>
    <row r="70" spans="1:5" x14ac:dyDescent="0.25">
      <c r="A70" s="1" t="s">
        <v>167</v>
      </c>
      <c r="B70" s="1"/>
      <c r="C70" s="1" t="s">
        <v>158</v>
      </c>
      <c r="D70" s="2">
        <v>100</v>
      </c>
      <c r="E70" s="3">
        <f>1*D70</f>
        <v>100</v>
      </c>
    </row>
    <row r="71" spans="1:5" x14ac:dyDescent="0.25">
      <c r="A71" s="1" t="s">
        <v>173</v>
      </c>
      <c r="B71" s="1">
        <f>8.21+27.3+40+43.2</f>
        <v>118.71000000000001</v>
      </c>
      <c r="C71" s="1"/>
      <c r="D71" s="2">
        <v>80</v>
      </c>
      <c r="E71" s="3">
        <f t="shared" si="1"/>
        <v>9496.8000000000011</v>
      </c>
    </row>
    <row r="72" spans="1:5" x14ac:dyDescent="0.25">
      <c r="A72" s="1" t="s">
        <v>149</v>
      </c>
      <c r="B72" s="1">
        <f>5.45+0.64</f>
        <v>6.09</v>
      </c>
      <c r="C72" s="1"/>
      <c r="D72" s="2">
        <v>100</v>
      </c>
      <c r="E72" s="3">
        <f t="shared" si="1"/>
        <v>609</v>
      </c>
    </row>
    <row r="73" spans="1:5" x14ac:dyDescent="0.25">
      <c r="A73" s="1" t="s">
        <v>164</v>
      </c>
      <c r="B73" s="1"/>
      <c r="C73" s="1" t="s">
        <v>158</v>
      </c>
      <c r="D73" s="2">
        <v>112</v>
      </c>
      <c r="E73" s="3">
        <f>1*D73</f>
        <v>112</v>
      </c>
    </row>
    <row r="74" spans="1:5" x14ac:dyDescent="0.25">
      <c r="A74" s="1" t="s">
        <v>166</v>
      </c>
      <c r="B74" s="1"/>
      <c r="C74" s="1" t="s">
        <v>158</v>
      </c>
      <c r="D74" s="2">
        <v>108</v>
      </c>
      <c r="E74" s="3">
        <f>1*D74</f>
        <v>108</v>
      </c>
    </row>
    <row r="75" spans="1:5" x14ac:dyDescent="0.25">
      <c r="A75" s="1" t="s">
        <v>96</v>
      </c>
      <c r="B75" s="1">
        <v>5</v>
      </c>
      <c r="C75" s="1"/>
      <c r="D75" s="2">
        <v>400</v>
      </c>
      <c r="E75" s="3">
        <f t="shared" si="1"/>
        <v>2000</v>
      </c>
    </row>
    <row r="76" spans="1:5" x14ac:dyDescent="0.25">
      <c r="A76" s="1" t="s">
        <v>57</v>
      </c>
      <c r="B76" s="1">
        <v>9.3000000000000007</v>
      </c>
      <c r="C76" s="1"/>
      <c r="D76" s="2">
        <v>198</v>
      </c>
      <c r="E76" s="3">
        <f t="shared" si="1"/>
        <v>1841.4</v>
      </c>
    </row>
    <row r="77" spans="1:5" x14ac:dyDescent="0.25">
      <c r="A77" s="1" t="s">
        <v>207</v>
      </c>
      <c r="B77" s="1">
        <f>8+52.6+13.2</f>
        <v>73.8</v>
      </c>
      <c r="C77" s="1"/>
      <c r="D77" s="2">
        <v>77</v>
      </c>
      <c r="E77" s="3">
        <f t="shared" si="1"/>
        <v>5682.5999999999995</v>
      </c>
    </row>
    <row r="78" spans="1:5" x14ac:dyDescent="0.25">
      <c r="A78" s="1" t="s">
        <v>39</v>
      </c>
      <c r="B78" s="1">
        <f>36.9+16.6+2.2+10.64</f>
        <v>66.34</v>
      </c>
      <c r="C78" s="1"/>
      <c r="D78" s="2">
        <v>78</v>
      </c>
      <c r="E78" s="3">
        <f t="shared" si="1"/>
        <v>5174.5200000000004</v>
      </c>
    </row>
    <row r="79" spans="1:5" x14ac:dyDescent="0.25">
      <c r="A79" s="1" t="s">
        <v>18</v>
      </c>
      <c r="B79" s="1">
        <v>35.1</v>
      </c>
      <c r="C79" s="1"/>
      <c r="D79" s="2">
        <v>198</v>
      </c>
      <c r="E79" s="3">
        <f t="shared" si="1"/>
        <v>6949.8</v>
      </c>
    </row>
    <row r="80" spans="1:5" x14ac:dyDescent="0.25">
      <c r="A80" s="1" t="s">
        <v>1</v>
      </c>
      <c r="B80" s="1">
        <f>937.8+577.5+1146.9+845.5+1025.4+13+4.5+5.88</f>
        <v>4556.4800000000005</v>
      </c>
      <c r="C80" s="1"/>
      <c r="D80" s="2">
        <v>40</v>
      </c>
      <c r="E80" s="3">
        <f t="shared" si="1"/>
        <v>182259.20000000001</v>
      </c>
    </row>
    <row r="81" spans="1:5" x14ac:dyDescent="0.25">
      <c r="A81" s="1" t="s">
        <v>188</v>
      </c>
      <c r="B81" s="1">
        <v>2.78</v>
      </c>
      <c r="C81" s="1"/>
      <c r="D81" s="2">
        <v>120</v>
      </c>
      <c r="E81" s="3">
        <f t="shared" si="1"/>
        <v>333.59999999999997</v>
      </c>
    </row>
    <row r="82" spans="1:5" x14ac:dyDescent="0.25">
      <c r="A82" s="1" t="s">
        <v>307</v>
      </c>
      <c r="B82" s="1">
        <v>4.16</v>
      </c>
      <c r="C82" s="1"/>
      <c r="D82" s="2">
        <v>39</v>
      </c>
      <c r="E82" s="3">
        <f t="shared" si="1"/>
        <v>162.24</v>
      </c>
    </row>
    <row r="83" spans="1:5" x14ac:dyDescent="0.25">
      <c r="A83" s="1" t="s">
        <v>125</v>
      </c>
      <c r="B83" s="1">
        <f>894.5+919</f>
        <v>1813.5</v>
      </c>
      <c r="C83" s="1" t="s">
        <v>126</v>
      </c>
      <c r="D83" s="2">
        <v>41</v>
      </c>
      <c r="E83" s="3">
        <f t="shared" si="1"/>
        <v>74353.5</v>
      </c>
    </row>
    <row r="84" spans="1:5" x14ac:dyDescent="0.25">
      <c r="A84" s="1" t="s">
        <v>191</v>
      </c>
      <c r="B84" s="1">
        <f>3.5+1+7.04</f>
        <v>11.54</v>
      </c>
      <c r="C84" s="1"/>
      <c r="D84" s="2">
        <v>185</v>
      </c>
      <c r="E84" s="3">
        <f t="shared" si="1"/>
        <v>2134.8999999999996</v>
      </c>
    </row>
    <row r="85" spans="1:5" x14ac:dyDescent="0.25">
      <c r="A85" s="1" t="s">
        <v>296</v>
      </c>
      <c r="B85" s="1"/>
      <c r="C85" s="1" t="s">
        <v>298</v>
      </c>
      <c r="D85" s="2">
        <v>23</v>
      </c>
      <c r="E85" s="3">
        <f>65*D85</f>
        <v>1495</v>
      </c>
    </row>
    <row r="86" spans="1:5" x14ac:dyDescent="0.25">
      <c r="A86" s="1" t="s">
        <v>176</v>
      </c>
      <c r="B86" s="1">
        <f>5+106</f>
        <v>111</v>
      </c>
      <c r="C86" s="1"/>
      <c r="D86" s="2">
        <v>32</v>
      </c>
      <c r="E86" s="3">
        <f t="shared" si="1"/>
        <v>3552</v>
      </c>
    </row>
    <row r="87" spans="1:5" x14ac:dyDescent="0.25">
      <c r="A87" s="1" t="s">
        <v>47</v>
      </c>
      <c r="B87" s="1">
        <f>778.18+278.2-13.8</f>
        <v>1042.58</v>
      </c>
      <c r="C87" s="1">
        <v>28</v>
      </c>
      <c r="D87" s="2">
        <v>140</v>
      </c>
      <c r="E87" s="3">
        <f t="shared" si="1"/>
        <v>145961.19999999998</v>
      </c>
    </row>
    <row r="88" spans="1:5" x14ac:dyDescent="0.25">
      <c r="A88" s="1" t="s">
        <v>107</v>
      </c>
      <c r="B88" s="1">
        <f>211.7+216.7+144.6</f>
        <v>573</v>
      </c>
      <c r="C88" s="1"/>
      <c r="D88" s="2">
        <v>138</v>
      </c>
      <c r="E88" s="3">
        <f t="shared" si="1"/>
        <v>79074</v>
      </c>
    </row>
    <row r="89" spans="1:5" x14ac:dyDescent="0.25">
      <c r="A89" s="1" t="s">
        <v>20</v>
      </c>
      <c r="B89" s="1">
        <f>40.1+3.45</f>
        <v>43.550000000000004</v>
      </c>
      <c r="C89" s="1"/>
      <c r="D89" s="2">
        <v>138</v>
      </c>
      <c r="E89" s="3">
        <f t="shared" si="1"/>
        <v>6009.9000000000005</v>
      </c>
    </row>
    <row r="90" spans="1:5" x14ac:dyDescent="0.25">
      <c r="A90" s="1" t="s">
        <v>187</v>
      </c>
      <c r="B90" s="1">
        <f>7.22+12+14.92+11.04+3.44</f>
        <v>48.62</v>
      </c>
      <c r="C90" s="1"/>
      <c r="D90" s="2">
        <v>138</v>
      </c>
      <c r="E90" s="3">
        <f t="shared" si="1"/>
        <v>6709.5599999999995</v>
      </c>
    </row>
    <row r="91" spans="1:5" x14ac:dyDescent="0.25">
      <c r="A91" s="1" t="s">
        <v>117</v>
      </c>
      <c r="B91" s="1">
        <v>28.1</v>
      </c>
      <c r="C91" s="1"/>
      <c r="D91" s="2">
        <v>138</v>
      </c>
      <c r="E91" s="3">
        <f t="shared" si="1"/>
        <v>3877.8</v>
      </c>
    </row>
    <row r="92" spans="1:5" x14ac:dyDescent="0.25">
      <c r="A92" s="1" t="s">
        <v>127</v>
      </c>
      <c r="B92" s="1">
        <f>15.3+30.6+8+2.8+3.24</f>
        <v>59.940000000000005</v>
      </c>
      <c r="C92" s="1"/>
      <c r="D92" s="2">
        <v>88</v>
      </c>
      <c r="E92" s="3">
        <f t="shared" si="1"/>
        <v>5274.72</v>
      </c>
    </row>
    <row r="93" spans="1:5" x14ac:dyDescent="0.25">
      <c r="A93" s="1" t="s">
        <v>17</v>
      </c>
      <c r="B93" s="1">
        <f>31.4+27.11+26.63+25.06</f>
        <v>110.2</v>
      </c>
      <c r="C93" s="1">
        <v>3</v>
      </c>
      <c r="D93" s="2">
        <v>144</v>
      </c>
      <c r="E93" s="3">
        <f t="shared" si="1"/>
        <v>15868.800000000001</v>
      </c>
    </row>
    <row r="94" spans="1:5" x14ac:dyDescent="0.25">
      <c r="A94" s="1" t="s">
        <v>213</v>
      </c>
      <c r="B94" s="1">
        <f>1.8+6.6</f>
        <v>8.4</v>
      </c>
      <c r="C94" s="1"/>
      <c r="D94" s="2">
        <v>95</v>
      </c>
      <c r="E94" s="3">
        <f t="shared" si="1"/>
        <v>798</v>
      </c>
    </row>
    <row r="95" spans="1:5" x14ac:dyDescent="0.25">
      <c r="A95" s="1" t="s">
        <v>186</v>
      </c>
      <c r="B95" s="1">
        <f>4.734</f>
        <v>4.734</v>
      </c>
      <c r="C95" s="1"/>
      <c r="D95" s="2">
        <v>204</v>
      </c>
      <c r="E95" s="3">
        <f t="shared" si="1"/>
        <v>965.73599999999999</v>
      </c>
    </row>
    <row r="96" spans="1:5" x14ac:dyDescent="0.25">
      <c r="A96" s="1" t="s">
        <v>81</v>
      </c>
      <c r="B96" s="1">
        <f>5+0.734+0.724</f>
        <v>6.4580000000000002</v>
      </c>
      <c r="C96" s="1"/>
      <c r="D96" s="2">
        <v>700</v>
      </c>
      <c r="E96" s="3">
        <f t="shared" si="1"/>
        <v>4520.6000000000004</v>
      </c>
    </row>
    <row r="97" spans="1:5" x14ac:dyDescent="0.25">
      <c r="A97" s="1" t="s">
        <v>159</v>
      </c>
      <c r="B97" s="1"/>
      <c r="C97" s="1" t="s">
        <v>160</v>
      </c>
      <c r="D97" s="2">
        <v>80.33</v>
      </c>
      <c r="E97" s="3">
        <f>4*D97</f>
        <v>321.32</v>
      </c>
    </row>
    <row r="98" spans="1:5" x14ac:dyDescent="0.25">
      <c r="A98" s="1" t="s">
        <v>286</v>
      </c>
      <c r="B98" s="1">
        <v>12.5</v>
      </c>
      <c r="C98" s="1"/>
      <c r="D98" s="2">
        <v>70</v>
      </c>
      <c r="E98" s="3">
        <f t="shared" si="1"/>
        <v>875</v>
      </c>
    </row>
    <row r="99" spans="1:5" x14ac:dyDescent="0.25">
      <c r="A99" s="1" t="s">
        <v>28</v>
      </c>
      <c r="B99" s="1">
        <v>783</v>
      </c>
      <c r="C99" s="1"/>
      <c r="D99" s="2">
        <v>38</v>
      </c>
      <c r="E99" s="3">
        <f t="shared" si="1"/>
        <v>29754</v>
      </c>
    </row>
    <row r="100" spans="1:5" x14ac:dyDescent="0.25">
      <c r="A100" s="1" t="s">
        <v>33</v>
      </c>
      <c r="B100" s="1">
        <v>68.400000000000006</v>
      </c>
      <c r="C100" s="1"/>
      <c r="D100" s="2">
        <v>38</v>
      </c>
      <c r="E100" s="3">
        <f t="shared" si="1"/>
        <v>2599.2000000000003</v>
      </c>
    </row>
    <row r="101" spans="1:5" x14ac:dyDescent="0.25">
      <c r="A101" s="1" t="s">
        <v>53</v>
      </c>
      <c r="B101" s="1">
        <f>27.1+5.048+7.8</f>
        <v>39.948</v>
      </c>
      <c r="C101" s="1"/>
      <c r="D101" s="2">
        <v>204</v>
      </c>
      <c r="E101" s="3">
        <f t="shared" si="1"/>
        <v>8149.3919999999998</v>
      </c>
    </row>
    <row r="102" spans="1:5" x14ac:dyDescent="0.25">
      <c r="A102" s="1" t="s">
        <v>86</v>
      </c>
      <c r="B102" s="1">
        <v>515</v>
      </c>
      <c r="C102" s="1"/>
      <c r="D102" s="2">
        <v>100</v>
      </c>
      <c r="E102" s="3">
        <f t="shared" si="1"/>
        <v>51500</v>
      </c>
    </row>
    <row r="103" spans="1:5" x14ac:dyDescent="0.25">
      <c r="A103" s="1" t="s">
        <v>67</v>
      </c>
      <c r="B103" s="1">
        <f>10*2.26+4.3+1.8+0.88+2.64</f>
        <v>32.22</v>
      </c>
      <c r="C103" s="1">
        <v>10</v>
      </c>
      <c r="D103" s="2">
        <v>336.5</v>
      </c>
      <c r="E103" s="3">
        <f t="shared" si="1"/>
        <v>10842.029999999999</v>
      </c>
    </row>
    <row r="104" spans="1:5" x14ac:dyDescent="0.25">
      <c r="A104" s="1" t="s">
        <v>84</v>
      </c>
      <c r="B104" s="1">
        <f>10.88+1.81+1.52</f>
        <v>14.21</v>
      </c>
      <c r="C104" s="1" t="s">
        <v>178</v>
      </c>
      <c r="D104" s="2">
        <v>336.57</v>
      </c>
      <c r="E104" s="3">
        <f t="shared" si="1"/>
        <v>4782.6597000000002</v>
      </c>
    </row>
    <row r="105" spans="1:5" x14ac:dyDescent="0.25">
      <c r="A105" s="1" t="s">
        <v>87</v>
      </c>
      <c r="B105" s="1">
        <v>64.5</v>
      </c>
      <c r="C105" s="1"/>
      <c r="D105" s="2">
        <v>70</v>
      </c>
      <c r="E105" s="3">
        <f t="shared" si="1"/>
        <v>4515</v>
      </c>
    </row>
    <row r="106" spans="1:5" x14ac:dyDescent="0.25">
      <c r="A106" s="1" t="s">
        <v>19</v>
      </c>
      <c r="B106" s="1">
        <v>87.1</v>
      </c>
      <c r="C106" s="1"/>
      <c r="D106" s="2">
        <v>138</v>
      </c>
      <c r="E106" s="3">
        <f t="shared" si="1"/>
        <v>12019.8</v>
      </c>
    </row>
    <row r="107" spans="1:5" x14ac:dyDescent="0.25">
      <c r="A107" s="1" t="s">
        <v>175</v>
      </c>
      <c r="B107" s="1">
        <f>11.15-3.2+6</f>
        <v>13.95</v>
      </c>
      <c r="C107" s="1"/>
      <c r="D107" s="2">
        <v>115</v>
      </c>
      <c r="E107" s="3">
        <f t="shared" si="1"/>
        <v>1604.25</v>
      </c>
    </row>
    <row r="108" spans="1:5" x14ac:dyDescent="0.25">
      <c r="A108" s="1" t="s">
        <v>38</v>
      </c>
      <c r="B108" s="1">
        <f>78+51.2+5.7+3.08</f>
        <v>137.97999999999999</v>
      </c>
      <c r="C108" s="1"/>
      <c r="D108" s="2">
        <v>60</v>
      </c>
      <c r="E108" s="3">
        <f t="shared" si="1"/>
        <v>8278.7999999999993</v>
      </c>
    </row>
    <row r="109" spans="1:5" x14ac:dyDescent="0.25">
      <c r="A109" s="1" t="s">
        <v>83</v>
      </c>
      <c r="B109" s="1">
        <f>18.73+21.1+21.42+23.17+23.34+19.58+11.2</f>
        <v>138.54</v>
      </c>
      <c r="C109" s="1">
        <v>7</v>
      </c>
      <c r="D109" s="2">
        <v>148</v>
      </c>
      <c r="E109" s="3">
        <f t="shared" si="1"/>
        <v>20503.919999999998</v>
      </c>
    </row>
    <row r="110" spans="1:5" x14ac:dyDescent="0.25">
      <c r="A110" s="1" t="s">
        <v>37</v>
      </c>
      <c r="B110" s="1">
        <f>157+39.2+21.4+1.6+5.64</f>
        <v>224.83999999999997</v>
      </c>
      <c r="C110" s="1"/>
      <c r="D110" s="2">
        <v>59</v>
      </c>
      <c r="E110" s="3">
        <f t="shared" si="1"/>
        <v>13265.559999999998</v>
      </c>
    </row>
    <row r="111" spans="1:5" x14ac:dyDescent="0.25">
      <c r="A111" s="1" t="s">
        <v>44</v>
      </c>
      <c r="B111" s="1">
        <f>75.3+6.4</f>
        <v>81.7</v>
      </c>
      <c r="C111" s="1"/>
      <c r="D111" s="2">
        <v>100</v>
      </c>
      <c r="E111" s="3">
        <f t="shared" si="1"/>
        <v>8170</v>
      </c>
    </row>
    <row r="112" spans="1:5" x14ac:dyDescent="0.25">
      <c r="A112" s="1" t="s">
        <v>46</v>
      </c>
      <c r="B112" s="1">
        <f>764.79+39.6+5.28</f>
        <v>809.67</v>
      </c>
      <c r="C112" s="1">
        <v>26</v>
      </c>
      <c r="D112" s="2">
        <v>100</v>
      </c>
      <c r="E112" s="3">
        <f t="shared" si="1"/>
        <v>80967</v>
      </c>
    </row>
    <row r="113" spans="1:5" x14ac:dyDescent="0.25">
      <c r="A113" s="1" t="s">
        <v>8</v>
      </c>
      <c r="B113" s="1">
        <f>231.7+368.4+61.6</f>
        <v>661.69999999999993</v>
      </c>
      <c r="C113" s="1"/>
      <c r="D113" s="2">
        <v>270</v>
      </c>
      <c r="E113" s="3">
        <f t="shared" si="1"/>
        <v>178658.99999999997</v>
      </c>
    </row>
    <row r="114" spans="1:5" x14ac:dyDescent="0.25">
      <c r="A114" s="1" t="s">
        <v>43</v>
      </c>
      <c r="B114" s="1">
        <f>15.3+8.2</f>
        <v>23.5</v>
      </c>
      <c r="C114" s="1"/>
      <c r="D114" s="2">
        <v>130</v>
      </c>
      <c r="E114" s="3">
        <f t="shared" si="1"/>
        <v>3055</v>
      </c>
    </row>
    <row r="115" spans="1:5" x14ac:dyDescent="0.25">
      <c r="A115" s="1" t="s">
        <v>80</v>
      </c>
      <c r="B115" s="1">
        <f>39*4.5+11.04</f>
        <v>186.54</v>
      </c>
      <c r="C115" s="1">
        <v>39</v>
      </c>
      <c r="D115" s="2">
        <v>65</v>
      </c>
      <c r="E115" s="3">
        <f t="shared" si="1"/>
        <v>12125.1</v>
      </c>
    </row>
    <row r="116" spans="1:5" x14ac:dyDescent="0.25">
      <c r="A116" s="1" t="s">
        <v>271</v>
      </c>
      <c r="B116" s="1">
        <f>1.88+6.02</f>
        <v>7.8999999999999995</v>
      </c>
      <c r="C116" s="1"/>
      <c r="D116" s="2">
        <v>76</v>
      </c>
      <c r="E116" s="3">
        <f t="shared" si="1"/>
        <v>600.4</v>
      </c>
    </row>
    <row r="117" spans="1:5" x14ac:dyDescent="0.25">
      <c r="A117" s="1" t="s">
        <v>106</v>
      </c>
      <c r="B117" s="1">
        <f>251.7+263.2+258.7+58.7-9+168.8</f>
        <v>992.09999999999991</v>
      </c>
      <c r="C117" s="1"/>
      <c r="D117" s="2">
        <v>198</v>
      </c>
      <c r="E117" s="3">
        <f t="shared" si="1"/>
        <v>196435.8</v>
      </c>
    </row>
    <row r="118" spans="1:5" x14ac:dyDescent="0.25">
      <c r="A118" s="1" t="s">
        <v>94</v>
      </c>
      <c r="B118" s="1">
        <f>70+8.3+8.8</f>
        <v>87.1</v>
      </c>
      <c r="C118" s="1"/>
      <c r="D118" s="2">
        <v>18</v>
      </c>
      <c r="E118" s="3">
        <f t="shared" si="1"/>
        <v>1567.8</v>
      </c>
    </row>
    <row r="119" spans="1:5" x14ac:dyDescent="0.25">
      <c r="A119" s="1" t="s">
        <v>128</v>
      </c>
      <c r="B119" s="1">
        <f>8.8+1.56+14.16</f>
        <v>24.520000000000003</v>
      </c>
      <c r="C119" s="1"/>
      <c r="D119" s="2">
        <v>110</v>
      </c>
      <c r="E119" s="3">
        <f t="shared" si="1"/>
        <v>2697.2000000000003</v>
      </c>
    </row>
    <row r="120" spans="1:5" x14ac:dyDescent="0.25">
      <c r="A120" s="1" t="s">
        <v>199</v>
      </c>
      <c r="B120" s="1">
        <f>1.538+16.5</f>
        <v>18.038</v>
      </c>
      <c r="C120" s="1"/>
      <c r="D120" s="2">
        <v>148</v>
      </c>
      <c r="E120" s="3">
        <f t="shared" si="1"/>
        <v>2669.6240000000003</v>
      </c>
    </row>
    <row r="121" spans="1:5" x14ac:dyDescent="0.25">
      <c r="A121" s="1" t="s">
        <v>74</v>
      </c>
      <c r="B121" s="1">
        <f>18*6+0.75*5+0.75+0.75*8</f>
        <v>118.5</v>
      </c>
      <c r="C121" s="1">
        <v>18</v>
      </c>
      <c r="D121" s="2">
        <v>148</v>
      </c>
      <c r="E121" s="3">
        <f t="shared" si="1"/>
        <v>17538</v>
      </c>
    </row>
    <row r="122" spans="1:5" x14ac:dyDescent="0.25">
      <c r="A122" s="1" t="s">
        <v>29</v>
      </c>
      <c r="B122" s="1">
        <f>78.5+12.3+4.3+3.5</f>
        <v>98.6</v>
      </c>
      <c r="C122" s="1"/>
      <c r="D122" s="2">
        <v>3</v>
      </c>
      <c r="E122" s="3">
        <f t="shared" si="1"/>
        <v>295.79999999999995</v>
      </c>
    </row>
    <row r="123" spans="1:5" x14ac:dyDescent="0.25">
      <c r="A123" s="1" t="s">
        <v>98</v>
      </c>
      <c r="B123" s="1">
        <f>40.2+2+7.24</f>
        <v>49.440000000000005</v>
      </c>
      <c r="C123" s="1"/>
      <c r="D123" s="2">
        <v>10</v>
      </c>
      <c r="E123" s="3">
        <f t="shared" si="1"/>
        <v>494.40000000000003</v>
      </c>
    </row>
    <row r="124" spans="1:5" x14ac:dyDescent="0.25">
      <c r="A124" s="1" t="s">
        <v>132</v>
      </c>
      <c r="B124" s="1">
        <f>13.6+23+17.6</f>
        <v>54.2</v>
      </c>
      <c r="C124" s="1"/>
      <c r="D124" s="2">
        <v>90</v>
      </c>
      <c r="E124" s="3">
        <f t="shared" si="1"/>
        <v>4878</v>
      </c>
    </row>
    <row r="125" spans="1:5" x14ac:dyDescent="0.25">
      <c r="A125" s="1" t="s">
        <v>262</v>
      </c>
      <c r="B125" s="1">
        <v>10.199999999999999</v>
      </c>
      <c r="C125" s="1"/>
      <c r="D125" s="2">
        <v>100</v>
      </c>
      <c r="E125" s="3">
        <f t="shared" si="1"/>
        <v>1019.9999999999999</v>
      </c>
    </row>
    <row r="126" spans="1:5" x14ac:dyDescent="0.25">
      <c r="A126" s="1" t="s">
        <v>263</v>
      </c>
      <c r="B126" s="1">
        <f>8.2+3.47</f>
        <v>11.67</v>
      </c>
      <c r="C126" s="1"/>
      <c r="D126" s="2">
        <v>58</v>
      </c>
      <c r="E126" s="3">
        <f t="shared" si="1"/>
        <v>676.86</v>
      </c>
    </row>
    <row r="127" spans="1:5" x14ac:dyDescent="0.25">
      <c r="A127" s="1" t="s">
        <v>273</v>
      </c>
      <c r="B127" s="1">
        <f>10.1</f>
        <v>10.1</v>
      </c>
      <c r="C127" s="1"/>
      <c r="D127" s="2">
        <v>145</v>
      </c>
      <c r="E127" s="3">
        <f t="shared" si="1"/>
        <v>1464.5</v>
      </c>
    </row>
    <row r="128" spans="1:5" x14ac:dyDescent="0.25">
      <c r="A128" s="1" t="s">
        <v>267</v>
      </c>
      <c r="B128" s="1">
        <f>3.06+5.2</f>
        <v>8.26</v>
      </c>
      <c r="C128" s="1"/>
      <c r="D128" s="2">
        <v>116</v>
      </c>
      <c r="E128" s="3">
        <f t="shared" si="1"/>
        <v>958.16</v>
      </c>
    </row>
    <row r="129" spans="1:5" x14ac:dyDescent="0.25">
      <c r="A129" s="1" t="s">
        <v>139</v>
      </c>
      <c r="B129" s="1">
        <f>3.5+10.47</f>
        <v>13.97</v>
      </c>
      <c r="C129" s="1"/>
      <c r="D129" s="2">
        <v>90</v>
      </c>
      <c r="E129" s="3">
        <f t="shared" si="1"/>
        <v>1257.3</v>
      </c>
    </row>
    <row r="130" spans="1:5" x14ac:dyDescent="0.25">
      <c r="A130" s="1" t="s">
        <v>137</v>
      </c>
      <c r="B130" s="1">
        <f>2.5+2.52+2.51+45+7.5</f>
        <v>60.03</v>
      </c>
      <c r="C130" s="1"/>
      <c r="D130" s="2">
        <v>118</v>
      </c>
      <c r="E130" s="3">
        <f t="shared" si="1"/>
        <v>7083.54</v>
      </c>
    </row>
    <row r="131" spans="1:5" x14ac:dyDescent="0.25">
      <c r="A131" s="1" t="s">
        <v>265</v>
      </c>
      <c r="B131" s="1">
        <f>2.3+4</f>
        <v>6.3</v>
      </c>
      <c r="C131" s="1"/>
      <c r="D131" s="2">
        <v>116</v>
      </c>
      <c r="E131" s="3">
        <f t="shared" si="1"/>
        <v>730.8</v>
      </c>
    </row>
    <row r="132" spans="1:5" x14ac:dyDescent="0.25">
      <c r="A132" s="1" t="s">
        <v>268</v>
      </c>
      <c r="B132" s="1">
        <v>3.85</v>
      </c>
      <c r="C132" s="1"/>
      <c r="D132" s="2">
        <v>410</v>
      </c>
      <c r="E132" s="3">
        <f t="shared" si="1"/>
        <v>1578.5</v>
      </c>
    </row>
    <row r="133" spans="1:5" x14ac:dyDescent="0.25">
      <c r="A133" s="1" t="s">
        <v>193</v>
      </c>
      <c r="B133" s="1">
        <v>299</v>
      </c>
      <c r="C133" s="1"/>
      <c r="D133" s="2">
        <v>58</v>
      </c>
      <c r="E133" s="3">
        <f t="shared" ref="E133:E196" si="2">B133*D133</f>
        <v>17342</v>
      </c>
    </row>
    <row r="134" spans="1:5" x14ac:dyDescent="0.25">
      <c r="A134" s="1" t="s">
        <v>266</v>
      </c>
      <c r="B134" s="1">
        <v>5.21</v>
      </c>
      <c r="C134" s="1"/>
      <c r="D134" s="2">
        <v>471.41</v>
      </c>
      <c r="E134" s="3">
        <f t="shared" si="2"/>
        <v>2456.0461</v>
      </c>
    </row>
    <row r="135" spans="1:5" x14ac:dyDescent="0.25">
      <c r="A135" s="1" t="s">
        <v>144</v>
      </c>
      <c r="B135" s="1">
        <f>1.215+1+14</f>
        <v>16.215</v>
      </c>
      <c r="C135" s="1"/>
      <c r="D135" s="2">
        <v>592.32000000000005</v>
      </c>
      <c r="E135" s="3">
        <f t="shared" si="2"/>
        <v>9604.4688000000006</v>
      </c>
    </row>
    <row r="136" spans="1:5" x14ac:dyDescent="0.25">
      <c r="A136" s="1" t="s">
        <v>324</v>
      </c>
      <c r="B136" s="1">
        <v>20</v>
      </c>
      <c r="C136" s="1"/>
      <c r="D136" s="2">
        <v>200</v>
      </c>
      <c r="E136" s="3">
        <f t="shared" si="2"/>
        <v>4000</v>
      </c>
    </row>
    <row r="137" spans="1:5" x14ac:dyDescent="0.25">
      <c r="A137" s="1" t="s">
        <v>168</v>
      </c>
      <c r="B137" s="1"/>
      <c r="C137" s="1" t="s">
        <v>158</v>
      </c>
      <c r="D137" s="2">
        <v>198</v>
      </c>
      <c r="E137" s="3">
        <f>1*D137</f>
        <v>198</v>
      </c>
    </row>
    <row r="138" spans="1:5" x14ac:dyDescent="0.25">
      <c r="A138" s="1" t="s">
        <v>131</v>
      </c>
      <c r="B138" s="1">
        <f>10.36+34.9+1.18</f>
        <v>46.44</v>
      </c>
      <c r="C138" s="1"/>
      <c r="D138" s="2">
        <f>465/5</f>
        <v>93</v>
      </c>
      <c r="E138" s="3">
        <f t="shared" si="2"/>
        <v>4318.92</v>
      </c>
    </row>
    <row r="139" spans="1:5" x14ac:dyDescent="0.25">
      <c r="A139" s="1" t="s">
        <v>272</v>
      </c>
      <c r="B139" s="1">
        <f>2.95+3.89</f>
        <v>6.84</v>
      </c>
      <c r="C139" s="1"/>
      <c r="D139" s="2">
        <v>150</v>
      </c>
      <c r="E139" s="3">
        <f t="shared" si="2"/>
        <v>1026</v>
      </c>
    </row>
    <row r="140" spans="1:5" x14ac:dyDescent="0.25">
      <c r="A140" s="1" t="s">
        <v>130</v>
      </c>
      <c r="B140" s="1">
        <f>19.5+32+36.3+1.466</f>
        <v>89.265999999999991</v>
      </c>
      <c r="C140" s="1"/>
      <c r="D140" s="2">
        <v>98</v>
      </c>
      <c r="E140" s="3">
        <f t="shared" si="2"/>
        <v>8748.0679999999993</v>
      </c>
    </row>
    <row r="141" spans="1:5" x14ac:dyDescent="0.25">
      <c r="A141" s="1" t="s">
        <v>59</v>
      </c>
      <c r="B141" s="1">
        <f>10.8+1.5</f>
        <v>12.3</v>
      </c>
      <c r="C141" s="1"/>
      <c r="D141" s="2">
        <v>400</v>
      </c>
      <c r="E141" s="3">
        <f t="shared" si="2"/>
        <v>4920</v>
      </c>
    </row>
    <row r="142" spans="1:5" x14ac:dyDescent="0.25">
      <c r="A142" s="1" t="s">
        <v>55</v>
      </c>
      <c r="B142" s="1">
        <f>2.8+86+10.6+3.8</f>
        <v>103.19999999999999</v>
      </c>
      <c r="C142" s="1"/>
      <c r="D142" s="2">
        <v>120</v>
      </c>
      <c r="E142" s="3">
        <f t="shared" si="2"/>
        <v>12383.999999999998</v>
      </c>
    </row>
    <row r="143" spans="1:5" x14ac:dyDescent="0.25">
      <c r="A143" s="1" t="s">
        <v>172</v>
      </c>
      <c r="B143" s="1">
        <f>11+14.96+4.5+5.7+29.8+15+44.1</f>
        <v>125.06</v>
      </c>
      <c r="C143" s="1"/>
      <c r="D143" s="2">
        <v>84</v>
      </c>
      <c r="E143" s="3">
        <f t="shared" si="2"/>
        <v>10505.04</v>
      </c>
    </row>
    <row r="144" spans="1:5" x14ac:dyDescent="0.25">
      <c r="A144" s="1" t="s">
        <v>274</v>
      </c>
      <c r="B144" s="1">
        <v>40</v>
      </c>
      <c r="C144" s="1"/>
      <c r="D144" s="2">
        <v>50</v>
      </c>
      <c r="E144" s="3">
        <f t="shared" si="2"/>
        <v>2000</v>
      </c>
    </row>
    <row r="145" spans="1:5" x14ac:dyDescent="0.25">
      <c r="A145" s="1" t="s">
        <v>76</v>
      </c>
      <c r="B145" s="1">
        <v>24.7</v>
      </c>
      <c r="C145" s="1"/>
      <c r="D145" s="2">
        <v>700</v>
      </c>
      <c r="E145" s="3">
        <f t="shared" si="2"/>
        <v>17290</v>
      </c>
    </row>
    <row r="146" spans="1:5" x14ac:dyDescent="0.25">
      <c r="A146" s="1" t="s">
        <v>77</v>
      </c>
      <c r="B146" s="1">
        <f>8.3+5.24+5.9+7.8</f>
        <v>27.240000000000002</v>
      </c>
      <c r="C146" s="1"/>
      <c r="D146" s="2">
        <v>450</v>
      </c>
      <c r="E146" s="3">
        <f t="shared" si="2"/>
        <v>12258</v>
      </c>
    </row>
    <row r="147" spans="1:5" x14ac:dyDescent="0.25">
      <c r="A147" s="1" t="s">
        <v>331</v>
      </c>
      <c r="B147" s="1"/>
      <c r="C147" s="1" t="s">
        <v>332</v>
      </c>
      <c r="D147" s="2">
        <v>28</v>
      </c>
      <c r="E147" s="3">
        <f>19*D147</f>
        <v>532</v>
      </c>
    </row>
    <row r="148" spans="1:5" x14ac:dyDescent="0.25">
      <c r="A148" s="1" t="s">
        <v>329</v>
      </c>
      <c r="B148" s="1"/>
      <c r="C148" s="1" t="s">
        <v>330</v>
      </c>
      <c r="D148" s="2">
        <v>25</v>
      </c>
      <c r="E148" s="3">
        <f>35*D148</f>
        <v>875</v>
      </c>
    </row>
    <row r="149" spans="1:5" x14ac:dyDescent="0.25">
      <c r="A149" s="1" t="s">
        <v>45</v>
      </c>
      <c r="B149" s="1">
        <f>85.7+29.3+13.8+1.324+1.76</f>
        <v>131.88400000000001</v>
      </c>
      <c r="C149" s="1"/>
      <c r="D149" s="2">
        <v>40</v>
      </c>
      <c r="E149" s="3">
        <f t="shared" si="2"/>
        <v>5275.3600000000006</v>
      </c>
    </row>
    <row r="150" spans="1:5" x14ac:dyDescent="0.25">
      <c r="A150" s="1" t="s">
        <v>276</v>
      </c>
      <c r="B150" s="1">
        <f>60+25+16.5+22</f>
        <v>123.5</v>
      </c>
      <c r="C150" s="1"/>
      <c r="D150" s="2">
        <v>65</v>
      </c>
      <c r="E150" s="3">
        <f t="shared" si="2"/>
        <v>8027.5</v>
      </c>
    </row>
    <row r="151" spans="1:5" x14ac:dyDescent="0.25">
      <c r="A151" s="1" t="s">
        <v>229</v>
      </c>
      <c r="B151" s="1"/>
      <c r="C151" s="1" t="s">
        <v>325</v>
      </c>
      <c r="D151" s="2">
        <v>100</v>
      </c>
      <c r="E151" s="3">
        <f>11*D151</f>
        <v>1100</v>
      </c>
    </row>
    <row r="152" spans="1:5" x14ac:dyDescent="0.25">
      <c r="A152" s="1" t="s">
        <v>230</v>
      </c>
      <c r="B152" s="1"/>
      <c r="C152" s="1" t="s">
        <v>326</v>
      </c>
      <c r="D152" s="2">
        <v>65</v>
      </c>
      <c r="E152" s="3">
        <f>4*D152</f>
        <v>260</v>
      </c>
    </row>
    <row r="153" spans="1:5" x14ac:dyDescent="0.25">
      <c r="A153" s="1" t="s">
        <v>228</v>
      </c>
      <c r="B153" s="1"/>
      <c r="C153" s="1" t="s">
        <v>319</v>
      </c>
      <c r="D153" s="2">
        <f>270/20</f>
        <v>13.5</v>
      </c>
      <c r="E153" s="3">
        <f>9*D153</f>
        <v>121.5</v>
      </c>
    </row>
    <row r="154" spans="1:5" x14ac:dyDescent="0.25">
      <c r="A154" s="1" t="s">
        <v>231</v>
      </c>
      <c r="B154" s="1"/>
      <c r="C154" s="1" t="s">
        <v>201</v>
      </c>
      <c r="D154" s="2">
        <v>70</v>
      </c>
      <c r="E154" s="3">
        <f>10*D154</f>
        <v>700</v>
      </c>
    </row>
    <row r="155" spans="1:5" x14ac:dyDescent="0.25">
      <c r="A155" s="1" t="s">
        <v>232</v>
      </c>
      <c r="B155" s="1"/>
      <c r="C155" s="1" t="s">
        <v>328</v>
      </c>
      <c r="D155" s="2">
        <v>80</v>
      </c>
      <c r="E155" s="3">
        <f>16*D155</f>
        <v>1280</v>
      </c>
    </row>
    <row r="156" spans="1:5" x14ac:dyDescent="0.25">
      <c r="A156" s="1" t="s">
        <v>314</v>
      </c>
      <c r="B156" s="1"/>
      <c r="C156" s="1" t="s">
        <v>151</v>
      </c>
      <c r="D156" s="2">
        <v>54.78</v>
      </c>
      <c r="E156" s="3">
        <f>2*D156</f>
        <v>109.56</v>
      </c>
    </row>
    <row r="157" spans="1:5" x14ac:dyDescent="0.25">
      <c r="A157" s="1" t="s">
        <v>315</v>
      </c>
      <c r="B157" s="1"/>
      <c r="C157" s="1" t="s">
        <v>151</v>
      </c>
      <c r="D157" s="2">
        <v>54.78</v>
      </c>
      <c r="E157" s="3">
        <f>2*D157</f>
        <v>109.56</v>
      </c>
    </row>
    <row r="158" spans="1:5" x14ac:dyDescent="0.25">
      <c r="A158" s="1" t="s">
        <v>48</v>
      </c>
      <c r="B158" s="1">
        <f>27.22*7</f>
        <v>190.54</v>
      </c>
      <c r="C158" s="1">
        <v>7</v>
      </c>
      <c r="D158" s="2">
        <v>78</v>
      </c>
      <c r="E158" s="3">
        <f t="shared" si="2"/>
        <v>14862.119999999999</v>
      </c>
    </row>
    <row r="159" spans="1:5" x14ac:dyDescent="0.25">
      <c r="A159" s="1" t="s">
        <v>306</v>
      </c>
      <c r="B159" s="1">
        <v>4.04</v>
      </c>
      <c r="C159" s="1"/>
      <c r="D159" s="2">
        <v>144</v>
      </c>
      <c r="E159" s="3">
        <f t="shared" si="2"/>
        <v>581.76</v>
      </c>
    </row>
    <row r="160" spans="1:5" x14ac:dyDescent="0.25">
      <c r="A160" s="1" t="s">
        <v>189</v>
      </c>
      <c r="B160" s="1">
        <f>3.56+2+9.26</f>
        <v>14.82</v>
      </c>
      <c r="C160" s="1"/>
      <c r="D160" s="2">
        <v>165</v>
      </c>
      <c r="E160" s="3">
        <f t="shared" si="2"/>
        <v>2445.3000000000002</v>
      </c>
    </row>
    <row r="161" spans="1:5" x14ac:dyDescent="0.25">
      <c r="A161" s="1" t="s">
        <v>222</v>
      </c>
      <c r="B161" s="1">
        <f>2.53+2.5+6</f>
        <v>11.03</v>
      </c>
      <c r="C161" s="1"/>
      <c r="D161" s="2">
        <v>59</v>
      </c>
      <c r="E161" s="3">
        <f t="shared" si="2"/>
        <v>650.77</v>
      </c>
    </row>
    <row r="162" spans="1:5" x14ac:dyDescent="0.25">
      <c r="A162" s="1" t="s">
        <v>221</v>
      </c>
      <c r="B162" s="1"/>
      <c r="C162" s="1" t="s">
        <v>151</v>
      </c>
      <c r="D162" s="2">
        <v>80</v>
      </c>
      <c r="E162" s="3">
        <f>2*D162</f>
        <v>160</v>
      </c>
    </row>
    <row r="163" spans="1:5" x14ac:dyDescent="0.25">
      <c r="A163" s="1" t="s">
        <v>194</v>
      </c>
      <c r="B163" s="1">
        <f>12.8+8+6.62</f>
        <v>27.42</v>
      </c>
      <c r="C163" s="1"/>
      <c r="D163" s="2">
        <v>83</v>
      </c>
      <c r="E163" s="3">
        <f t="shared" si="2"/>
        <v>2275.86</v>
      </c>
    </row>
    <row r="164" spans="1:5" x14ac:dyDescent="0.25">
      <c r="A164" s="1" t="s">
        <v>205</v>
      </c>
      <c r="B164" s="1">
        <f>4.25+5</f>
        <v>9.25</v>
      </c>
      <c r="C164" s="1"/>
      <c r="D164" s="2">
        <v>173</v>
      </c>
      <c r="E164" s="3">
        <f t="shared" si="2"/>
        <v>1600.25</v>
      </c>
    </row>
    <row r="165" spans="1:5" x14ac:dyDescent="0.25">
      <c r="A165" s="1" t="s">
        <v>195</v>
      </c>
      <c r="B165" s="1">
        <v>33.9</v>
      </c>
      <c r="C165" s="1"/>
      <c r="D165" s="2">
        <v>83</v>
      </c>
      <c r="E165" s="3">
        <f t="shared" si="2"/>
        <v>2813.7</v>
      </c>
    </row>
    <row r="166" spans="1:5" x14ac:dyDescent="0.25">
      <c r="A166" s="1" t="s">
        <v>336</v>
      </c>
      <c r="B166" s="1"/>
      <c r="C166" s="1" t="s">
        <v>156</v>
      </c>
      <c r="D166" s="2">
        <v>50</v>
      </c>
      <c r="E166" s="3">
        <f>3*D166</f>
        <v>150</v>
      </c>
    </row>
    <row r="167" spans="1:5" x14ac:dyDescent="0.25">
      <c r="A167" s="1" t="s">
        <v>240</v>
      </c>
      <c r="B167" s="1"/>
      <c r="C167" s="1" t="s">
        <v>154</v>
      </c>
      <c r="D167" s="2">
        <v>48</v>
      </c>
      <c r="E167" s="3">
        <f>6*D167</f>
        <v>288</v>
      </c>
    </row>
    <row r="168" spans="1:5" x14ac:dyDescent="0.25">
      <c r="A168" s="1" t="s">
        <v>26</v>
      </c>
      <c r="B168" s="1">
        <f>154.2-17.36+12.3+4.26</f>
        <v>153.39999999999998</v>
      </c>
      <c r="C168" s="1"/>
      <c r="D168" s="2">
        <v>198</v>
      </c>
      <c r="E168" s="3">
        <f t="shared" si="2"/>
        <v>30373.199999999997</v>
      </c>
    </row>
    <row r="169" spans="1:5" x14ac:dyDescent="0.25">
      <c r="A169" s="1" t="s">
        <v>90</v>
      </c>
      <c r="B169" s="1">
        <f>25+4.5</f>
        <v>29.5</v>
      </c>
      <c r="C169" s="1"/>
      <c r="D169" s="2">
        <v>600</v>
      </c>
      <c r="E169" s="3">
        <f t="shared" si="2"/>
        <v>17700</v>
      </c>
    </row>
    <row r="170" spans="1:5" x14ac:dyDescent="0.25">
      <c r="A170" s="1" t="s">
        <v>129</v>
      </c>
      <c r="B170" s="1">
        <f>16.3+8.84</f>
        <v>25.14</v>
      </c>
      <c r="C170" s="1"/>
      <c r="D170" s="2">
        <v>152</v>
      </c>
      <c r="E170" s="3">
        <f t="shared" si="2"/>
        <v>3821.28</v>
      </c>
    </row>
    <row r="171" spans="1:5" x14ac:dyDescent="0.25">
      <c r="A171" s="1" t="s">
        <v>78</v>
      </c>
      <c r="B171" s="1">
        <f>33*6+0.5*3+2.3+0.532+8*0.5</f>
        <v>206.33200000000002</v>
      </c>
      <c r="C171" s="1">
        <v>33</v>
      </c>
      <c r="D171" s="2">
        <v>200</v>
      </c>
      <c r="E171" s="3">
        <f t="shared" si="2"/>
        <v>41266.400000000001</v>
      </c>
    </row>
    <row r="172" spans="1:5" x14ac:dyDescent="0.25">
      <c r="A172" s="1" t="s">
        <v>320</v>
      </c>
      <c r="B172" s="1"/>
      <c r="C172" s="1" t="s">
        <v>277</v>
      </c>
      <c r="D172" s="2">
        <v>43</v>
      </c>
      <c r="E172" s="3">
        <f>14*D172</f>
        <v>602</v>
      </c>
    </row>
    <row r="173" spans="1:5" x14ac:dyDescent="0.25">
      <c r="A173" s="1" t="s">
        <v>312</v>
      </c>
      <c r="B173" s="1"/>
      <c r="C173" s="1" t="s">
        <v>156</v>
      </c>
      <c r="D173" s="2">
        <v>22.96</v>
      </c>
      <c r="E173" s="3">
        <f>3*D173</f>
        <v>68.88</v>
      </c>
    </row>
    <row r="174" spans="1:5" x14ac:dyDescent="0.25">
      <c r="A174" s="1" t="s">
        <v>313</v>
      </c>
      <c r="B174" s="1"/>
      <c r="C174" s="1" t="s">
        <v>201</v>
      </c>
      <c r="D174" s="2">
        <v>22.96</v>
      </c>
      <c r="E174" s="3">
        <f>10*D174</f>
        <v>229.60000000000002</v>
      </c>
    </row>
    <row r="175" spans="1:5" x14ac:dyDescent="0.25">
      <c r="A175" s="1" t="s">
        <v>99</v>
      </c>
      <c r="B175" s="1">
        <f>44.2+10.3+3.1+10.28</f>
        <v>67.88</v>
      </c>
      <c r="C175" s="1"/>
      <c r="D175" s="2">
        <v>78</v>
      </c>
      <c r="E175" s="3">
        <f t="shared" si="2"/>
        <v>5294.6399999999994</v>
      </c>
    </row>
    <row r="176" spans="1:5" x14ac:dyDescent="0.25">
      <c r="A176" s="1" t="s">
        <v>73</v>
      </c>
      <c r="B176" s="1">
        <f>8*10+21.6+1.06+5.12</f>
        <v>107.78</v>
      </c>
      <c r="C176" s="1">
        <v>8</v>
      </c>
      <c r="D176" s="2">
        <v>58</v>
      </c>
      <c r="E176" s="3">
        <f t="shared" si="2"/>
        <v>6251.24</v>
      </c>
    </row>
    <row r="177" spans="1:5" x14ac:dyDescent="0.25">
      <c r="A177" s="1" t="s">
        <v>71</v>
      </c>
      <c r="B177" s="1">
        <f>14*10+4.3+0.51+5.06+2.5*17</f>
        <v>192.37</v>
      </c>
      <c r="C177" s="1">
        <v>31</v>
      </c>
      <c r="D177" s="2">
        <v>58</v>
      </c>
      <c r="E177" s="3">
        <f t="shared" si="2"/>
        <v>11157.460000000001</v>
      </c>
    </row>
    <row r="178" spans="1:5" x14ac:dyDescent="0.25">
      <c r="A178" s="1" t="s">
        <v>72</v>
      </c>
      <c r="B178" s="1">
        <f>13*10+2.5+10+25.9+4.3+0.508+4.6+2.5*5</f>
        <v>190.30800000000002</v>
      </c>
      <c r="C178" s="1">
        <f>14+5</f>
        <v>19</v>
      </c>
      <c r="D178" s="2">
        <v>58</v>
      </c>
      <c r="E178" s="3">
        <f t="shared" si="2"/>
        <v>11037.864000000001</v>
      </c>
    </row>
    <row r="179" spans="1:5" x14ac:dyDescent="0.25">
      <c r="A179" s="1" t="s">
        <v>284</v>
      </c>
      <c r="B179" s="1">
        <f>17.4+4.77</f>
        <v>22.169999999999998</v>
      </c>
      <c r="C179" s="1"/>
      <c r="D179" s="2">
        <v>213.81</v>
      </c>
      <c r="E179" s="3">
        <f t="shared" si="2"/>
        <v>4740.1677</v>
      </c>
    </row>
    <row r="180" spans="1:5" x14ac:dyDescent="0.25">
      <c r="A180" s="1" t="s">
        <v>171</v>
      </c>
      <c r="B180" s="1"/>
      <c r="C180" s="1" t="s">
        <v>154</v>
      </c>
      <c r="D180" s="2">
        <v>85</v>
      </c>
      <c r="E180" s="3">
        <f>6*D180</f>
        <v>510</v>
      </c>
    </row>
    <row r="181" spans="1:5" x14ac:dyDescent="0.25">
      <c r="A181" s="1" t="s">
        <v>250</v>
      </c>
      <c r="B181" s="1"/>
      <c r="C181" s="1" t="s">
        <v>178</v>
      </c>
      <c r="D181" s="2">
        <v>115</v>
      </c>
      <c r="E181" s="3">
        <f>13*D181</f>
        <v>1495</v>
      </c>
    </row>
    <row r="182" spans="1:5" x14ac:dyDescent="0.25">
      <c r="A182" s="1" t="s">
        <v>259</v>
      </c>
      <c r="B182" s="1">
        <f>20.5+37.1+2.8</f>
        <v>60.4</v>
      </c>
      <c r="C182" s="1"/>
      <c r="D182" s="2">
        <v>50</v>
      </c>
      <c r="E182" s="3">
        <f t="shared" si="2"/>
        <v>3020</v>
      </c>
    </row>
    <row r="183" spans="1:5" x14ac:dyDescent="0.25">
      <c r="A183" s="1" t="s">
        <v>334</v>
      </c>
      <c r="B183" s="1">
        <v>12.1</v>
      </c>
      <c r="C183" s="1"/>
      <c r="D183" s="2">
        <v>54</v>
      </c>
      <c r="E183" s="3">
        <f t="shared" si="2"/>
        <v>653.4</v>
      </c>
    </row>
    <row r="184" spans="1:5" x14ac:dyDescent="0.25">
      <c r="A184" s="1" t="s">
        <v>9</v>
      </c>
      <c r="B184" s="1">
        <v>67.2</v>
      </c>
      <c r="C184" s="1"/>
      <c r="D184" s="2">
        <v>145</v>
      </c>
      <c r="E184" s="3">
        <f t="shared" si="2"/>
        <v>9744</v>
      </c>
    </row>
    <row r="185" spans="1:5" x14ac:dyDescent="0.25">
      <c r="A185" s="1" t="s">
        <v>6</v>
      </c>
      <c r="B185" s="1">
        <f>350.26+72.8</f>
        <v>423.06</v>
      </c>
      <c r="C185" s="1">
        <v>18</v>
      </c>
      <c r="D185" s="2">
        <v>125</v>
      </c>
      <c r="E185" s="3">
        <f t="shared" si="2"/>
        <v>52882.5</v>
      </c>
    </row>
    <row r="186" spans="1:5" x14ac:dyDescent="0.25">
      <c r="A186" s="1" t="s">
        <v>41</v>
      </c>
      <c r="B186" s="1">
        <f>155.2+53.5</f>
        <v>208.7</v>
      </c>
      <c r="C186" s="1"/>
      <c r="D186" s="2">
        <v>110</v>
      </c>
      <c r="E186" s="3">
        <f t="shared" si="2"/>
        <v>22957</v>
      </c>
    </row>
    <row r="187" spans="1:5" x14ac:dyDescent="0.25">
      <c r="A187" s="1" t="s">
        <v>22</v>
      </c>
      <c r="B187" s="1">
        <v>88.1</v>
      </c>
      <c r="C187" s="1"/>
      <c r="D187" s="2">
        <v>198</v>
      </c>
      <c r="E187" s="3">
        <f t="shared" si="2"/>
        <v>17443.8</v>
      </c>
    </row>
    <row r="188" spans="1:5" x14ac:dyDescent="0.25">
      <c r="A188" s="1" t="s">
        <v>138</v>
      </c>
      <c r="B188" s="1">
        <f>4.7+1.9</f>
        <v>6.6</v>
      </c>
      <c r="C188" s="1"/>
      <c r="D188" s="2">
        <v>170</v>
      </c>
      <c r="E188" s="3">
        <f t="shared" si="2"/>
        <v>1122</v>
      </c>
    </row>
    <row r="189" spans="1:5" x14ac:dyDescent="0.25">
      <c r="A189" s="1" t="s">
        <v>206</v>
      </c>
      <c r="B189" s="1">
        <f>12.35+12.41</f>
        <v>24.759999999999998</v>
      </c>
      <c r="C189" s="1"/>
      <c r="D189" s="2">
        <v>104</v>
      </c>
      <c r="E189" s="3">
        <f t="shared" si="2"/>
        <v>2575.04</v>
      </c>
    </row>
    <row r="190" spans="1:5" x14ac:dyDescent="0.25">
      <c r="A190" s="1" t="s">
        <v>79</v>
      </c>
      <c r="B190" s="1">
        <f>19*6.7+0.5*7</f>
        <v>130.80000000000001</v>
      </c>
      <c r="C190" s="1">
        <v>19</v>
      </c>
      <c r="D190" s="2">
        <v>190</v>
      </c>
      <c r="E190" s="3">
        <f t="shared" si="2"/>
        <v>24852.000000000004</v>
      </c>
    </row>
    <row r="191" spans="1:5" x14ac:dyDescent="0.25">
      <c r="A191" s="1" t="s">
        <v>247</v>
      </c>
      <c r="B191" s="1">
        <f>0.975+14.35+18.9</f>
        <v>34.224999999999994</v>
      </c>
      <c r="C191" s="1"/>
      <c r="D191" s="2">
        <v>96</v>
      </c>
      <c r="E191" s="3">
        <f t="shared" si="2"/>
        <v>3285.5999999999995</v>
      </c>
    </row>
    <row r="192" spans="1:5" x14ac:dyDescent="0.25">
      <c r="A192" s="1" t="s">
        <v>16</v>
      </c>
      <c r="B192" s="1">
        <f>81.5+10.3+2.5</f>
        <v>94.3</v>
      </c>
      <c r="C192" s="1"/>
      <c r="D192" s="2">
        <v>40</v>
      </c>
      <c r="E192" s="3">
        <f t="shared" si="2"/>
        <v>3772</v>
      </c>
    </row>
    <row r="193" spans="1:5" x14ac:dyDescent="0.25">
      <c r="A193" s="1" t="s">
        <v>21</v>
      </c>
      <c r="B193" s="1">
        <v>20</v>
      </c>
      <c r="C193" s="1"/>
      <c r="D193" s="2">
        <v>120</v>
      </c>
      <c r="E193" s="3">
        <f t="shared" si="2"/>
        <v>2400</v>
      </c>
    </row>
    <row r="194" spans="1:5" x14ac:dyDescent="0.25">
      <c r="A194" s="1" t="s">
        <v>91</v>
      </c>
      <c r="B194" s="1">
        <f>6+16.69-1.336+1.55+5.9</f>
        <v>28.804000000000002</v>
      </c>
      <c r="C194" s="1"/>
      <c r="D194" s="2">
        <v>291.56</v>
      </c>
      <c r="E194" s="3">
        <f t="shared" si="2"/>
        <v>8398.0942400000004</v>
      </c>
    </row>
    <row r="195" spans="1:5" x14ac:dyDescent="0.25">
      <c r="A195" s="1" t="s">
        <v>197</v>
      </c>
      <c r="B195" s="1">
        <f>52.7+4</f>
        <v>56.7</v>
      </c>
      <c r="C195" s="1"/>
      <c r="D195" s="2">
        <v>198</v>
      </c>
      <c r="E195" s="3">
        <f t="shared" si="2"/>
        <v>11226.6</v>
      </c>
    </row>
    <row r="196" spans="1:5" x14ac:dyDescent="0.25">
      <c r="A196" s="1" t="s">
        <v>323</v>
      </c>
      <c r="B196" s="1">
        <v>1.29</v>
      </c>
      <c r="C196" s="1"/>
      <c r="D196" s="2">
        <v>110</v>
      </c>
      <c r="E196" s="3">
        <f t="shared" si="2"/>
        <v>141.9</v>
      </c>
    </row>
    <row r="197" spans="1:5" x14ac:dyDescent="0.25">
      <c r="A197" s="1" t="s">
        <v>118</v>
      </c>
      <c r="B197" s="1">
        <f>211.2+893.5</f>
        <v>1104.7</v>
      </c>
      <c r="C197" s="1"/>
      <c r="D197" s="2">
        <v>43</v>
      </c>
      <c r="E197" s="3">
        <f t="shared" ref="E197:E260" si="3">B197*D197</f>
        <v>47502.1</v>
      </c>
    </row>
    <row r="198" spans="1:5" x14ac:dyDescent="0.25">
      <c r="A198" s="1" t="s">
        <v>92</v>
      </c>
      <c r="B198" s="1">
        <v>23</v>
      </c>
      <c r="C198" s="1"/>
      <c r="D198" s="2">
        <v>160</v>
      </c>
      <c r="E198" s="3">
        <f t="shared" si="3"/>
        <v>3680</v>
      </c>
    </row>
    <row r="199" spans="1:5" x14ac:dyDescent="0.25">
      <c r="A199" s="1" t="s">
        <v>256</v>
      </c>
      <c r="B199" s="1">
        <f>6.5+6</f>
        <v>12.5</v>
      </c>
      <c r="C199" s="1"/>
      <c r="D199" s="2">
        <v>150</v>
      </c>
      <c r="E199" s="3">
        <f t="shared" si="3"/>
        <v>1875</v>
      </c>
    </row>
    <row r="200" spans="1:5" x14ac:dyDescent="0.25">
      <c r="A200" s="1" t="s">
        <v>211</v>
      </c>
      <c r="B200" s="1">
        <f>21.58+1.12</f>
        <v>22.7</v>
      </c>
      <c r="C200" s="1"/>
      <c r="D200" s="2">
        <v>67</v>
      </c>
      <c r="E200" s="3">
        <f t="shared" si="3"/>
        <v>1520.8999999999999</v>
      </c>
    </row>
    <row r="201" spans="1:5" x14ac:dyDescent="0.25">
      <c r="A201" s="1" t="s">
        <v>10</v>
      </c>
      <c r="B201" s="1">
        <f>114.5+2.58</f>
        <v>117.08</v>
      </c>
      <c r="C201" s="1"/>
      <c r="D201" s="2">
        <v>150</v>
      </c>
      <c r="E201" s="3">
        <f t="shared" si="3"/>
        <v>17562</v>
      </c>
    </row>
    <row r="202" spans="1:5" x14ac:dyDescent="0.25">
      <c r="A202" s="1" t="s">
        <v>34</v>
      </c>
      <c r="B202" s="1">
        <f>41+11.8+2.98+1.3</f>
        <v>57.079999999999991</v>
      </c>
      <c r="C202" s="1"/>
      <c r="D202" s="2">
        <v>160</v>
      </c>
      <c r="E202" s="3">
        <f t="shared" si="3"/>
        <v>9132.7999999999993</v>
      </c>
    </row>
    <row r="203" spans="1:5" x14ac:dyDescent="0.25">
      <c r="A203" s="1" t="s">
        <v>333</v>
      </c>
      <c r="B203" s="1"/>
      <c r="C203" s="1" t="s">
        <v>151</v>
      </c>
      <c r="D203" s="2">
        <v>18</v>
      </c>
      <c r="E203" s="3">
        <f>2*D203</f>
        <v>36</v>
      </c>
    </row>
    <row r="204" spans="1:5" x14ac:dyDescent="0.25">
      <c r="A204" s="1" t="s">
        <v>32</v>
      </c>
      <c r="B204" s="1">
        <f>234.8+19.1</f>
        <v>253.9</v>
      </c>
      <c r="C204" s="1"/>
      <c r="D204" s="2">
        <v>85</v>
      </c>
      <c r="E204" s="3">
        <f t="shared" si="3"/>
        <v>21581.5</v>
      </c>
    </row>
    <row r="205" spans="1:5" x14ac:dyDescent="0.25">
      <c r="A205" s="1" t="s">
        <v>208</v>
      </c>
      <c r="B205" s="1">
        <f>0.925+1.5+6.88+19.8+3.36</f>
        <v>32.465000000000003</v>
      </c>
      <c r="C205" s="1"/>
      <c r="D205" s="2">
        <v>104</v>
      </c>
      <c r="E205" s="3">
        <f t="shared" si="3"/>
        <v>3376.3600000000006</v>
      </c>
    </row>
    <row r="206" spans="1:5" x14ac:dyDescent="0.25">
      <c r="A206" s="1" t="s">
        <v>243</v>
      </c>
      <c r="B206" s="1">
        <f>3.82+8.58+7.37</f>
        <v>19.77</v>
      </c>
      <c r="C206" s="1"/>
      <c r="D206" s="2">
        <v>110</v>
      </c>
      <c r="E206" s="3">
        <f t="shared" si="3"/>
        <v>2174.6999999999998</v>
      </c>
    </row>
    <row r="207" spans="1:5" x14ac:dyDescent="0.25">
      <c r="A207" s="1" t="s">
        <v>111</v>
      </c>
      <c r="B207" s="1">
        <f>3.5*23+3.53+4.3+4.77</f>
        <v>93.1</v>
      </c>
      <c r="C207" s="1" t="s">
        <v>112</v>
      </c>
      <c r="D207" s="2">
        <v>150</v>
      </c>
      <c r="E207" s="3">
        <f t="shared" si="3"/>
        <v>13965</v>
      </c>
    </row>
    <row r="208" spans="1:5" x14ac:dyDescent="0.25">
      <c r="A208" s="1" t="s">
        <v>225</v>
      </c>
      <c r="B208" s="1"/>
      <c r="C208" s="1" t="s">
        <v>327</v>
      </c>
      <c r="D208" s="2">
        <f>275.19/12</f>
        <v>22.932500000000001</v>
      </c>
      <c r="E208" s="3">
        <f>36*D208</f>
        <v>825.57</v>
      </c>
    </row>
    <row r="209" spans="1:5" x14ac:dyDescent="0.25">
      <c r="A209" s="1" t="s">
        <v>283</v>
      </c>
      <c r="B209" s="1"/>
      <c r="C209" s="1" t="s">
        <v>160</v>
      </c>
      <c r="D209" s="2">
        <v>150</v>
      </c>
      <c r="E209" s="3">
        <f>4*D209</f>
        <v>600</v>
      </c>
    </row>
    <row r="210" spans="1:5" x14ac:dyDescent="0.25">
      <c r="A210" s="1" t="s">
        <v>148</v>
      </c>
      <c r="B210" s="1">
        <v>0.255</v>
      </c>
      <c r="C210" s="1"/>
      <c r="D210" s="2">
        <v>190</v>
      </c>
      <c r="E210" s="3">
        <f t="shared" si="3"/>
        <v>48.45</v>
      </c>
    </row>
    <row r="211" spans="1:5" x14ac:dyDescent="0.25">
      <c r="A211" s="1" t="s">
        <v>115</v>
      </c>
      <c r="B211" s="1">
        <f>3.5*26+3.52+5.75+7.8</f>
        <v>108.07</v>
      </c>
      <c r="C211" s="1" t="s">
        <v>116</v>
      </c>
      <c r="D211" s="2">
        <v>150</v>
      </c>
      <c r="E211" s="3">
        <f t="shared" si="3"/>
        <v>16210.499999999998</v>
      </c>
    </row>
    <row r="212" spans="1:5" x14ac:dyDescent="0.25">
      <c r="A212" s="1" t="s">
        <v>161</v>
      </c>
      <c r="B212" s="1"/>
      <c r="C212" s="1" t="s">
        <v>156</v>
      </c>
      <c r="D212" s="2">
        <v>98</v>
      </c>
      <c r="E212" s="3">
        <f>3*D212</f>
        <v>294</v>
      </c>
    </row>
    <row r="213" spans="1:5" x14ac:dyDescent="0.25">
      <c r="A213" s="1" t="s">
        <v>162</v>
      </c>
      <c r="B213" s="1"/>
      <c r="C213" s="1" t="s">
        <v>158</v>
      </c>
      <c r="D213" s="2">
        <v>70.739999999999995</v>
      </c>
      <c r="E213" s="3">
        <f>1*D213</f>
        <v>70.739999999999995</v>
      </c>
    </row>
    <row r="214" spans="1:5" x14ac:dyDescent="0.25">
      <c r="A214" s="1" t="s">
        <v>157</v>
      </c>
      <c r="B214" s="1"/>
      <c r="C214" s="1" t="s">
        <v>158</v>
      </c>
      <c r="D214" s="2">
        <v>98</v>
      </c>
      <c r="E214" s="3">
        <f>1*D214</f>
        <v>98</v>
      </c>
    </row>
    <row r="215" spans="1:5" x14ac:dyDescent="0.25">
      <c r="A215" s="1" t="s">
        <v>241</v>
      </c>
      <c r="B215" s="1"/>
      <c r="C215" s="1" t="s">
        <v>201</v>
      </c>
      <c r="D215" s="2">
        <v>58</v>
      </c>
      <c r="E215" s="3">
        <f>10*D215</f>
        <v>580</v>
      </c>
    </row>
    <row r="216" spans="1:5" x14ac:dyDescent="0.25">
      <c r="A216" s="1" t="s">
        <v>264</v>
      </c>
      <c r="B216" s="1">
        <v>7.9</v>
      </c>
      <c r="C216" s="1"/>
      <c r="D216" s="2">
        <v>115</v>
      </c>
      <c r="E216" s="3">
        <f t="shared" si="3"/>
        <v>908.5</v>
      </c>
    </row>
    <row r="217" spans="1:5" x14ac:dyDescent="0.25">
      <c r="A217" s="1" t="s">
        <v>270</v>
      </c>
      <c r="B217" s="1">
        <f>3.72+3.99</f>
        <v>7.7100000000000009</v>
      </c>
      <c r="C217" s="1"/>
      <c r="D217" s="2">
        <v>77</v>
      </c>
      <c r="E217" s="3">
        <f t="shared" si="3"/>
        <v>593.67000000000007</v>
      </c>
    </row>
    <row r="218" spans="1:5" x14ac:dyDescent="0.25">
      <c r="A218" s="1" t="s">
        <v>133</v>
      </c>
      <c r="B218" s="1">
        <f>1.41+7.4+3.81</f>
        <v>12.620000000000001</v>
      </c>
      <c r="C218" s="1"/>
      <c r="D218" s="2">
        <v>110</v>
      </c>
      <c r="E218" s="3">
        <f t="shared" si="3"/>
        <v>1388.2</v>
      </c>
    </row>
    <row r="219" spans="1:5" x14ac:dyDescent="0.25">
      <c r="A219" s="1" t="s">
        <v>155</v>
      </c>
      <c r="B219" s="1"/>
      <c r="C219" s="1" t="s">
        <v>156</v>
      </c>
      <c r="D219" s="2">
        <v>154.66999999999999</v>
      </c>
      <c r="E219" s="3">
        <f>3*D219</f>
        <v>464.01</v>
      </c>
    </row>
    <row r="220" spans="1:5" x14ac:dyDescent="0.25">
      <c r="A220" s="1" t="s">
        <v>237</v>
      </c>
      <c r="B220" s="1"/>
      <c r="C220" s="1" t="s">
        <v>158</v>
      </c>
      <c r="D220" s="2">
        <v>28</v>
      </c>
      <c r="E220" s="3">
        <f>1*D220</f>
        <v>28</v>
      </c>
    </row>
    <row r="221" spans="1:5" x14ac:dyDescent="0.25">
      <c r="A221" s="1" t="s">
        <v>233</v>
      </c>
      <c r="B221" s="1">
        <f>2.53+4.65+1.86-0.5+15.8+1.42+16.23+9.45+10.65+3.9+7.75</f>
        <v>73.739999999999995</v>
      </c>
      <c r="C221" s="1"/>
      <c r="D221" s="2">
        <v>125.5</v>
      </c>
      <c r="E221" s="3">
        <f t="shared" si="3"/>
        <v>9254.369999999999</v>
      </c>
    </row>
    <row r="222" spans="1:5" x14ac:dyDescent="0.25">
      <c r="A222" s="1" t="s">
        <v>109</v>
      </c>
      <c r="B222" s="1">
        <f>3.5*20+3.52+6.35+9.15</f>
        <v>89.02</v>
      </c>
      <c r="C222" s="1" t="s">
        <v>110</v>
      </c>
      <c r="D222" s="2">
        <v>150</v>
      </c>
      <c r="E222" s="3">
        <f t="shared" si="3"/>
        <v>13353</v>
      </c>
    </row>
    <row r="223" spans="1:5" x14ac:dyDescent="0.25">
      <c r="A223" s="1" t="s">
        <v>108</v>
      </c>
      <c r="B223" s="1">
        <f>528.6+531.82+515.8+538.74+515.08+481.13+525.61+453+518.02+384+105.4+71.3+109.8+295.2+12.78</f>
        <v>5586.28</v>
      </c>
      <c r="C223" s="1">
        <f>42+42+40+42+39+36+42+36+42+32</f>
        <v>393</v>
      </c>
      <c r="D223" s="2">
        <v>150</v>
      </c>
      <c r="E223" s="3">
        <f t="shared" si="3"/>
        <v>837942</v>
      </c>
    </row>
    <row r="224" spans="1:5" x14ac:dyDescent="0.25">
      <c r="A224" s="1" t="s">
        <v>145</v>
      </c>
      <c r="B224" s="1">
        <f>1.01+1</f>
        <v>2.0099999999999998</v>
      </c>
      <c r="C224" s="1"/>
      <c r="D224" s="2">
        <v>152.27000000000001</v>
      </c>
      <c r="E224" s="3">
        <f t="shared" si="3"/>
        <v>306.06270000000001</v>
      </c>
    </row>
    <row r="225" spans="1:5" x14ac:dyDescent="0.25">
      <c r="A225" s="1" t="s">
        <v>146</v>
      </c>
      <c r="B225" s="1">
        <v>0.5</v>
      </c>
      <c r="C225" s="1"/>
      <c r="D225" s="2">
        <v>70.739999999999995</v>
      </c>
      <c r="E225" s="3">
        <f t="shared" si="3"/>
        <v>35.369999999999997</v>
      </c>
    </row>
    <row r="226" spans="1:5" x14ac:dyDescent="0.25">
      <c r="A226" s="1" t="s">
        <v>147</v>
      </c>
      <c r="B226" s="1">
        <v>0.27500000000000002</v>
      </c>
      <c r="C226" s="1"/>
      <c r="D226" s="2">
        <v>70.739999999999995</v>
      </c>
      <c r="E226" s="3">
        <f t="shared" si="3"/>
        <v>19.453500000000002</v>
      </c>
    </row>
    <row r="227" spans="1:5" x14ac:dyDescent="0.25">
      <c r="A227" s="1" t="s">
        <v>113</v>
      </c>
      <c r="B227" s="1">
        <f>3.5*9+3.52+3.33+2.9+6+2</f>
        <v>49.25</v>
      </c>
      <c r="C227" s="1" t="s">
        <v>114</v>
      </c>
      <c r="D227" s="2">
        <v>150</v>
      </c>
      <c r="E227" s="3">
        <f t="shared" si="3"/>
        <v>7387.5</v>
      </c>
    </row>
    <row r="228" spans="1:5" x14ac:dyDescent="0.25">
      <c r="A228" s="1" t="s">
        <v>239</v>
      </c>
      <c r="B228" s="1">
        <f>4.54+7.4</f>
        <v>11.940000000000001</v>
      </c>
      <c r="C228" s="1"/>
      <c r="D228" s="2">
        <v>62</v>
      </c>
      <c r="E228" s="3">
        <f t="shared" si="3"/>
        <v>740.28000000000009</v>
      </c>
    </row>
    <row r="229" spans="1:5" x14ac:dyDescent="0.25">
      <c r="A229" s="1" t="s">
        <v>235</v>
      </c>
      <c r="B229" s="1">
        <f>1.33+1.03</f>
        <v>2.3600000000000003</v>
      </c>
      <c r="C229" s="1"/>
      <c r="D229" s="2">
        <v>129</v>
      </c>
      <c r="E229" s="3">
        <f t="shared" si="3"/>
        <v>304.44000000000005</v>
      </c>
    </row>
    <row r="230" spans="1:5" x14ac:dyDescent="0.25">
      <c r="A230" s="1" t="s">
        <v>219</v>
      </c>
      <c r="B230" s="1"/>
      <c r="C230" s="1" t="s">
        <v>285</v>
      </c>
      <c r="D230" s="2">
        <f>121.74/10</f>
        <v>12.173999999999999</v>
      </c>
      <c r="E230" s="3">
        <f>84*D230</f>
        <v>1022.616</v>
      </c>
    </row>
    <row r="231" spans="1:5" x14ac:dyDescent="0.25">
      <c r="A231" s="1" t="s">
        <v>236</v>
      </c>
      <c r="B231" s="1">
        <f>6.32-0.5+3.89+1.31+1.315+3.05</f>
        <v>15.385000000000002</v>
      </c>
      <c r="C231" s="1"/>
      <c r="D231" s="2">
        <v>270</v>
      </c>
      <c r="E231" s="3">
        <f t="shared" si="3"/>
        <v>4153.9500000000007</v>
      </c>
    </row>
    <row r="232" spans="1:5" x14ac:dyDescent="0.25">
      <c r="A232" s="1" t="s">
        <v>234</v>
      </c>
      <c r="B232" s="1">
        <v>6.13</v>
      </c>
      <c r="C232" s="1"/>
      <c r="D232" s="2">
        <v>78</v>
      </c>
      <c r="E232" s="3">
        <f t="shared" si="3"/>
        <v>478.14</v>
      </c>
    </row>
    <row r="233" spans="1:5" x14ac:dyDescent="0.25">
      <c r="A233" s="1" t="s">
        <v>238</v>
      </c>
      <c r="B233" s="1"/>
      <c r="C233" s="1" t="s">
        <v>169</v>
      </c>
      <c r="D233" s="2">
        <v>20</v>
      </c>
      <c r="E233" s="3">
        <f>8*D233</f>
        <v>160</v>
      </c>
    </row>
    <row r="234" spans="1:5" x14ac:dyDescent="0.25">
      <c r="A234" s="1" t="s">
        <v>42</v>
      </c>
      <c r="B234" s="1">
        <f>13.8+3.284</f>
        <v>17.084</v>
      </c>
      <c r="C234" s="1"/>
      <c r="D234" s="2">
        <v>165</v>
      </c>
      <c r="E234" s="3">
        <f t="shared" si="3"/>
        <v>2818.86</v>
      </c>
    </row>
    <row r="235" spans="1:5" x14ac:dyDescent="0.25">
      <c r="A235" s="1" t="s">
        <v>25</v>
      </c>
      <c r="B235" s="1">
        <f>150.5-20</f>
        <v>130.5</v>
      </c>
      <c r="C235" s="1"/>
      <c r="D235" s="2">
        <v>198</v>
      </c>
      <c r="E235" s="3">
        <f t="shared" si="3"/>
        <v>25839</v>
      </c>
    </row>
    <row r="236" spans="1:5" x14ac:dyDescent="0.25">
      <c r="A236" s="1" t="s">
        <v>282</v>
      </c>
      <c r="B236" s="1">
        <f>2.59+1.5</f>
        <v>4.09</v>
      </c>
      <c r="C236" s="1"/>
      <c r="D236" s="2">
        <v>85</v>
      </c>
      <c r="E236" s="3">
        <f t="shared" si="3"/>
        <v>347.65</v>
      </c>
    </row>
    <row r="237" spans="1:5" x14ac:dyDescent="0.25">
      <c r="A237" s="1" t="s">
        <v>246</v>
      </c>
      <c r="B237" s="1">
        <f>4.58+54.6+6.8+8.8+4.6</f>
        <v>79.38</v>
      </c>
      <c r="C237" s="1"/>
      <c r="D237" s="2">
        <v>90</v>
      </c>
      <c r="E237" s="3">
        <f t="shared" si="3"/>
        <v>7144.2</v>
      </c>
    </row>
    <row r="238" spans="1:5" x14ac:dyDescent="0.25">
      <c r="A238" s="1" t="s">
        <v>249</v>
      </c>
      <c r="B238" s="1">
        <v>1.71</v>
      </c>
      <c r="C238" s="1"/>
      <c r="D238" s="2">
        <v>90</v>
      </c>
      <c r="E238" s="3">
        <f t="shared" si="3"/>
        <v>153.9</v>
      </c>
    </row>
    <row r="239" spans="1:5" x14ac:dyDescent="0.25">
      <c r="A239" s="1" t="s">
        <v>269</v>
      </c>
      <c r="B239" s="1">
        <f>1.45+1.1</f>
        <v>2.5499999999999998</v>
      </c>
      <c r="C239" s="1"/>
      <c r="D239" s="2">
        <v>110</v>
      </c>
      <c r="E239" s="3">
        <f t="shared" si="3"/>
        <v>280.5</v>
      </c>
    </row>
    <row r="240" spans="1:5" x14ac:dyDescent="0.25">
      <c r="A240" s="1" t="s">
        <v>97</v>
      </c>
      <c r="B240" s="1">
        <f>37.4+14.6+2.7+14.34</f>
        <v>69.040000000000006</v>
      </c>
      <c r="C240" s="1"/>
      <c r="D240" s="2">
        <v>128</v>
      </c>
      <c r="E240" s="3">
        <f t="shared" si="3"/>
        <v>8837.1200000000008</v>
      </c>
    </row>
    <row r="241" spans="1:5" x14ac:dyDescent="0.25">
      <c r="A241" s="1" t="s">
        <v>24</v>
      </c>
      <c r="B241" s="1">
        <f>441.6-20+3.8+0.722</f>
        <v>426.12200000000001</v>
      </c>
      <c r="C241" s="1"/>
      <c r="D241" s="2">
        <v>198</v>
      </c>
      <c r="E241" s="3">
        <f t="shared" si="3"/>
        <v>84372.156000000003</v>
      </c>
    </row>
    <row r="242" spans="1:5" x14ac:dyDescent="0.25">
      <c r="A242" s="1" t="s">
        <v>93</v>
      </c>
      <c r="B242" s="1">
        <f>38+0.676+5.3</f>
        <v>43.975999999999999</v>
      </c>
      <c r="C242" s="1"/>
      <c r="D242" s="2">
        <v>400</v>
      </c>
      <c r="E242" s="3">
        <f t="shared" si="3"/>
        <v>17590.400000000001</v>
      </c>
    </row>
    <row r="243" spans="1:5" x14ac:dyDescent="0.25">
      <c r="A243" s="1" t="s">
        <v>95</v>
      </c>
      <c r="B243" s="1">
        <f>3.6+0.722+0.744</f>
        <v>5.0659999999999998</v>
      </c>
      <c r="C243" s="1"/>
      <c r="D243" s="2">
        <v>700</v>
      </c>
      <c r="E243" s="3">
        <f t="shared" si="3"/>
        <v>3546.2</v>
      </c>
    </row>
    <row r="244" spans="1:5" x14ac:dyDescent="0.25">
      <c r="A244" s="1" t="s">
        <v>11</v>
      </c>
      <c r="B244" s="1">
        <f>181.5-23.4+8.8+1.382</f>
        <v>168.28200000000001</v>
      </c>
      <c r="C244" s="1"/>
      <c r="D244" s="2">
        <v>204</v>
      </c>
      <c r="E244" s="3">
        <f t="shared" si="3"/>
        <v>34329.528000000006</v>
      </c>
    </row>
    <row r="245" spans="1:5" x14ac:dyDescent="0.25">
      <c r="A245" s="1" t="s">
        <v>143</v>
      </c>
      <c r="B245" s="1">
        <f>9.53+1.51+9.2+5.9</f>
        <v>26.14</v>
      </c>
      <c r="C245" s="1"/>
      <c r="D245" s="2">
        <v>480</v>
      </c>
      <c r="E245" s="3">
        <f t="shared" si="3"/>
        <v>12547.2</v>
      </c>
    </row>
    <row r="246" spans="1:5" x14ac:dyDescent="0.25">
      <c r="A246" s="1" t="s">
        <v>216</v>
      </c>
      <c r="B246" s="1"/>
      <c r="C246" s="1" t="s">
        <v>217</v>
      </c>
      <c r="D246" s="2">
        <v>90</v>
      </c>
      <c r="E246" s="3">
        <f>7*D246</f>
        <v>630</v>
      </c>
    </row>
    <row r="247" spans="1:5" x14ac:dyDescent="0.25">
      <c r="A247" s="1" t="s">
        <v>134</v>
      </c>
      <c r="B247" s="1">
        <v>6</v>
      </c>
      <c r="C247" s="1"/>
      <c r="D247" s="2">
        <v>400</v>
      </c>
      <c r="E247" s="3">
        <f t="shared" si="3"/>
        <v>2400</v>
      </c>
    </row>
    <row r="248" spans="1:5" x14ac:dyDescent="0.25">
      <c r="A248" s="1" t="s">
        <v>135</v>
      </c>
      <c r="B248" s="1">
        <v>6</v>
      </c>
      <c r="C248" s="1"/>
      <c r="D248" s="2">
        <v>80</v>
      </c>
      <c r="E248" s="3">
        <f t="shared" si="3"/>
        <v>480</v>
      </c>
    </row>
    <row r="249" spans="1:5" x14ac:dyDescent="0.25">
      <c r="A249" s="1" t="s">
        <v>177</v>
      </c>
      <c r="B249" s="1"/>
      <c r="C249" s="1" t="s">
        <v>277</v>
      </c>
      <c r="D249" s="2">
        <v>61</v>
      </c>
      <c r="E249" s="3">
        <f>14*D249</f>
        <v>854</v>
      </c>
    </row>
    <row r="250" spans="1:5" x14ac:dyDescent="0.25">
      <c r="A250" s="1" t="s">
        <v>153</v>
      </c>
      <c r="B250" s="1"/>
      <c r="C250" s="1" t="s">
        <v>169</v>
      </c>
      <c r="D250" s="2">
        <v>110</v>
      </c>
      <c r="E250" s="3">
        <f>8*D250</f>
        <v>880</v>
      </c>
    </row>
    <row r="251" spans="1:5" x14ac:dyDescent="0.25">
      <c r="A251" s="1" t="s">
        <v>248</v>
      </c>
      <c r="B251" s="1">
        <f>2.43+10+13.9+7</f>
        <v>33.33</v>
      </c>
      <c r="C251" s="1"/>
      <c r="D251" s="2">
        <v>93</v>
      </c>
      <c r="E251" s="3">
        <f t="shared" si="3"/>
        <v>3099.69</v>
      </c>
    </row>
    <row r="252" spans="1:5" x14ac:dyDescent="0.25">
      <c r="A252" s="1" t="s">
        <v>260</v>
      </c>
      <c r="B252" s="1">
        <f>28.5+19.6</f>
        <v>48.1</v>
      </c>
      <c r="C252" s="1"/>
      <c r="D252" s="2">
        <v>40</v>
      </c>
      <c r="E252" s="3">
        <f t="shared" si="3"/>
        <v>1924</v>
      </c>
    </row>
    <row r="253" spans="1:5" x14ac:dyDescent="0.25">
      <c r="A253" s="1" t="s">
        <v>163</v>
      </c>
      <c r="B253" s="1"/>
      <c r="C253" s="1" t="s">
        <v>160</v>
      </c>
      <c r="D253" s="2">
        <v>90</v>
      </c>
      <c r="E253" s="3">
        <f>4*D253</f>
        <v>360</v>
      </c>
    </row>
    <row r="254" spans="1:5" x14ac:dyDescent="0.25">
      <c r="A254" s="1" t="s">
        <v>245</v>
      </c>
      <c r="B254" s="1"/>
      <c r="C254" s="1" t="s">
        <v>154</v>
      </c>
      <c r="D254" s="2">
        <v>60</v>
      </c>
      <c r="E254" s="3">
        <f>6*D254</f>
        <v>360</v>
      </c>
    </row>
    <row r="255" spans="1:5" x14ac:dyDescent="0.25">
      <c r="A255" s="1" t="s">
        <v>278</v>
      </c>
      <c r="B255" s="1">
        <v>2.98</v>
      </c>
      <c r="C255" s="1"/>
      <c r="D255" s="2">
        <v>72</v>
      </c>
      <c r="E255" s="3">
        <f t="shared" si="3"/>
        <v>214.56</v>
      </c>
    </row>
    <row r="256" spans="1:5" x14ac:dyDescent="0.25">
      <c r="A256" s="1" t="s">
        <v>280</v>
      </c>
      <c r="B256" s="1">
        <v>5.9</v>
      </c>
      <c r="C256" s="1"/>
      <c r="D256" s="2">
        <v>48</v>
      </c>
      <c r="E256" s="3">
        <f t="shared" si="3"/>
        <v>283.20000000000005</v>
      </c>
    </row>
    <row r="257" spans="1:5" x14ac:dyDescent="0.25">
      <c r="A257" s="1" t="s">
        <v>150</v>
      </c>
      <c r="B257" s="1"/>
      <c r="C257" s="1" t="s">
        <v>201</v>
      </c>
      <c r="D257" s="2">
        <v>141</v>
      </c>
      <c r="E257" s="3">
        <f>10*D257</f>
        <v>1410</v>
      </c>
    </row>
    <row r="258" spans="1:5" x14ac:dyDescent="0.25">
      <c r="A258" s="1" t="s">
        <v>279</v>
      </c>
      <c r="B258" s="1"/>
      <c r="C258" s="1" t="s">
        <v>154</v>
      </c>
      <c r="D258" s="2">
        <v>60</v>
      </c>
      <c r="E258" s="3">
        <f>6*D258</f>
        <v>360</v>
      </c>
    </row>
    <row r="259" spans="1:5" x14ac:dyDescent="0.25">
      <c r="A259" s="1" t="s">
        <v>281</v>
      </c>
      <c r="B259" s="1">
        <v>10.8</v>
      </c>
      <c r="C259" s="1"/>
      <c r="D259" s="2">
        <v>68</v>
      </c>
      <c r="E259" s="3">
        <f t="shared" si="3"/>
        <v>734.40000000000009</v>
      </c>
    </row>
    <row r="260" spans="1:5" x14ac:dyDescent="0.25">
      <c r="A260" s="1" t="s">
        <v>152</v>
      </c>
      <c r="B260" s="1"/>
      <c r="C260" s="1" t="s">
        <v>160</v>
      </c>
      <c r="D260" s="2">
        <v>131</v>
      </c>
      <c r="E260" s="3">
        <f>4*D260</f>
        <v>524</v>
      </c>
    </row>
    <row r="261" spans="1:5" x14ac:dyDescent="0.25">
      <c r="A261" s="1" t="s">
        <v>49</v>
      </c>
      <c r="B261" s="1">
        <f>26*5+5.74</f>
        <v>135.74</v>
      </c>
      <c r="C261" s="1">
        <v>26</v>
      </c>
      <c r="D261" s="2">
        <v>300</v>
      </c>
      <c r="E261" s="3">
        <f t="shared" ref="E261:E298" si="4">B261*D261</f>
        <v>40722</v>
      </c>
    </row>
    <row r="262" spans="1:5" x14ac:dyDescent="0.25">
      <c r="A262" s="1" t="s">
        <v>179</v>
      </c>
      <c r="B262" s="1"/>
      <c r="C262" s="1" t="s">
        <v>158</v>
      </c>
      <c r="D262" s="2">
        <v>95</v>
      </c>
      <c r="E262" s="3">
        <f>1*D262</f>
        <v>95</v>
      </c>
    </row>
    <row r="263" spans="1:5" x14ac:dyDescent="0.25">
      <c r="A263" s="1" t="s">
        <v>292</v>
      </c>
      <c r="B263" s="1"/>
      <c r="C263" s="1" t="s">
        <v>293</v>
      </c>
      <c r="D263" s="2">
        <v>30</v>
      </c>
      <c r="E263" s="3">
        <f>23*D263</f>
        <v>690</v>
      </c>
    </row>
    <row r="264" spans="1:5" x14ac:dyDescent="0.25">
      <c r="A264" s="1" t="s">
        <v>294</v>
      </c>
      <c r="B264" s="1"/>
      <c r="C264" s="1" t="s">
        <v>295</v>
      </c>
      <c r="D264" s="2">
        <v>23</v>
      </c>
      <c r="E264" s="3">
        <f>53*D264</f>
        <v>1219</v>
      </c>
    </row>
    <row r="265" spans="1:5" x14ac:dyDescent="0.25">
      <c r="A265" s="1" t="s">
        <v>290</v>
      </c>
      <c r="B265" s="1"/>
      <c r="C265" s="1" t="s">
        <v>291</v>
      </c>
      <c r="D265" s="2">
        <v>18</v>
      </c>
      <c r="E265" s="3">
        <f>33*D265</f>
        <v>594</v>
      </c>
    </row>
    <row r="266" spans="1:5" x14ac:dyDescent="0.25">
      <c r="A266" s="1" t="s">
        <v>180</v>
      </c>
      <c r="B266" s="1"/>
      <c r="C266" s="1" t="s">
        <v>158</v>
      </c>
      <c r="D266" s="2">
        <v>42</v>
      </c>
      <c r="E266" s="3">
        <f>1*D266</f>
        <v>42</v>
      </c>
    </row>
    <row r="267" spans="1:5" x14ac:dyDescent="0.25">
      <c r="A267" s="1" t="s">
        <v>181</v>
      </c>
      <c r="B267" s="1"/>
      <c r="C267" s="1" t="s">
        <v>160</v>
      </c>
      <c r="D267" s="2">
        <v>58</v>
      </c>
      <c r="E267" s="3">
        <f>4*D267</f>
        <v>232</v>
      </c>
    </row>
    <row r="268" spans="1:5" x14ac:dyDescent="0.25">
      <c r="A268" s="1" t="s">
        <v>183</v>
      </c>
      <c r="B268" s="1"/>
      <c r="C268" s="1" t="s">
        <v>158</v>
      </c>
      <c r="D268" s="2">
        <v>63</v>
      </c>
      <c r="E268" s="3">
        <f>1*D268</f>
        <v>63</v>
      </c>
    </row>
    <row r="269" spans="1:5" x14ac:dyDescent="0.25">
      <c r="A269" s="1" t="s">
        <v>136</v>
      </c>
      <c r="B269" s="1">
        <f>0.85+3</f>
        <v>3.85</v>
      </c>
      <c r="C269" s="1"/>
      <c r="D269" s="2">
        <v>441.06</v>
      </c>
      <c r="E269" s="3">
        <f t="shared" si="4"/>
        <v>1698.0810000000001</v>
      </c>
    </row>
    <row r="270" spans="1:5" x14ac:dyDescent="0.25">
      <c r="A270" s="1" t="s">
        <v>85</v>
      </c>
      <c r="B270" s="1">
        <f>10+25.5+3.74</f>
        <v>39.24</v>
      </c>
      <c r="C270" s="1">
        <v>1</v>
      </c>
      <c r="D270" s="2">
        <v>100</v>
      </c>
      <c r="E270" s="3">
        <f t="shared" si="4"/>
        <v>3924</v>
      </c>
    </row>
    <row r="271" spans="1:5" x14ac:dyDescent="0.25">
      <c r="A271" s="1" t="s">
        <v>52</v>
      </c>
      <c r="B271" s="1">
        <f>13.8+3.6</f>
        <v>17.400000000000002</v>
      </c>
      <c r="C271" s="1"/>
      <c r="D271" s="2">
        <v>645</v>
      </c>
      <c r="E271" s="3">
        <f t="shared" si="4"/>
        <v>11223.000000000002</v>
      </c>
    </row>
    <row r="272" spans="1:5" x14ac:dyDescent="0.25">
      <c r="A272" s="1" t="s">
        <v>105</v>
      </c>
      <c r="B272" s="1">
        <f>252.2+241.2+92.9+2.08-0.61</f>
        <v>587.77</v>
      </c>
      <c r="C272" s="1"/>
      <c r="D272" s="2">
        <v>204</v>
      </c>
      <c r="E272" s="3">
        <f t="shared" si="4"/>
        <v>119905.08</v>
      </c>
    </row>
    <row r="273" spans="1:5" x14ac:dyDescent="0.25">
      <c r="A273" s="1" t="s">
        <v>23</v>
      </c>
      <c r="B273" s="1">
        <f>299.4+2.17</f>
        <v>301.57</v>
      </c>
      <c r="C273" s="1"/>
      <c r="D273" s="2">
        <v>138</v>
      </c>
      <c r="E273" s="3">
        <f t="shared" si="4"/>
        <v>41616.659999999996</v>
      </c>
    </row>
    <row r="274" spans="1:5" x14ac:dyDescent="0.25">
      <c r="A274" s="1" t="s">
        <v>65</v>
      </c>
      <c r="B274" s="1">
        <f>12*4+15</f>
        <v>63</v>
      </c>
      <c r="C274" s="1">
        <v>4</v>
      </c>
      <c r="D274" s="2">
        <v>110</v>
      </c>
      <c r="E274" s="3">
        <f t="shared" si="4"/>
        <v>6930</v>
      </c>
    </row>
    <row r="275" spans="1:5" x14ac:dyDescent="0.25">
      <c r="A275" s="1" t="s">
        <v>103</v>
      </c>
      <c r="B275" s="1">
        <f>67+6.1+3.88</f>
        <v>76.97999999999999</v>
      </c>
      <c r="C275" s="1"/>
      <c r="D275" s="2">
        <v>50</v>
      </c>
      <c r="E275" s="3">
        <f t="shared" si="4"/>
        <v>3848.9999999999995</v>
      </c>
    </row>
    <row r="276" spans="1:5" x14ac:dyDescent="0.25">
      <c r="A276" s="1" t="s">
        <v>218</v>
      </c>
      <c r="B276" s="1"/>
      <c r="C276" s="1" t="s">
        <v>226</v>
      </c>
      <c r="D276" s="2">
        <v>130.69</v>
      </c>
      <c r="E276" s="3">
        <f>15*D276</f>
        <v>1960.35</v>
      </c>
    </row>
    <row r="277" spans="1:5" x14ac:dyDescent="0.25">
      <c r="A277" s="1" t="s">
        <v>13</v>
      </c>
      <c r="B277" s="1">
        <f>166.2</f>
        <v>166.2</v>
      </c>
      <c r="C277" s="1"/>
      <c r="D277" s="2">
        <v>198</v>
      </c>
      <c r="E277" s="3">
        <f t="shared" si="4"/>
        <v>32907.599999999999</v>
      </c>
    </row>
    <row r="278" spans="1:5" x14ac:dyDescent="0.25">
      <c r="A278" s="1" t="s">
        <v>311</v>
      </c>
      <c r="B278" s="1">
        <v>0.71499999999999997</v>
      </c>
      <c r="C278" s="1"/>
      <c r="D278" s="2">
        <v>675</v>
      </c>
      <c r="E278" s="3">
        <f t="shared" si="4"/>
        <v>482.625</v>
      </c>
    </row>
    <row r="279" spans="1:5" x14ac:dyDescent="0.25">
      <c r="A279" s="1" t="s">
        <v>75</v>
      </c>
      <c r="B279" s="1">
        <f>20*5.6+0.7*3+0.7*4+0.7*8</f>
        <v>122.49999999999999</v>
      </c>
      <c r="C279" s="1">
        <v>20</v>
      </c>
      <c r="D279" s="2">
        <v>198</v>
      </c>
      <c r="E279" s="3">
        <f t="shared" si="4"/>
        <v>24254.999999999996</v>
      </c>
    </row>
    <row r="280" spans="1:5" x14ac:dyDescent="0.25">
      <c r="A280" s="1" t="s">
        <v>51</v>
      </c>
      <c r="B280" s="1">
        <v>6.8</v>
      </c>
      <c r="C280" s="1"/>
      <c r="D280" s="2">
        <v>400</v>
      </c>
      <c r="E280" s="3">
        <f t="shared" si="4"/>
        <v>2720</v>
      </c>
    </row>
    <row r="281" spans="1:5" x14ac:dyDescent="0.25">
      <c r="A281" s="1" t="s">
        <v>35</v>
      </c>
      <c r="B281" s="1">
        <v>49.4</v>
      </c>
      <c r="C281" s="1"/>
      <c r="D281" s="2">
        <v>115</v>
      </c>
      <c r="E281" s="3">
        <f t="shared" si="4"/>
        <v>5681</v>
      </c>
    </row>
    <row r="282" spans="1:5" x14ac:dyDescent="0.25">
      <c r="A282" s="1" t="s">
        <v>36</v>
      </c>
      <c r="B282" s="1">
        <f>114.1+2+1.7+4.75+21.3+3.18</f>
        <v>147.03</v>
      </c>
      <c r="C282" s="1"/>
      <c r="D282" s="2">
        <v>180</v>
      </c>
      <c r="E282" s="3">
        <f t="shared" si="4"/>
        <v>26465.4</v>
      </c>
    </row>
    <row r="283" spans="1:5" x14ac:dyDescent="0.25">
      <c r="A283" s="1" t="s">
        <v>244</v>
      </c>
      <c r="B283" s="1">
        <f>2.81+17.8+20.9+28.8+23.1+0.186</f>
        <v>93.596000000000004</v>
      </c>
      <c r="C283" s="1"/>
      <c r="D283" s="2">
        <v>105</v>
      </c>
      <c r="E283" s="3">
        <f t="shared" si="4"/>
        <v>9827.58</v>
      </c>
    </row>
    <row r="284" spans="1:5" x14ac:dyDescent="0.25">
      <c r="A284" s="1" t="s">
        <v>12</v>
      </c>
      <c r="B284" s="1">
        <f>384.4-17.68+7.3</f>
        <v>374.02</v>
      </c>
      <c r="C284" s="1"/>
      <c r="D284" s="2">
        <v>204</v>
      </c>
      <c r="E284" s="3">
        <f t="shared" si="4"/>
        <v>76300.08</v>
      </c>
    </row>
    <row r="285" spans="1:5" x14ac:dyDescent="0.25">
      <c r="A285" s="1" t="s">
        <v>288</v>
      </c>
      <c r="B285" s="1">
        <v>2.14</v>
      </c>
      <c r="C285" s="1"/>
      <c r="D285" s="2">
        <v>204</v>
      </c>
      <c r="E285" s="3">
        <f t="shared" si="4"/>
        <v>436.56</v>
      </c>
    </row>
    <row r="286" spans="1:5" x14ac:dyDescent="0.25">
      <c r="A286" s="1" t="s">
        <v>302</v>
      </c>
      <c r="B286" s="1"/>
      <c r="C286" s="1" t="s">
        <v>154</v>
      </c>
      <c r="D286" s="2">
        <v>30.4</v>
      </c>
      <c r="E286" s="3">
        <f>6*D286</f>
        <v>182.39999999999998</v>
      </c>
    </row>
    <row r="287" spans="1:5" x14ac:dyDescent="0.25">
      <c r="A287" s="1" t="s">
        <v>318</v>
      </c>
      <c r="B287" s="1"/>
      <c r="C287" s="1" t="s">
        <v>319</v>
      </c>
      <c r="D287" s="2">
        <v>30.4</v>
      </c>
      <c r="E287" s="3">
        <f>9*D287</f>
        <v>273.59999999999997</v>
      </c>
    </row>
    <row r="288" spans="1:5" x14ac:dyDescent="0.25">
      <c r="A288" s="1" t="s">
        <v>300</v>
      </c>
      <c r="B288" s="1"/>
      <c r="C288" s="1" t="s">
        <v>301</v>
      </c>
      <c r="D288" s="2">
        <v>20</v>
      </c>
      <c r="E288" s="3">
        <f>5*D288</f>
        <v>100</v>
      </c>
    </row>
    <row r="289" spans="1:5" x14ac:dyDescent="0.25">
      <c r="A289" s="1" t="s">
        <v>200</v>
      </c>
      <c r="B289" s="1"/>
      <c r="C289" s="1" t="s">
        <v>201</v>
      </c>
      <c r="D289" s="2">
        <v>23</v>
      </c>
      <c r="E289" s="3">
        <f>10*D289</f>
        <v>230</v>
      </c>
    </row>
    <row r="290" spans="1:5" x14ac:dyDescent="0.25">
      <c r="A290" s="1" t="s">
        <v>321</v>
      </c>
      <c r="B290" s="1"/>
      <c r="C290" s="1" t="s">
        <v>322</v>
      </c>
      <c r="D290" s="2">
        <v>23</v>
      </c>
      <c r="E290" s="3">
        <f>46*D290</f>
        <v>1058</v>
      </c>
    </row>
    <row r="291" spans="1:5" x14ac:dyDescent="0.25">
      <c r="A291" s="1" t="s">
        <v>121</v>
      </c>
      <c r="B291" s="1">
        <f>1.8+2+5.1</f>
        <v>8.8999999999999986</v>
      </c>
      <c r="C291" s="1"/>
      <c r="D291" s="2">
        <v>75</v>
      </c>
      <c r="E291" s="3">
        <f t="shared" si="4"/>
        <v>667.49999999999989</v>
      </c>
    </row>
    <row r="292" spans="1:5" x14ac:dyDescent="0.25">
      <c r="A292" s="1" t="s">
        <v>212</v>
      </c>
      <c r="B292" s="1">
        <v>5.3</v>
      </c>
      <c r="C292" s="1"/>
      <c r="D292" s="2">
        <v>75</v>
      </c>
      <c r="E292" s="3">
        <f t="shared" si="4"/>
        <v>397.5</v>
      </c>
    </row>
    <row r="293" spans="1:5" x14ac:dyDescent="0.25">
      <c r="A293" s="1" t="s">
        <v>15</v>
      </c>
      <c r="B293" s="1">
        <f>30.6+0.5</f>
        <v>31.1</v>
      </c>
      <c r="C293" s="1"/>
      <c r="D293" s="2">
        <v>110</v>
      </c>
      <c r="E293" s="3">
        <f t="shared" si="4"/>
        <v>3421</v>
      </c>
    </row>
    <row r="294" spans="1:5" x14ac:dyDescent="0.25">
      <c r="A294" s="1" t="s">
        <v>141</v>
      </c>
      <c r="B294" s="1">
        <f>5.13+0.555+1.185+9.44+1.23</f>
        <v>17.54</v>
      </c>
      <c r="C294" s="1"/>
      <c r="D294" s="2">
        <v>180</v>
      </c>
      <c r="E294" s="3">
        <f t="shared" si="4"/>
        <v>3157.2</v>
      </c>
    </row>
    <row r="295" spans="1:5" x14ac:dyDescent="0.25">
      <c r="A295" s="1" t="s">
        <v>140</v>
      </c>
      <c r="B295" s="1">
        <f>3.55+0.16+1.61+3.69+0.58</f>
        <v>9.59</v>
      </c>
      <c r="C295" s="1"/>
      <c r="D295" s="2">
        <v>180</v>
      </c>
      <c r="E295" s="3">
        <f t="shared" si="4"/>
        <v>1726.2</v>
      </c>
    </row>
    <row r="296" spans="1:5" x14ac:dyDescent="0.25">
      <c r="A296" s="1" t="s">
        <v>142</v>
      </c>
      <c r="B296" s="1">
        <f>2.66+2.01+1.31</f>
        <v>5.98</v>
      </c>
      <c r="C296" s="1"/>
      <c r="D296" s="2">
        <v>180</v>
      </c>
      <c r="E296" s="3">
        <f t="shared" si="4"/>
        <v>1076.4000000000001</v>
      </c>
    </row>
    <row r="297" spans="1:5" x14ac:dyDescent="0.25">
      <c r="A297" s="1" t="s">
        <v>27</v>
      </c>
      <c r="B297" s="1">
        <f>458.2+42.9+35.9+18.8</f>
        <v>555.79999999999995</v>
      </c>
      <c r="C297" s="1"/>
      <c r="D297" s="2">
        <v>70</v>
      </c>
      <c r="E297" s="3">
        <f t="shared" si="4"/>
        <v>38906</v>
      </c>
    </row>
    <row r="298" spans="1:5" x14ac:dyDescent="0.25">
      <c r="A298" s="1" t="s">
        <v>120</v>
      </c>
      <c r="B298" s="1">
        <v>30.1</v>
      </c>
      <c r="C298" s="1"/>
      <c r="D298" s="2">
        <v>198</v>
      </c>
      <c r="E298" s="3">
        <f t="shared" si="4"/>
        <v>5959.8</v>
      </c>
    </row>
    <row r="300" spans="1:5" ht="18.75" x14ac:dyDescent="0.3">
      <c r="A300" s="9" t="s">
        <v>337</v>
      </c>
      <c r="B300" s="9"/>
      <c r="C300" s="9"/>
      <c r="D300" s="9"/>
      <c r="E300" s="10">
        <f>SUM(E4:E298)</f>
        <v>3897967.5335400011</v>
      </c>
    </row>
  </sheetData>
  <sortState ref="A4:C300">
    <sortCondition ref="A4"/>
  </sortState>
  <mergeCells count="3">
    <mergeCell ref="A300:D300"/>
    <mergeCell ref="A1:E1"/>
    <mergeCell ref="A2:E2"/>
  </mergeCells>
  <pageMargins left="0.7" right="0.7" top="0.75" bottom="0.75" header="0.3" footer="0.3"/>
  <pageSetup orientation="portrait" r:id="rId1"/>
  <ignoredErrors>
    <ignoredError sqref="E7 E26 E42 E50 E64 E70 E85 E97 E137 E162 E203 E208 E230 E233 E260 E26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 villalobos Meza</dc:creator>
  <cp:lastModifiedBy>Mariel villalobos Meza</cp:lastModifiedBy>
  <dcterms:created xsi:type="dcterms:W3CDTF">2023-06-03T15:34:35Z</dcterms:created>
  <dcterms:modified xsi:type="dcterms:W3CDTF">2023-06-09T20:52:20Z</dcterms:modified>
</cp:coreProperties>
</file>