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     CAÑA   DE    LOMO      " sheetId="117" r:id="rId32"/>
    <sheet name="SESOS    MARQUETA    " sheetId="191" r:id="rId33"/>
    <sheet name="LOMO DE CAÑA    " sheetId="163" state="hidden" r:id="rId34"/>
    <sheet name="PIERNA    SH      " sheetId="190" state="hidden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state="hidden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57" l="1"/>
  <c r="I46" i="57" s="1"/>
  <c r="I10" i="199" l="1"/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Q34" i="38"/>
  <c r="Q33" i="38"/>
  <c r="Q30" i="38"/>
  <c r="Q29" i="38"/>
  <c r="Q28" i="38"/>
  <c r="E83" i="200" l="1"/>
  <c r="G6" i="200"/>
  <c r="H6" i="200" s="1"/>
  <c r="Q31" i="38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S5" i="191"/>
  <c r="L9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0" i="159"/>
  <c r="P11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79" i="129" l="1"/>
  <c r="O84" i="129" s="1"/>
  <c r="AI83" i="188"/>
  <c r="AK6" i="188"/>
  <c r="AL6" i="188" s="1"/>
  <c r="E40" i="198"/>
  <c r="G6" i="198"/>
  <c r="H6" i="198" s="1"/>
  <c r="P53" i="177"/>
  <c r="Q5" i="177"/>
  <c r="R5" i="177" s="1"/>
  <c r="Y83" i="188"/>
  <c r="AA6" i="188"/>
  <c r="AB6" i="188" s="1"/>
  <c r="Q112" i="65"/>
  <c r="S5" i="65"/>
  <c r="T5" i="65" s="1"/>
  <c r="Z42" i="196"/>
  <c r="N48" i="57"/>
  <c r="M48" i="57"/>
  <c r="O51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Q6" i="129" l="1"/>
  <c r="R6" i="129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47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P4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4" i="187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53" i="57"/>
  <c r="Q6" i="57"/>
  <c r="R6" i="57" s="1"/>
  <c r="O83" i="197"/>
  <c r="Q6" i="197"/>
  <c r="R6" i="197" s="1"/>
  <c r="P42" i="196"/>
  <c r="F78" i="197"/>
  <c r="F42" i="196"/>
  <c r="J9" i="65"/>
  <c r="O47" i="196" l="1"/>
  <c r="Q6" i="196"/>
  <c r="R6" i="196" s="1"/>
  <c r="E83" i="197"/>
  <c r="G6" i="197"/>
  <c r="H6" i="197" s="1"/>
  <c r="E47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F52" i="177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48" i="57" l="1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48" i="57"/>
  <c r="G5" i="193" l="1"/>
  <c r="H5" i="193" s="1"/>
  <c r="E5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<sst xmlns="http://schemas.openxmlformats.org/spreadsheetml/2006/main" count="4114" uniqueCount="689">
  <si>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</si>
  <si>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</si>
  <si>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</si>
  <si>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</si>
  <si>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</si>
  <si>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</si>
  <si>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</si>
  <si>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</si>
  <si>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</si>
  <si>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</si>
  <si>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</si>
  <si>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</si>
  <si>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</si>
  <si>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</si>
  <si>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</si>
  <si>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</si>
  <si>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</si>
  <si>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</si>
  <si>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</si>
  <si>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</si>
  <si>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</si>
  <si>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</si>
  <si>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</si>
  <si>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</si>
  <si>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</si>
  <si>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</si>
  <si>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</si>
  <si>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</si>
  <si>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</si>
  <si>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</si>
  <si>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</si>
  <si>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</si>
  <si>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</si>
  <si>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</si>
  <si>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</si>
  <si>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</si>
  <si>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</si>
  <si>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</si>
  <si>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</si>
  <si>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</si>
  <si>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</si>
  <si>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</si>
  <si>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</si>
  <si>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</si>
  <si>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</si>
  <si>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</si>
  <si>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</si>
  <si>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</si>
  <si>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</si>
  <si>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</si>
  <si>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</si>
  <si>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</si>
  <si>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</si>
  <si>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</si>
  <si>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</si>
  <si>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</si>
  <si>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</si>
  <si>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</si>
  <si>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</si>
  <si>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</si>
  <si>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</si>
  <si>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</si>
  <si>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</si>
  <si>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</si>
  <si>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</si>
  <si>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</si>
  <si>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</si>
  <si>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</si>
  <si>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</si>
  <si>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</si>
  <si>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</si>
  <si>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</si>
  <si>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</si>
  <si>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</si>
  <si>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</si>
  <si>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</si>
  <si>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</si>
  <si>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</si>
  <si>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</si>
  <si>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</si>
  <si>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</si>
  <si>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</si>
  <si>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</si>
  <si>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</si>
  <si>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</si>
  <si>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</si>
  <si>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</si>
  <si>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</si>
  <si>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</si>
  <si>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</si>
  <si>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</si>
  <si>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</si>
  <si>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</si>
  <si>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</si>
  <si>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</si>
  <si>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</si>
  <si>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</si>
  <si>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</si>
  <si>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</si>
  <si>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</si>
  <si>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</si>
  <si>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</si>
  <si>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</si>
  <si>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</si>
  <si>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</si>
  <si>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</si>
  <si>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</si>
  <si>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</si>
  <si>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</si>
  <si>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</si>
  <si>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</si>
  <si>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</si>
  <si>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</si>
  <si>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</si>
  <si>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</si>
  <si>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</si>
  <si>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</si>
  <si>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</si>
  <si>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</si>
  <si>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</si>
  <si>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</si>
  <si>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</si>
  <si>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</si>
  <si>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</si>
  <si>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</si>
  <si>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</si>
  <si>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</si>
  <si>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</si>
  <si>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</si>
  <si>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</si>
  <si>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</si>
  <si>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</si>
  <si>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</si>
  <si>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</si>
  <si>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</si>
  <si>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</si>
  <si>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</si>
  <si>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</si>
  <si>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</si>
  <si>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</si>
  <si>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</si>
  <si>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</si>
  <si>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</si>
  <si>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</si>
  <si>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</si>
  <si>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</si>
  <si>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</si>
  <si>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</si>
  <si>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</si>
  <si>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</si>
  <si>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</si>
  <si>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</si>
  <si>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</si>
  <si>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</si>
  <si>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</si>
  <si>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</si>
  <si>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</si>
  <si>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</si>
  <si>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</si>
  <si>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</si>
  <si>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</si>
  <si>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</si>
  <si>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</si>
  <si>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</si>
  <si>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</si>
  <si>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</si>
  <si>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</si>
  <si>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</si>
  <si>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</si>
  <si>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</si>
  <si>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</si>
  <si>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</si>
  <si>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</si>
  <si>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</si>
  <si>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</si>
  <si>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</si>
  <si>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</si>
  <si>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</si>
  <si>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</si>
  <si>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</si>
  <si>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</si>
  <si>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</si>
  <si>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</si>
  <si>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</si>
  <si>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</si>
  <si>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</si>
  <si>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</si>
  <si>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</si>
  <si>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</si>
  <si>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</si>
  <si>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</si>
  <si>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</si>
  <si>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</si>
  <si>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</si>
  <si>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</si>
  <si>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</si>
  <si>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</si>
  <si>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</si>
  <si>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</si>
  <si>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</si>
  <si>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</si>
  <si>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</si>
  <si>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</si>
  <si>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</si>
  <si>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</si>
  <si>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</si>
  <si>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</si>
  <si>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</si>
  <si>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</si>
  <si>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</si>
  <si>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</si>
  <si>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</si>
  <si>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</si>
  <si>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</si>
  <si>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</si>
  <si>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</si>
  <si>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</si>
  <si>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</si>
  <si>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</si>
  <si>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</si>
  <si>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</si>
  <si>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</si>
  <si>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</si>
  <si>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</si>
  <si>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</si>
  <si>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</si>
  <si>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</si>
  <si>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</si>
  <si>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</si>
  <si>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</si>
  <si>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</si>
  <si>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</si>
  <si>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</si>
  <si>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</si>
  <si>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</si>
  <si>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</si>
  <si>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</si>
  <si>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</si>
  <si>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</si>
  <si>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</si>
  <si>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</si>
  <si>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</si>
  <si>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</si>
  <si>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</si>
  <si>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</si>
  <si>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</si>
  <si>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</si>
  <si>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</si>
  <si>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</si>
  <si>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</si>
  <si>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</si>
  <si>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</si>
  <si>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</si>
  <si>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</si>
  <si>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</si>
  <si>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</si>
  <si>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</si>
  <si>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</si>
  <si>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</si>
  <si>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</si>
  <si>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</si>
  <si>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</si>
  <si>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</si>
  <si>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</si>
  <si>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</si>
  <si>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</si>
  <si>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</si>
  <si>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</si>
  <si>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</si>
  <si>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</si>
  <si>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</si>
  <si>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</si>
  <si>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</si>
  <si>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</si>
  <si>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</si>
  <si>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</si>
  <si>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</si>
  <si>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</si>
  <si>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</si>
  <si>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</si>
  <si>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</si>
  <si>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</si>
  <si>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</si>
  <si>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</si>
  <si>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</si>
  <si>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</si>
  <si>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</si>
  <si>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</si>
  <si>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</si>
  <si>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</si>
  <si>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</si>
  <si>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</si>
  <si>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</si>
  <si>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</si>
  <si>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</si>
  <si>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</si>
  <si>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</si>
  <si>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</si>
  <si>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</si>
  <si>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</si>
  <si>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</si>
  <si>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</si>
  <si>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</si>
  <si>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</si>
  <si>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</si>
  <si>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</si>
  <si>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</si>
  <si>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</si>
  <si>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</si>
  <si>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</si>
  <si>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</si>
  <si>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</si>
  <si>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</si>
  <si>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</si>
  <si>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</si>
  <si>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</si>
  <si>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</si>
  <si>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</si>
  <si>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</si>
  <si>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</si>
  <si>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</si>
  <si>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</si>
  <si>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</si>
  <si>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</si>
  <si>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</si>
  <si>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</si>
  <si>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</si>
  <si>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</si>
  <si>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</si>
  <si>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</si>
  <si>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</si>
  <si>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</si>
  <si>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</si>
  <si>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</si>
  <si>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</si>
  <si>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</si>
  <si>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</si>
  <si>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</si>
  <si>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</si>
  <si>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</si>
  <si>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</si>
  <si>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</si>
  <si>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</si>
  <si>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</si>
  <si>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</si>
  <si>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</si>
  <si>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</si>
  <si>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</si>
  <si>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</si>
  <si>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</si>
  <si>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</si>
  <si>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</si>
  <si>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</si>
  <si>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</si>
  <si>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</si>
  <si>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</si>
  <si>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</si>
  <si>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</si>
  <si>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</si>
  <si>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</si>
  <si>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</si>
  <si>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</si>
  <si>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</si>
  <si>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</si>
  <si>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</si>
  <si>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</si>
  <si>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</si>
  <si>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</si>
  <si>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</si>
  <si>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</si>
  <si>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</si>
  <si>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</si>
  <si>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</si>
  <si>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</si>
  <si>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</si>
  <si>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</si>
  <si>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</si>
  <si>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</si>
  <si>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</si>
  <si>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</si>
  <si>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</si>
  <si>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</si>
  <si>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</si>
  <si>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</si>
  <si>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</si>
  <si>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</si>
  <si>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</si>
  <si>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</si>
  <si>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</si>
  <si>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</si>
  <si>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</si>
  <si>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</si>
  <si>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</si>
  <si>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</si>
  <si>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</si>
  <si>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</si>
  <si>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</si>
  <si>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</si>
  <si>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</si>
  <si>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</si>
  <si>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</si>
  <si>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</si>
  <si>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</si>
  <si>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</si>
  <si>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</si>
  <si>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</si>
  <si>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</si>
  <si>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</si>
  <si>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</si>
  <si>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</si>
  <si>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</si>
  <si>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</si>
  <si>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</si>
  <si>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</si>
  <si>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</si>
  <si>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</si>
  <si>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</si>
  <si>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</si>
  <si>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</si>
  <si>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</si>
  <si>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</si>
  <si>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</si>
  <si>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</si>
  <si>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</si>
  <si>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</si>
  <si>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</si>
  <si>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</si>
  <si>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</si>
  <si>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</si>
  <si>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</si>
  <si>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</si>
  <si>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</si>
  <si>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</si>
  <si>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</si>
  <si>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</si>
  <si>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</si>
  <si>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</si>
  <si>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</si>
  <si>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</si>
  <si>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</si>
  <si>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</si>
  <si>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</si>
  <si>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</si>
  <si>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</si>
  <si>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</si>
  <si>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</si>
  <si>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</si>
  <si>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</si>
  <si>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</si>
  <si>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</si>
  <si>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</si>
  <si>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</si>
  <si>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</si>
  <si>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</si>
  <si>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</si>
  <si>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</si>
  <si>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</si>
  <si>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</si>
  <si>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</si>
  <si>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</si>
  <si>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</si>
  <si>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</si>
  <si>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</si>
  <si>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</si>
  <si>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</si>
  <si>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</si>
  <si>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</si>
  <si>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</si>
  <si>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</si>
  <si>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</si>
  <si>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</si>
  <si>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</si>
  <si>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</si>
  <si>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</si>
  <si>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</si>
  <si>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</si>
  <si>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</si>
  <si>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</si>
  <si>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</si>
  <si>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</si>
  <si>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</si>
  <si>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</si>
  <si>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</si>
  <si>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</si>
  <si>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</si>
  <si>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</si>
  <si>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</si>
  <si>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</si>
  <si>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</si>
  <si>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</si>
  <si>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</si>
  <si>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</si>
  <si>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</si>
  <si>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</si>
  <si>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</si>
  <si>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</si>
  <si>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</si>
  <si>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</si>
  <si>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</si>
  <si>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</si>
  <si>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</si>
  <si>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</si>
  <si>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</si>
  <si>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</si>
  <si>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</si>
  <si>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</si>
  <si>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</si>
  <si>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</si>
  <si>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</si>
  <si>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</si>
  <si>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</si>
  <si>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</si>
  <si>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</si>
  <si>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</si>
  <si>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</si>
  <si>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</si>
  <si>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</si>
  <si>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</si>
  <si>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</si>
  <si>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</si>
  <si>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</si>
  <si>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</si>
  <si>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</si>
  <si>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</si>
  <si>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</si>
  <si>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</si>
  <si>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</si>
  <si>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</si>
  <si>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</si>
  <si>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</si>
  <si>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</si>
  <si>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</si>
  <si>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</si>
  <si>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</si>
  <si>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</si>
  <si>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</si>
  <si>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</si>
  <si>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</si>
  <si>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</si>
  <si>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</si>
  <si>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</si>
  <si>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</si>
  <si>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</si>
  <si>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</si>
  <si>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</si>
  <si>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</si>
  <si>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</si>
  <si>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</si>
  <si>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</si>
  <si>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</si>
  <si>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</si>
  <si>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</si>
  <si>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</si>
  <si>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</si>
  <si>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</si>
  <si>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</si>
  <si>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</si>
  <si>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</si>
  <si>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</si>
  <si>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</si>
  <si>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</si>
  <si>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</si>
  <si>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</si>
  <si>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</si>
  <si>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</si>
  <si>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</si>
  <si>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</si>
  <si>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</si>
  <si>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</si>
  <si>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</si>
  <si>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</si>
  <si>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</si>
  <si>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</si>
  <si>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</si>
  <si>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</si>
  <si>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</si>
  <si>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</si>
  <si>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</si>
  <si>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</si>
  <si>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</si>
  <si>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</si>
  <si>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</si>
  <si>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</si>
  <si>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</si>
  <si>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</si>
  <si>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</si>
  <si>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</si>
  <si>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</si>
  <si>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</si>
  <si>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</si>
  <si>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</si>
  <si>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</si>
  <si>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</si>
  <si>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</si>
  <si>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</si>
  <si>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</si>
  <si>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</si>
  <si>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</si>
  <si>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</si>
  <si>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</si>
  <si>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</si>
  <si>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</si>
  <si>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</si>
  <si>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</si>
  <si>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</si>
  <si>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</si>
  <si>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</si>
  <si>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</si>
  <si>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</si>
  <si>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</si>
  <si>
    <t>DISTRIBUIDORA PEPE</t>
  </si>
  <si>
    <t xml:space="preserve">FILETE </t>
  </si>
  <si>
    <t>PIERNA CON CUERO</t>
  </si>
  <si>
    <t>PERNA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</si>
  <si>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</si>
  <si>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</si>
  <si>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</si>
  <si>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</si>
  <si>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</si>
  <si>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</si>
  <si>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</si>
  <si>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</si>
  <si>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</si>
  <si>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0007 A1</t>
  </si>
  <si>
    <t>0009 A1</t>
  </si>
  <si>
    <t>0010 A1</t>
  </si>
  <si>
    <t>0011 A1</t>
  </si>
  <si>
    <t>0012 A1</t>
  </si>
  <si>
    <t>0013 A1</t>
  </si>
  <si>
    <t>0014 A1</t>
  </si>
  <si>
    <t>0015 A1</t>
  </si>
  <si>
    <t>0016 A1</t>
  </si>
  <si>
    <t>0017 A1</t>
  </si>
  <si>
    <t>0018 A1</t>
  </si>
  <si>
    <t>0019 A1</t>
  </si>
  <si>
    <t>0020 A1</t>
  </si>
  <si>
    <t>0030 A1</t>
  </si>
  <si>
    <t>0021 A1</t>
  </si>
  <si>
    <t>0023 A1</t>
  </si>
  <si>
    <t>0024 A1</t>
  </si>
  <si>
    <t>0025 A1</t>
  </si>
  <si>
    <t>PULPA Blanca S/Cuete  ANGUS</t>
  </si>
  <si>
    <t>0026 A1</t>
  </si>
  <si>
    <t>0027 A1</t>
  </si>
  <si>
    <t>0028 A1</t>
  </si>
  <si>
    <t>0029 A1</t>
  </si>
  <si>
    <t>0031 A1</t>
  </si>
  <si>
    <t>0032 A1</t>
  </si>
  <si>
    <t>0033 A1</t>
  </si>
  <si>
    <t>0034 A1</t>
  </si>
  <si>
    <t>0035 A1</t>
  </si>
  <si>
    <t>0038 A1</t>
  </si>
  <si>
    <t>0039 A1</t>
  </si>
  <si>
    <t>0036 A1</t>
  </si>
  <si>
    <t>0040 A1</t>
  </si>
  <si>
    <t>0041 A1</t>
  </si>
  <si>
    <t>0042 A1</t>
  </si>
  <si>
    <t>0043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</si>
  <si>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</si>
  <si>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</si>
  <si>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</si>
  <si>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</si>
  <si>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</si>
  <si>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</si>
  <si>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</si>
  <si>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</si>
  <si>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0052 A1</t>
  </si>
  <si>
    <t>0053 A1</t>
  </si>
  <si>
    <t>0054 A1</t>
  </si>
  <si>
    <t>0055 A1</t>
  </si>
  <si>
    <t>0056 A1</t>
  </si>
  <si>
    <t>0057 A1</t>
  </si>
  <si>
    <t>0058 A1</t>
  </si>
  <si>
    <t>0059 A1</t>
  </si>
  <si>
    <t>0060 A1</t>
  </si>
  <si>
    <t>0061 A1</t>
  </si>
  <si>
    <t>0063 A1</t>
  </si>
  <si>
    <t>0064 A1</t>
  </si>
  <si>
    <t>0065 A1</t>
  </si>
  <si>
    <t>0066 A1</t>
  </si>
  <si>
    <t>0068 A1</t>
  </si>
  <si>
    <t>0069 A1</t>
  </si>
  <si>
    <t>0070 A1</t>
  </si>
  <si>
    <t>0071 A1</t>
  </si>
  <si>
    <t>0862 Z</t>
  </si>
  <si>
    <t>SESOS DE COPA</t>
  </si>
  <si>
    <t>HC-10439</t>
  </si>
  <si>
    <t>Transfer S 7-Jun-22</t>
  </si>
  <si>
    <t>Transfer S 9-Jun-22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</si>
</sst>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0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1" fontId="7" fillId="0" borderId="78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" borderId="33" xfId="0" applyFont="1" applyFill="1" applyBorder="1" applyAlignment="1">
      <alignment vertical="center"/>
    </xf>
    <xf numFmtId="164" fontId="10" fillId="4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99FF"/>
      <color rgb="FF99FFCC"/>
      <color rgb="FFCCCCFF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823936.29729999998</c:v>
                </c:pt>
                <c:pt idx="26">
                  <c:v>835180.71550000005</c:v>
                </c:pt>
                <c:pt idx="27">
                  <c:v>795405.47551999998</c:v>
                </c:pt>
                <c:pt idx="28">
                  <c:v>815398.34620999999</c:v>
                </c:pt>
                <c:pt idx="29">
                  <c:v>857706.65574999992</c:v>
                </c:pt>
                <c:pt idx="30">
                  <c:v>870460.89009999996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43.838291094924685</c:v>
                </c:pt>
                <c:pt idx="26">
                  <c:v>43.90586480816134</c:v>
                </c:pt>
                <c:pt idx="27">
                  <c:v>42.362043883363093</c:v>
                </c:pt>
                <c:pt idx="28">
                  <c:v>43.277562989117683</c:v>
                </c:pt>
                <c:pt idx="29">
                  <c:v>45.367298008718784</c:v>
                </c:pt>
                <c:pt idx="30">
                  <c:v>46.59724049314395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I118" activePane="bottomRight" state="frozen"/>
      <selection pane="topRight" activeCell="B1" sqref="B1"/>
      <selection pane="bottomLeft" activeCell="A3" sqref="A3"/>
      <selection pane="bottomRight" activeCell="T126" sqref="T12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82" t="s">
        <v>26</v>
      </c>
      <c r="L1" s="603"/>
      <c r="M1" s="1184" t="s">
        <v>27</v>
      </c>
      <c r="N1" s="439"/>
      <c r="P1" s="97" t="s">
        <v>38</v>
      </c>
      <c r="Q1" s="1180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83"/>
      <c r="L2" s="604" t="s">
        <v>29</v>
      </c>
      <c r="M2" s="1185"/>
      <c r="N2" s="440" t="s">
        <v>29</v>
      </c>
      <c r="O2" s="555" t="s">
        <v>30</v>
      </c>
      <c r="P2" s="98" t="s">
        <v>39</v>
      </c>
      <c r="Q2" s="118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/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/>
      <c r="Q5" s="915">
        <f>42356.04*20.21</f>
        <v>856015.56840000011</v>
      </c>
      <c r="R5" s="1024" t="s">
        <v>290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/>
      <c r="Q6" s="852">
        <f>41894.55*20.314</f>
        <v>851045.88870000001</v>
      </c>
      <c r="R6" s="590" t="s">
        <v>296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/>
      <c r="Q7" s="547">
        <f>41446.41*20.13</f>
        <v>834316.23330000008</v>
      </c>
      <c r="R7" s="527" t="s">
        <v>304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/>
      <c r="Q8" s="547">
        <f>42613.57*20.37</f>
        <v>868038.42090000003</v>
      </c>
      <c r="R8" s="551" t="s">
        <v>301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/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/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/>
      <c r="Q11" s="915">
        <f>41941.68*20.35</f>
        <v>853513.18800000008</v>
      </c>
      <c r="R11" s="916" t="s">
        <v>293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/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/>
      <c r="Q13" s="547">
        <f>42338.06*20.37</f>
        <v>862426.28220000002</v>
      </c>
      <c r="R13" s="545" t="s">
        <v>294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/>
      <c r="Q14" s="547">
        <f>42724.9*20.37</f>
        <v>870306.21300000011</v>
      </c>
      <c r="R14" s="1025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/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/>
      <c r="Q16" s="851">
        <f>41175.48*20.28</f>
        <v>835038.73440000007</v>
      </c>
      <c r="R16" s="545" t="s">
        <v>299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/>
      <c r="Q17" s="851">
        <f>40322.38*20.12</f>
        <v>811286.28559999994</v>
      </c>
      <c r="R17" s="1025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/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19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8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/>
      <c r="Q20" s="851">
        <f>43898.4*20.224</f>
        <v>887801.24160000007</v>
      </c>
      <c r="R20" s="551" t="s">
        <v>321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/>
      <c r="Q21" s="851">
        <f>41757.34*20.13</f>
        <v>840575.25419999985</v>
      </c>
      <c r="R21" s="551" t="s">
        <v>304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/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578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582</v>
      </c>
      <c r="K29" s="547">
        <v>11151</v>
      </c>
      <c r="L29" s="542" t="s">
        <v>603</v>
      </c>
      <c r="M29" s="541">
        <v>33640</v>
      </c>
      <c r="N29" s="551" t="s">
        <v>604</v>
      </c>
      <c r="O29" s="558">
        <v>2042656</v>
      </c>
      <c r="P29" s="544"/>
      <c r="Q29" s="851">
        <f>38821.39*20.07</f>
        <v>779145.29729999998</v>
      </c>
      <c r="R29" s="527" t="s">
        <v>602</v>
      </c>
      <c r="S29" s="65">
        <f t="shared" si="0"/>
        <v>823936.29729999998</v>
      </c>
      <c r="T29" s="65">
        <f>S29/H29</f>
        <v>43.838291094924685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583</v>
      </c>
      <c r="K30" s="541">
        <v>11151</v>
      </c>
      <c r="L30" s="542" t="s">
        <v>603</v>
      </c>
      <c r="M30" s="541">
        <v>33640</v>
      </c>
      <c r="N30" s="551" t="s">
        <v>604</v>
      </c>
      <c r="O30" s="558">
        <v>2042657</v>
      </c>
      <c r="P30" s="544"/>
      <c r="Q30" s="851">
        <f>39381.65*20.07</f>
        <v>790389.71550000005</v>
      </c>
      <c r="R30" s="527" t="s">
        <v>602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584</v>
      </c>
      <c r="K31" s="541">
        <v>11151</v>
      </c>
      <c r="L31" s="542" t="s">
        <v>603</v>
      </c>
      <c r="M31" s="541">
        <v>33640</v>
      </c>
      <c r="N31" s="551" t="s">
        <v>604</v>
      </c>
      <c r="O31" s="558">
        <v>934165</v>
      </c>
      <c r="P31" s="544"/>
      <c r="Q31" s="851">
        <f>37787.68*19.864</f>
        <v>750614.47551999998</v>
      </c>
      <c r="R31" s="527" t="s">
        <v>600</v>
      </c>
      <c r="S31" s="65">
        <f t="shared" si="0"/>
        <v>795405.47551999998</v>
      </c>
      <c r="T31" s="65">
        <f t="shared" si="4"/>
        <v>42.362043883363093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585</v>
      </c>
      <c r="K32" s="541">
        <v>9851</v>
      </c>
      <c r="L32" s="542" t="s">
        <v>604</v>
      </c>
      <c r="M32" s="541">
        <v>33640</v>
      </c>
      <c r="N32" s="551" t="s">
        <v>606</v>
      </c>
      <c r="O32" s="558">
        <v>936161</v>
      </c>
      <c r="P32" s="544"/>
      <c r="Q32" s="851">
        <f>39006.89*19.789</f>
        <v>771907.34620999999</v>
      </c>
      <c r="R32" s="527" t="s">
        <v>597</v>
      </c>
      <c r="S32" s="65">
        <f>Q32+M32+K32+P32</f>
        <v>815398.34620999999</v>
      </c>
      <c r="T32" s="65">
        <f t="shared" si="4"/>
        <v>43.277562989117683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586</v>
      </c>
      <c r="K33" s="547">
        <v>12151</v>
      </c>
      <c r="L33" s="542" t="s">
        <v>606</v>
      </c>
      <c r="M33" s="541">
        <v>33640</v>
      </c>
      <c r="N33" s="551" t="s">
        <v>608</v>
      </c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857706.65574999992</v>
      </c>
      <c r="T33" s="65">
        <f t="shared" si="4"/>
        <v>45.367298008718784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592</v>
      </c>
      <c r="K34" s="541">
        <v>11151</v>
      </c>
      <c r="L34" s="542" t="s">
        <v>607</v>
      </c>
      <c r="M34" s="541">
        <v>33640</v>
      </c>
      <c r="N34" s="551" t="s">
        <v>609</v>
      </c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870460.89009999996</v>
      </c>
      <c r="T34" s="65">
        <f t="shared" si="4"/>
        <v>46.59724049314395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593</v>
      </c>
      <c r="K35" s="541">
        <v>1151</v>
      </c>
      <c r="L35" s="542" t="s">
        <v>607</v>
      </c>
      <c r="M35" s="541">
        <v>33640</v>
      </c>
      <c r="N35" s="551" t="s">
        <v>609</v>
      </c>
      <c r="O35" s="948">
        <v>939702</v>
      </c>
      <c r="P35" s="588"/>
      <c r="Q35" s="547">
        <f>40530.62*19.62</f>
        <v>795210.7644000001</v>
      </c>
      <c r="R35" s="527" t="s">
        <v>597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131" t="s">
        <v>584</v>
      </c>
      <c r="K38" s="541">
        <v>104440</v>
      </c>
      <c r="L38" s="1132" t="s">
        <v>604</v>
      </c>
      <c r="M38" s="541"/>
      <c r="N38" s="551"/>
      <c r="O38" s="546"/>
      <c r="P38" s="544"/>
      <c r="Q38" s="851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132" t="s">
        <v>605</v>
      </c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8"/>
      <c r="O98" s="1122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4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72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74" t="s">
        <v>264</v>
      </c>
      <c r="P100" s="963"/>
      <c r="Q100" s="854">
        <v>87547.71</v>
      </c>
      <c r="R100" s="1177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73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75"/>
      <c r="P101" s="963"/>
      <c r="Q101" s="854">
        <v>7960.38</v>
      </c>
      <c r="R101" s="1178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73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76"/>
      <c r="P102" s="976"/>
      <c r="Q102" s="854">
        <v>17112.599999999999</v>
      </c>
      <c r="R102" s="1179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86" t="s">
        <v>278</v>
      </c>
      <c r="C103" s="1017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88" t="s">
        <v>280</v>
      </c>
      <c r="P103" s="976"/>
      <c r="Q103" s="854">
        <v>59197.06</v>
      </c>
      <c r="R103" s="1177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87"/>
      <c r="C104" s="1018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67"/>
      <c r="P104" s="976"/>
      <c r="Q104" s="854">
        <v>8500</v>
      </c>
      <c r="R104" s="1179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0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3">
        <v>17966</v>
      </c>
      <c r="P105" s="539"/>
      <c r="Q105" s="854">
        <v>38589.599999999999</v>
      </c>
      <c r="R105" s="1029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28.5" customHeight="1" thickTop="1" x14ac:dyDescent="0.25">
      <c r="A106" s="100">
        <v>67</v>
      </c>
      <c r="B106" s="1168" t="s">
        <v>122</v>
      </c>
      <c r="C106" s="1018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70"/>
      <c r="P106" s="963"/>
      <c r="Q106" s="854"/>
      <c r="R106" s="1008"/>
      <c r="S106" s="65">
        <f t="shared" si="15"/>
        <v>0</v>
      </c>
      <c r="T106" s="181">
        <f t="shared" si="19"/>
        <v>0</v>
      </c>
    </row>
    <row r="107" spans="1:20" s="157" customFormat="1" ht="28.5" customHeight="1" thickBot="1" x14ac:dyDescent="0.3">
      <c r="A107" s="100">
        <v>68</v>
      </c>
      <c r="B107" s="1169"/>
      <c r="C107" s="1018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71"/>
      <c r="P107" s="1022"/>
      <c r="Q107" s="850"/>
      <c r="R107" s="1008"/>
      <c r="S107" s="65">
        <f t="shared" si="15"/>
        <v>0</v>
      </c>
      <c r="T107" s="181">
        <f t="shared" si="19"/>
        <v>0</v>
      </c>
    </row>
    <row r="108" spans="1:20" s="157" customFormat="1" ht="31.5" customHeight="1" x14ac:dyDescent="0.25">
      <c r="A108" s="100">
        <v>69</v>
      </c>
      <c r="B108" s="1021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30" t="s">
        <v>601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7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099" t="s">
        <v>334</v>
      </c>
      <c r="P109" s="870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5.5" customHeight="1" x14ac:dyDescent="0.25">
      <c r="A110" s="100">
        <v>71</v>
      </c>
      <c r="B110" s="1199" t="s">
        <v>281</v>
      </c>
      <c r="C110" s="1018" t="s">
        <v>255</v>
      </c>
      <c r="D110" s="513"/>
      <c r="E110" s="1153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56">
        <v>17992</v>
      </c>
      <c r="P110" s="1022"/>
      <c r="Q110" s="850">
        <v>107745.12</v>
      </c>
      <c r="R110" s="1189" t="s">
        <v>598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200"/>
      <c r="C111" s="1018" t="s">
        <v>86</v>
      </c>
      <c r="D111" s="513"/>
      <c r="E111" s="1155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58"/>
      <c r="P111" s="1022"/>
      <c r="Q111" s="850">
        <v>41920.839999999997</v>
      </c>
      <c r="R111" s="1191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1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3" t="s">
        <v>561</v>
      </c>
      <c r="P112" s="685"/>
      <c r="Q112" s="850">
        <v>146614.66</v>
      </c>
      <c r="R112" s="1127" t="s">
        <v>595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201" t="s">
        <v>281</v>
      </c>
      <c r="C113" s="1018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203">
        <v>18015</v>
      </c>
      <c r="P113" s="1022"/>
      <c r="Q113" s="850">
        <v>54332.639999999999</v>
      </c>
      <c r="R113" s="1189" t="s">
        <v>598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202"/>
      <c r="C114" s="1018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204"/>
      <c r="P114" s="1102"/>
      <c r="Q114" s="850">
        <v>25046.84</v>
      </c>
      <c r="R114" s="1191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4" t="s">
        <v>281</v>
      </c>
      <c r="C115" s="513" t="s">
        <v>255</v>
      </c>
      <c r="D115" s="513"/>
      <c r="E115" s="1107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29">
        <v>18026</v>
      </c>
      <c r="P115" s="1022"/>
      <c r="Q115" s="850">
        <v>107370.9</v>
      </c>
      <c r="R115" s="1127" t="s">
        <v>599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86" t="s">
        <v>260</v>
      </c>
      <c r="C116" s="1018" t="s">
        <v>261</v>
      </c>
      <c r="D116" s="1105"/>
      <c r="E116" s="1193">
        <v>44702</v>
      </c>
      <c r="F116" s="1106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196" t="s">
        <v>563</v>
      </c>
      <c r="P116" s="1102"/>
      <c r="Q116" s="850">
        <v>52842.91</v>
      </c>
      <c r="R116" s="1189" t="s">
        <v>596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192"/>
      <c r="C117" s="1018" t="s">
        <v>562</v>
      </c>
      <c r="D117" s="1105"/>
      <c r="E117" s="1194"/>
      <c r="F117" s="1106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197"/>
      <c r="P117" s="1022"/>
      <c r="Q117" s="850">
        <v>5516.64</v>
      </c>
      <c r="R117" s="1190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87"/>
      <c r="C118" s="1018" t="s">
        <v>263</v>
      </c>
      <c r="D118" s="1105"/>
      <c r="E118" s="1195"/>
      <c r="F118" s="1106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198"/>
      <c r="P118" s="1022"/>
      <c r="Q118" s="850">
        <v>19344.38</v>
      </c>
      <c r="R118" s="1191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1" t="s">
        <v>278</v>
      </c>
      <c r="C119" s="513" t="s">
        <v>43</v>
      </c>
      <c r="D119" s="513"/>
      <c r="E119" s="1108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100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579</v>
      </c>
      <c r="C120" s="1116" t="s">
        <v>580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7">
        <v>3055816</v>
      </c>
      <c r="P120" s="685"/>
      <c r="Q120" s="1119">
        <v>45888.76</v>
      </c>
      <c r="R120" s="1118" t="s">
        <v>581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587</v>
      </c>
      <c r="C121" s="513" t="s">
        <v>588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46" t="s">
        <v>686</v>
      </c>
      <c r="P121" s="1149" t="s">
        <v>342</v>
      </c>
      <c r="Q121" s="1147">
        <v>950600.45</v>
      </c>
      <c r="R121" s="1148" t="s">
        <v>687</v>
      </c>
      <c r="S121" s="65">
        <f t="shared" ref="S121:S126" si="25">Q121+M121+K121</f>
        <v>950600.45</v>
      </c>
      <c r="T121" s="65">
        <f t="shared" ref="T121:T126" si="26">S121/H121</f>
        <v>59.004658423646539</v>
      </c>
    </row>
    <row r="122" spans="1:20" s="157" customFormat="1" ht="18.75" customHeight="1" x14ac:dyDescent="0.25">
      <c r="A122" s="100">
        <v>82</v>
      </c>
      <c r="B122" s="1150" t="s">
        <v>281</v>
      </c>
      <c r="C122" s="513" t="s">
        <v>85</v>
      </c>
      <c r="D122" s="513"/>
      <c r="E122" s="1153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56"/>
      <c r="P122" s="963"/>
      <c r="Q122" s="854"/>
      <c r="R122" s="685"/>
      <c r="S122" s="65">
        <f t="shared" si="25"/>
        <v>0</v>
      </c>
      <c r="T122" s="65">
        <f t="shared" si="26"/>
        <v>0</v>
      </c>
    </row>
    <row r="123" spans="1:20" s="157" customFormat="1" ht="18.75" customHeight="1" x14ac:dyDescent="0.25">
      <c r="A123" s="100">
        <v>83</v>
      </c>
      <c r="B123" s="1151"/>
      <c r="C123" s="513" t="s">
        <v>112</v>
      </c>
      <c r="D123" s="513"/>
      <c r="E123" s="1154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157"/>
      <c r="P123" s="963"/>
      <c r="Q123" s="854"/>
      <c r="R123" s="1008"/>
      <c r="S123" s="65">
        <f t="shared" si="25"/>
        <v>0</v>
      </c>
      <c r="T123" s="65">
        <f t="shared" si="26"/>
        <v>0</v>
      </c>
    </row>
    <row r="124" spans="1:20" s="157" customFormat="1" ht="18.75" customHeight="1" x14ac:dyDescent="0.25">
      <c r="A124" s="100">
        <v>84</v>
      </c>
      <c r="B124" s="1151"/>
      <c r="C124" s="513" t="s">
        <v>75</v>
      </c>
      <c r="D124" s="513"/>
      <c r="E124" s="1154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157"/>
      <c r="P124" s="1120"/>
      <c r="Q124" s="854"/>
      <c r="R124" s="1008"/>
      <c r="S124" s="65">
        <f t="shared" si="25"/>
        <v>0</v>
      </c>
      <c r="T124" s="65">
        <f t="shared" si="26"/>
        <v>0</v>
      </c>
    </row>
    <row r="125" spans="1:20" s="157" customFormat="1" ht="18.75" customHeight="1" thickBot="1" x14ac:dyDescent="0.3">
      <c r="A125" s="100">
        <v>85</v>
      </c>
      <c r="B125" s="1152"/>
      <c r="C125" s="513" t="s">
        <v>589</v>
      </c>
      <c r="D125" s="513"/>
      <c r="E125" s="1155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58"/>
      <c r="P125" s="1121"/>
      <c r="Q125" s="854"/>
      <c r="R125" s="1008"/>
      <c r="S125" s="65">
        <f t="shared" si="25"/>
        <v>0</v>
      </c>
      <c r="T125" s="65">
        <f t="shared" si="26"/>
        <v>0</v>
      </c>
    </row>
    <row r="126" spans="1:20" s="157" customFormat="1" ht="29.25" customHeight="1" thickBot="1" x14ac:dyDescent="0.3">
      <c r="A126" s="100">
        <v>86</v>
      </c>
      <c r="B126" s="1123" t="s">
        <v>590</v>
      </c>
      <c r="C126" s="1298" t="s">
        <v>591</v>
      </c>
      <c r="D126" s="513"/>
      <c r="E126" s="1124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6"/>
      <c r="P126" s="1299" t="s">
        <v>342</v>
      </c>
      <c r="Q126" s="1300">
        <v>137700</v>
      </c>
      <c r="R126" s="1301" t="s">
        <v>688</v>
      </c>
      <c r="S126" s="65">
        <f t="shared" si="25"/>
        <v>137700</v>
      </c>
      <c r="T126" s="65">
        <f t="shared" si="26"/>
        <v>270</v>
      </c>
    </row>
    <row r="127" spans="1:20" s="157" customFormat="1" ht="18.75" customHeight="1" x14ac:dyDescent="0.25">
      <c r="A127" s="100">
        <v>87</v>
      </c>
      <c r="B127" s="1159" t="s">
        <v>260</v>
      </c>
      <c r="C127" s="1018" t="s">
        <v>261</v>
      </c>
      <c r="D127" s="1105"/>
      <c r="E127" s="1162">
        <v>44709</v>
      </c>
      <c r="F127" s="1106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165" t="s">
        <v>594</v>
      </c>
      <c r="P127" s="963"/>
      <c r="Q127" s="854"/>
      <c r="R127" s="1008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88</v>
      </c>
      <c r="B128" s="1160"/>
      <c r="C128" s="1018" t="s">
        <v>65</v>
      </c>
      <c r="D128" s="1105"/>
      <c r="E128" s="1163"/>
      <c r="F128" s="1106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166"/>
      <c r="P128" s="963"/>
      <c r="Q128" s="854"/>
      <c r="R128" s="1008"/>
      <c r="S128" s="65">
        <f t="shared" si="15"/>
        <v>0</v>
      </c>
      <c r="T128" s="65">
        <f t="shared" si="24"/>
        <v>0</v>
      </c>
    </row>
    <row r="129" spans="1:20" s="157" customFormat="1" ht="18.75" customHeight="1" x14ac:dyDescent="0.25">
      <c r="A129" s="100">
        <v>89</v>
      </c>
      <c r="B129" s="1160"/>
      <c r="C129" s="1018" t="s">
        <v>562</v>
      </c>
      <c r="D129" s="1105"/>
      <c r="E129" s="1163"/>
      <c r="F129" s="1106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166"/>
      <c r="P129" s="963"/>
      <c r="Q129" s="854"/>
      <c r="R129" s="1008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90</v>
      </c>
      <c r="B130" s="1160"/>
      <c r="C130" s="1018" t="s">
        <v>91</v>
      </c>
      <c r="D130" s="1105"/>
      <c r="E130" s="1163"/>
      <c r="F130" s="1106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166"/>
      <c r="P130" s="963"/>
      <c r="Q130" s="854"/>
      <c r="R130" s="1010"/>
      <c r="S130" s="65">
        <f t="shared" si="15"/>
        <v>0</v>
      </c>
      <c r="T130" s="65">
        <f t="shared" si="24"/>
        <v>0</v>
      </c>
    </row>
    <row r="131" spans="1:20" s="157" customFormat="1" ht="19.5" customHeight="1" thickBot="1" x14ac:dyDescent="0.3">
      <c r="A131" s="100">
        <v>91</v>
      </c>
      <c r="B131" s="1161"/>
      <c r="C131" s="1018" t="s">
        <v>75</v>
      </c>
      <c r="D131" s="1105"/>
      <c r="E131" s="1164"/>
      <c r="F131" s="1106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67"/>
      <c r="P131" s="1120"/>
      <c r="Q131" s="854"/>
      <c r="R131" s="1010"/>
      <c r="S131" s="65">
        <f t="shared" si="15"/>
        <v>0</v>
      </c>
      <c r="T131" s="65">
        <f>S131/H131</f>
        <v>0</v>
      </c>
    </row>
    <row r="132" spans="1:20" s="157" customFormat="1" ht="19.5" customHeight="1" x14ac:dyDescent="0.25">
      <c r="A132" s="100">
        <v>92</v>
      </c>
      <c r="B132" s="1021" t="s">
        <v>590</v>
      </c>
      <c r="C132" s="513" t="s">
        <v>613</v>
      </c>
      <c r="D132" s="513"/>
      <c r="E132" s="1125">
        <v>44710</v>
      </c>
      <c r="F132" s="972">
        <v>1499.1</v>
      </c>
      <c r="G132" s="513">
        <v>104</v>
      </c>
      <c r="H132" s="972">
        <v>1499.1</v>
      </c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>
        <f t="shared" ref="T132" si="27">S132/H132</f>
        <v>0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94</v>
      </c>
      <c r="B134" s="513"/>
      <c r="C134" s="513"/>
      <c r="D134" s="513"/>
      <c r="E134" s="983"/>
      <c r="F134" s="972"/>
      <c r="G134" s="513"/>
      <c r="H134" s="972"/>
      <c r="I134" s="275">
        <f t="shared" si="23"/>
        <v>0</v>
      </c>
      <c r="J134" s="502"/>
      <c r="K134" s="539"/>
      <c r="L134" s="565"/>
      <c r="M134" s="754"/>
      <c r="N134" s="771"/>
      <c r="O134" s="1011"/>
      <c r="P134" s="540"/>
      <c r="Q134" s="854"/>
      <c r="R134" s="100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95</v>
      </c>
      <c r="B135" s="513"/>
      <c r="C135" s="513"/>
      <c r="D135" s="513"/>
      <c r="E135" s="983"/>
      <c r="F135" s="972"/>
      <c r="G135" s="513"/>
      <c r="H135" s="972"/>
      <c r="I135" s="275">
        <f t="shared" si="23"/>
        <v>0</v>
      </c>
      <c r="J135" s="502"/>
      <c r="K135" s="539"/>
      <c r="L135" s="565"/>
      <c r="M135" s="539"/>
      <c r="N135" s="701"/>
      <c r="O135" s="1011"/>
      <c r="P135" s="540"/>
      <c r="Q135" s="854"/>
      <c r="R135" s="100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3592</v>
      </c>
      <c r="H188" s="509">
        <f>SUM(H3:H187)</f>
        <v>679631.2799999998</v>
      </c>
      <c r="I188" s="694">
        <f>PIERNA!I37</f>
        <v>0</v>
      </c>
      <c r="J188" s="46"/>
      <c r="K188" s="170">
        <f>SUM(K5:K187)</f>
        <v>431290</v>
      </c>
      <c r="L188" s="608"/>
      <c r="M188" s="170">
        <f>SUM(M5:M187)</f>
        <v>1009200</v>
      </c>
      <c r="N188" s="444"/>
      <c r="O188" s="564"/>
      <c r="P188" s="117"/>
      <c r="Q188" s="863">
        <f>SUM(Q5:Q187)</f>
        <v>27374763.065820001</v>
      </c>
      <c r="R188" s="152"/>
      <c r="S188" s="178">
        <f>Q188+M188+K188</f>
        <v>28815253.065820001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98:O105">
    <sortCondition ref="E98:E105"/>
  </sortState>
  <mergeCells count="28"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  <mergeCell ref="Q1:Q2"/>
    <mergeCell ref="K1:K2"/>
    <mergeCell ref="M1:M2"/>
    <mergeCell ref="R103:R104"/>
    <mergeCell ref="B103:B104"/>
    <mergeCell ref="O103:O104"/>
    <mergeCell ref="B106:B107"/>
    <mergeCell ref="O106:O107"/>
    <mergeCell ref="B100:B102"/>
    <mergeCell ref="O100:O102"/>
    <mergeCell ref="R100:R102"/>
    <mergeCell ref="B122:B125"/>
    <mergeCell ref="E122:E125"/>
    <mergeCell ref="O122:O125"/>
    <mergeCell ref="B127:B131"/>
    <mergeCell ref="E127:E131"/>
    <mergeCell ref="O127:O13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</cols>
  <sheetData>
    <row r="1" spans="1:9" ht="40.5" x14ac:dyDescent="0.55000000000000004">
      <c r="A1" s="1216" t="s">
        <v>556</v>
      </c>
      <c r="B1" s="1216"/>
      <c r="C1" s="1216"/>
      <c r="D1" s="1216"/>
      <c r="E1" s="1216"/>
      <c r="F1" s="1216"/>
      <c r="G1" s="1216"/>
      <c r="H1" s="11">
        <v>2</v>
      </c>
      <c r="I1" s="105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</row>
    <row r="5" spans="1:9" x14ac:dyDescent="0.25">
      <c r="A5" s="1214" t="s">
        <v>567</v>
      </c>
      <c r="B5" s="1227" t="s">
        <v>641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214"/>
      <c r="B6" s="1227"/>
      <c r="C6" s="700"/>
      <c r="D6" s="261"/>
      <c r="E6" s="259"/>
      <c r="F6" s="253"/>
      <c r="G6" s="262">
        <f>F35</f>
        <v>304.04000000000002</v>
      </c>
      <c r="H6" s="7">
        <f>E6-G6+E7+E5-G5+E4+E8</f>
        <v>0</v>
      </c>
      <c r="I6" s="1058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</row>
    <row r="10" spans="1:9" ht="15.75" thickTop="1" x14ac:dyDescent="0.25">
      <c r="A10" s="80" t="s">
        <v>32</v>
      </c>
      <c r="B10" s="284">
        <f>F4+F5+F6+F7-C10+F8</f>
        <v>0</v>
      </c>
      <c r="C10" s="15">
        <v>10</v>
      </c>
      <c r="D10" s="264">
        <v>304.04000000000002</v>
      </c>
      <c r="E10" s="293">
        <v>44706</v>
      </c>
      <c r="F10" s="264">
        <f t="shared" ref="F10:F26" si="0">D10</f>
        <v>304.04000000000002</v>
      </c>
      <c r="G10" s="265" t="s">
        <v>640</v>
      </c>
      <c r="H10" s="266">
        <v>152</v>
      </c>
      <c r="I10" s="301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293"/>
      <c r="F11" s="1076">
        <f t="shared" si="0"/>
        <v>0</v>
      </c>
      <c r="G11" s="1077"/>
      <c r="H11" s="1078"/>
      <c r="I11" s="1063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293"/>
      <c r="F12" s="1076">
        <f t="shared" si="0"/>
        <v>0</v>
      </c>
      <c r="G12" s="1077"/>
      <c r="H12" s="1078"/>
      <c r="I12" s="1063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293"/>
      <c r="F13" s="1076">
        <f t="shared" si="0"/>
        <v>0</v>
      </c>
      <c r="G13" s="1077"/>
      <c r="H13" s="1078"/>
      <c r="I13" s="1063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293"/>
      <c r="F14" s="1076">
        <f t="shared" si="0"/>
        <v>0</v>
      </c>
      <c r="G14" s="1077"/>
      <c r="H14" s="1078"/>
      <c r="I14" s="1063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304.04000000000002</v>
      </c>
      <c r="F35" s="6">
        <f>SUM(F10:F34)</f>
        <v>304.04000000000002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8" t="s">
        <v>11</v>
      </c>
      <c r="D40" s="121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K17" sqref="K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5"/>
  </cols>
  <sheetData>
    <row r="1" spans="1:20" ht="40.5" x14ac:dyDescent="0.55000000000000004">
      <c r="A1" s="1220" t="s">
        <v>219</v>
      </c>
      <c r="B1" s="1220"/>
      <c r="C1" s="1220"/>
      <c r="D1" s="1220"/>
      <c r="E1" s="1220"/>
      <c r="F1" s="1220"/>
      <c r="G1" s="1220"/>
      <c r="H1" s="11">
        <v>1</v>
      </c>
      <c r="I1" s="1054"/>
      <c r="K1" s="1216" t="s">
        <v>556</v>
      </c>
      <c r="L1" s="1216"/>
      <c r="M1" s="1216"/>
      <c r="N1" s="1216"/>
      <c r="O1" s="1216"/>
      <c r="P1" s="1216"/>
      <c r="Q1" s="1216"/>
      <c r="R1" s="11">
        <v>2</v>
      </c>
      <c r="S1" s="1054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6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  <c r="K4" s="294"/>
      <c r="L4" s="294"/>
      <c r="M4" s="294"/>
      <c r="N4" s="243"/>
      <c r="O4" s="334"/>
      <c r="P4" s="253"/>
      <c r="Q4" s="160"/>
      <c r="R4" s="160"/>
      <c r="S4" s="1057"/>
    </row>
    <row r="5" spans="1:20" x14ac:dyDescent="0.25">
      <c r="A5" s="1214" t="s">
        <v>115</v>
      </c>
      <c r="B5" s="1228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214" t="s">
        <v>115</v>
      </c>
      <c r="L5" s="1228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214"/>
      <c r="B6" s="1228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8"/>
      <c r="K6" s="1214"/>
      <c r="L6" s="1228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1287.8399999999999</v>
      </c>
      <c r="R6" s="7">
        <f>O6-Q6+O7+O5-Q5+O4+O8</f>
        <v>1.1368683772161603E-13</v>
      </c>
      <c r="S6" s="1058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59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19</v>
      </c>
      <c r="M10" s="15">
        <v>30</v>
      </c>
      <c r="N10" s="264">
        <v>806.17</v>
      </c>
      <c r="O10" s="293">
        <v>44698</v>
      </c>
      <c r="P10" s="264">
        <f>N10</f>
        <v>806.17</v>
      </c>
      <c r="Q10" s="265" t="s">
        <v>515</v>
      </c>
      <c r="R10" s="266">
        <v>56</v>
      </c>
      <c r="S10" s="301">
        <f>O4+O5+O6+O7-P10+O8</f>
        <v>481.66999999999996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0</v>
      </c>
      <c r="M11" s="15">
        <v>19</v>
      </c>
      <c r="N11" s="264">
        <v>481.67</v>
      </c>
      <c r="O11" s="293">
        <v>44701</v>
      </c>
      <c r="P11" s="264">
        <f>N11</f>
        <v>481.67</v>
      </c>
      <c r="Q11" s="265" t="s">
        <v>620</v>
      </c>
      <c r="R11" s="266">
        <v>56</v>
      </c>
      <c r="S11" s="301">
        <f>S10-P11</f>
        <v>0</v>
      </c>
      <c r="T11" s="240"/>
    </row>
    <row r="12" spans="1:20" x14ac:dyDescent="0.25">
      <c r="A12" s="195"/>
      <c r="B12" s="284">
        <f t="shared" ref="B12:B28" si="1">B11-C12</f>
        <v>0</v>
      </c>
      <c r="C12" s="15">
        <v>40</v>
      </c>
      <c r="D12" s="1042">
        <v>1141.6600000000001</v>
      </c>
      <c r="E12" s="1043">
        <v>44684</v>
      </c>
      <c r="F12" s="1042">
        <f t="shared" ref="F12" si="2">D12</f>
        <v>1141.6600000000001</v>
      </c>
      <c r="G12" s="1036" t="s">
        <v>374</v>
      </c>
      <c r="H12" s="1037">
        <v>48</v>
      </c>
      <c r="I12" s="301">
        <f t="shared" ref="I12:I30" si="3">I11-F12</f>
        <v>0</v>
      </c>
      <c r="J12" s="240"/>
      <c r="K12" s="195"/>
      <c r="L12" s="284">
        <f t="shared" ref="L12:L28" si="4">L11-M12</f>
        <v>0</v>
      </c>
      <c r="M12" s="15"/>
      <c r="N12" s="264"/>
      <c r="O12" s="293"/>
      <c r="P12" s="1076">
        <f t="shared" ref="P12:P26" si="5">N12</f>
        <v>0</v>
      </c>
      <c r="Q12" s="1077"/>
      <c r="R12" s="1078"/>
      <c r="S12" s="1063">
        <f t="shared" ref="S12:S30" si="6">S11-P12</f>
        <v>0</v>
      </c>
      <c r="T12" s="240"/>
    </row>
    <row r="13" spans="1:20" x14ac:dyDescent="0.25">
      <c r="A13" s="82" t="s">
        <v>33</v>
      </c>
      <c r="B13" s="284">
        <f t="shared" si="1"/>
        <v>0</v>
      </c>
      <c r="C13" s="15"/>
      <c r="D13" s="1042"/>
      <c r="E13" s="1043"/>
      <c r="F13" s="1060">
        <f t="shared" ref="F13:F33" si="7">D13</f>
        <v>0</v>
      </c>
      <c r="G13" s="1061"/>
      <c r="H13" s="1062"/>
      <c r="I13" s="1063">
        <f t="shared" si="3"/>
        <v>0</v>
      </c>
      <c r="J13" s="240"/>
      <c r="K13" s="82" t="s">
        <v>33</v>
      </c>
      <c r="L13" s="284">
        <f t="shared" si="4"/>
        <v>0</v>
      </c>
      <c r="M13" s="15"/>
      <c r="N13" s="264"/>
      <c r="O13" s="293"/>
      <c r="P13" s="1076">
        <f t="shared" si="5"/>
        <v>0</v>
      </c>
      <c r="Q13" s="1077"/>
      <c r="R13" s="1078"/>
      <c r="S13" s="1063">
        <f t="shared" si="6"/>
        <v>0</v>
      </c>
      <c r="T13" s="240"/>
    </row>
    <row r="14" spans="1:20" x14ac:dyDescent="0.25">
      <c r="A14" s="73"/>
      <c r="B14" s="284">
        <f t="shared" si="1"/>
        <v>0</v>
      </c>
      <c r="C14" s="15"/>
      <c r="D14" s="1042"/>
      <c r="E14" s="1043"/>
      <c r="F14" s="1060">
        <f t="shared" ref="F14:F26" si="8">D14</f>
        <v>0</v>
      </c>
      <c r="G14" s="1061"/>
      <c r="H14" s="1062"/>
      <c r="I14" s="1063">
        <f t="shared" si="3"/>
        <v>0</v>
      </c>
      <c r="J14" s="240"/>
      <c r="K14" s="73"/>
      <c r="L14" s="284">
        <f t="shared" si="4"/>
        <v>0</v>
      </c>
      <c r="M14" s="15"/>
      <c r="N14" s="264"/>
      <c r="O14" s="293"/>
      <c r="P14" s="1076">
        <f t="shared" si="5"/>
        <v>0</v>
      </c>
      <c r="Q14" s="1077"/>
      <c r="R14" s="1078"/>
      <c r="S14" s="1063">
        <f t="shared" si="6"/>
        <v>0</v>
      </c>
      <c r="T14" s="240"/>
    </row>
    <row r="15" spans="1:20" x14ac:dyDescent="0.25">
      <c r="A15" s="73"/>
      <c r="B15" s="284">
        <f t="shared" si="1"/>
        <v>0</v>
      </c>
      <c r="C15" s="15"/>
      <c r="D15" s="1042"/>
      <c r="E15" s="1043"/>
      <c r="F15" s="1060">
        <f t="shared" si="8"/>
        <v>0</v>
      </c>
      <c r="G15" s="1061"/>
      <c r="H15" s="1062"/>
      <c r="I15" s="1063">
        <f t="shared" si="3"/>
        <v>0</v>
      </c>
      <c r="J15" s="240"/>
      <c r="K15" s="73"/>
      <c r="L15" s="284">
        <f t="shared" si="4"/>
        <v>0</v>
      </c>
      <c r="M15" s="15"/>
      <c r="N15" s="264"/>
      <c r="O15" s="293"/>
      <c r="P15" s="1076">
        <f t="shared" si="5"/>
        <v>0</v>
      </c>
      <c r="Q15" s="1077"/>
      <c r="R15" s="1078"/>
      <c r="S15" s="1063">
        <f t="shared" si="6"/>
        <v>0</v>
      </c>
      <c r="T15" s="240"/>
    </row>
    <row r="16" spans="1:20" x14ac:dyDescent="0.25">
      <c r="B16" s="284">
        <f t="shared" si="1"/>
        <v>0</v>
      </c>
      <c r="C16" s="15"/>
      <c r="D16" s="1032"/>
      <c r="E16" s="1043"/>
      <c r="F16" s="1060">
        <f t="shared" si="8"/>
        <v>0</v>
      </c>
      <c r="G16" s="1061"/>
      <c r="H16" s="1062"/>
      <c r="I16" s="1063">
        <f t="shared" si="3"/>
        <v>0</v>
      </c>
      <c r="J16" s="240"/>
      <c r="L16" s="284">
        <f t="shared" si="4"/>
        <v>0</v>
      </c>
      <c r="M16" s="15"/>
      <c r="N16" s="69"/>
      <c r="O16" s="293"/>
      <c r="P16" s="1076">
        <f t="shared" si="5"/>
        <v>0</v>
      </c>
      <c r="Q16" s="1077"/>
      <c r="R16" s="1078"/>
      <c r="S16" s="1063">
        <f t="shared" si="6"/>
        <v>0</v>
      </c>
      <c r="T16" s="240"/>
    </row>
    <row r="17" spans="1:20" x14ac:dyDescent="0.25">
      <c r="B17" s="284">
        <f t="shared" si="1"/>
        <v>0</v>
      </c>
      <c r="C17" s="15"/>
      <c r="D17" s="1032"/>
      <c r="E17" s="1043"/>
      <c r="F17" s="1060">
        <f t="shared" si="8"/>
        <v>0</v>
      </c>
      <c r="G17" s="1061"/>
      <c r="H17" s="1062"/>
      <c r="I17" s="1063">
        <f t="shared" si="3"/>
        <v>0</v>
      </c>
      <c r="J17" s="240"/>
      <c r="L17" s="284">
        <f t="shared" si="4"/>
        <v>0</v>
      </c>
      <c r="M17" s="15"/>
      <c r="N17" s="69"/>
      <c r="O17" s="293"/>
      <c r="P17" s="264">
        <f t="shared" si="5"/>
        <v>0</v>
      </c>
      <c r="Q17" s="265"/>
      <c r="R17" s="266"/>
      <c r="S17" s="301">
        <f t="shared" si="6"/>
        <v>0</v>
      </c>
      <c r="T17" s="240"/>
    </row>
    <row r="18" spans="1:20" x14ac:dyDescent="0.25">
      <c r="A18" s="122"/>
      <c r="B18" s="284">
        <f t="shared" si="1"/>
        <v>0</v>
      </c>
      <c r="C18" s="15"/>
      <c r="D18" s="1032"/>
      <c r="E18" s="1043"/>
      <c r="F18" s="1042">
        <f t="shared" si="8"/>
        <v>0</v>
      </c>
      <c r="G18" s="1036"/>
      <c r="H18" s="1037"/>
      <c r="I18" s="301">
        <f t="shared" si="3"/>
        <v>0</v>
      </c>
      <c r="J18" s="240"/>
      <c r="K18" s="122"/>
      <c r="L18" s="284">
        <f t="shared" si="4"/>
        <v>0</v>
      </c>
      <c r="M18" s="15"/>
      <c r="N18" s="69"/>
      <c r="O18" s="293"/>
      <c r="P18" s="264">
        <f t="shared" si="5"/>
        <v>0</v>
      </c>
      <c r="Q18" s="265"/>
      <c r="R18" s="266"/>
      <c r="S18" s="301">
        <f t="shared" si="6"/>
        <v>0</v>
      </c>
      <c r="T18" s="240"/>
    </row>
    <row r="19" spans="1:20" x14ac:dyDescent="0.25">
      <c r="A19" s="122"/>
      <c r="B19" s="284">
        <f t="shared" si="1"/>
        <v>0</v>
      </c>
      <c r="C19" s="15"/>
      <c r="D19" s="1032"/>
      <c r="E19" s="1043"/>
      <c r="F19" s="1042">
        <f t="shared" si="8"/>
        <v>0</v>
      </c>
      <c r="G19" s="1036"/>
      <c r="H19" s="1037"/>
      <c r="I19" s="301">
        <f t="shared" si="3"/>
        <v>0</v>
      </c>
      <c r="J19" s="240"/>
      <c r="K19" s="122"/>
      <c r="L19" s="284">
        <f t="shared" si="4"/>
        <v>0</v>
      </c>
      <c r="M19" s="15"/>
      <c r="N19" s="69"/>
      <c r="O19" s="293"/>
      <c r="P19" s="264">
        <f t="shared" si="5"/>
        <v>0</v>
      </c>
      <c r="Q19" s="265"/>
      <c r="R19" s="266"/>
      <c r="S19" s="301">
        <f t="shared" si="6"/>
        <v>0</v>
      </c>
      <c r="T19" s="240"/>
    </row>
    <row r="20" spans="1:20" x14ac:dyDescent="0.25">
      <c r="A20" s="122"/>
      <c r="B20" s="284">
        <f t="shared" si="1"/>
        <v>0</v>
      </c>
      <c r="C20" s="15"/>
      <c r="D20" s="1032"/>
      <c r="E20" s="1043"/>
      <c r="F20" s="1042">
        <f t="shared" si="8"/>
        <v>0</v>
      </c>
      <c r="G20" s="1036"/>
      <c r="H20" s="1037"/>
      <c r="I20" s="301">
        <f t="shared" si="3"/>
        <v>0</v>
      </c>
      <c r="J20" s="240"/>
      <c r="K20" s="122"/>
      <c r="L20" s="284">
        <f t="shared" si="4"/>
        <v>0</v>
      </c>
      <c r="M20" s="15"/>
      <c r="N20" s="69"/>
      <c r="O20" s="293"/>
      <c r="P20" s="264">
        <f t="shared" si="5"/>
        <v>0</v>
      </c>
      <c r="Q20" s="265"/>
      <c r="R20" s="266"/>
      <c r="S20" s="301">
        <f t="shared" si="6"/>
        <v>0</v>
      </c>
      <c r="T20" s="240"/>
    </row>
    <row r="21" spans="1:20" x14ac:dyDescent="0.25">
      <c r="A21" s="122"/>
      <c r="B21" s="284">
        <f t="shared" si="1"/>
        <v>0</v>
      </c>
      <c r="C21" s="15"/>
      <c r="D21" s="1032"/>
      <c r="E21" s="1043"/>
      <c r="F21" s="1042">
        <f t="shared" si="8"/>
        <v>0</v>
      </c>
      <c r="G21" s="1036"/>
      <c r="H21" s="1037"/>
      <c r="I21" s="301">
        <f t="shared" si="3"/>
        <v>0</v>
      </c>
      <c r="J21" s="240"/>
      <c r="K21" s="122"/>
      <c r="L21" s="284">
        <f t="shared" si="4"/>
        <v>0</v>
      </c>
      <c r="M21" s="15"/>
      <c r="N21" s="69"/>
      <c r="O21" s="293"/>
      <c r="P21" s="264">
        <f t="shared" si="5"/>
        <v>0</v>
      </c>
      <c r="Q21" s="265"/>
      <c r="R21" s="266"/>
      <c r="S21" s="301">
        <f t="shared" si="6"/>
        <v>0</v>
      </c>
      <c r="T21" s="240"/>
    </row>
    <row r="22" spans="1:20" x14ac:dyDescent="0.25">
      <c r="A22" s="122"/>
      <c r="B22" s="284">
        <f t="shared" si="1"/>
        <v>0</v>
      </c>
      <c r="C22" s="15"/>
      <c r="D22" s="1032"/>
      <c r="E22" s="1053"/>
      <c r="F22" s="1032">
        <f t="shared" si="8"/>
        <v>0</v>
      </c>
      <c r="G22" s="1036"/>
      <c r="H22" s="1037"/>
      <c r="I22" s="60">
        <f t="shared" si="3"/>
        <v>0</v>
      </c>
      <c r="J22" s="240"/>
      <c r="K22" s="122"/>
      <c r="L22" s="284">
        <f t="shared" si="4"/>
        <v>0</v>
      </c>
      <c r="M22" s="15"/>
      <c r="N22" s="69"/>
      <c r="O22" s="216"/>
      <c r="P22" s="69">
        <f t="shared" si="5"/>
        <v>0</v>
      </c>
      <c r="Q22" s="265"/>
      <c r="R22" s="266"/>
      <c r="S22" s="60">
        <f t="shared" si="6"/>
        <v>0</v>
      </c>
      <c r="T22" s="240"/>
    </row>
    <row r="23" spans="1:20" x14ac:dyDescent="0.25">
      <c r="A23" s="123"/>
      <c r="B23" s="284">
        <f t="shared" si="1"/>
        <v>0</v>
      </c>
      <c r="C23" s="15"/>
      <c r="D23" s="1032"/>
      <c r="E23" s="1053"/>
      <c r="F23" s="1032">
        <f t="shared" si="8"/>
        <v>0</v>
      </c>
      <c r="G23" s="1036"/>
      <c r="H23" s="1037"/>
      <c r="I23" s="60">
        <f t="shared" si="3"/>
        <v>0</v>
      </c>
      <c r="J23" s="240"/>
      <c r="K23" s="123"/>
      <c r="L23" s="284">
        <f t="shared" si="4"/>
        <v>0</v>
      </c>
      <c r="M23" s="15"/>
      <c r="N23" s="69"/>
      <c r="O23" s="216"/>
      <c r="P23" s="69">
        <f t="shared" si="5"/>
        <v>0</v>
      </c>
      <c r="Q23" s="265"/>
      <c r="R23" s="266"/>
      <c r="S23" s="60">
        <f t="shared" si="6"/>
        <v>0</v>
      </c>
      <c r="T23" s="240"/>
    </row>
    <row r="24" spans="1:20" x14ac:dyDescent="0.25">
      <c r="A24" s="122"/>
      <c r="B24" s="284">
        <f t="shared" si="1"/>
        <v>0</v>
      </c>
      <c r="C24" s="15"/>
      <c r="D24" s="1032"/>
      <c r="E24" s="1053"/>
      <c r="F24" s="1032">
        <f t="shared" si="8"/>
        <v>0</v>
      </c>
      <c r="G24" s="1036"/>
      <c r="H24" s="1037"/>
      <c r="I24" s="60">
        <f t="shared" si="3"/>
        <v>0</v>
      </c>
      <c r="J24" s="240"/>
      <c r="K24" s="122"/>
      <c r="L24" s="284">
        <f t="shared" si="4"/>
        <v>0</v>
      </c>
      <c r="M24" s="15"/>
      <c r="N24" s="69"/>
      <c r="O24" s="216"/>
      <c r="P24" s="69">
        <f t="shared" si="5"/>
        <v>0</v>
      </c>
      <c r="Q24" s="265"/>
      <c r="R24" s="266"/>
      <c r="S24" s="60">
        <f t="shared" si="6"/>
        <v>0</v>
      </c>
      <c r="T24" s="240"/>
    </row>
    <row r="25" spans="1:20" x14ac:dyDescent="0.25">
      <c r="A25" s="122"/>
      <c r="B25" s="284">
        <f t="shared" si="1"/>
        <v>0</v>
      </c>
      <c r="C25" s="15"/>
      <c r="D25" s="1032"/>
      <c r="E25" s="1053"/>
      <c r="F25" s="1032">
        <f t="shared" si="8"/>
        <v>0</v>
      </c>
      <c r="G25" s="1036"/>
      <c r="H25" s="1037"/>
      <c r="I25" s="60">
        <f t="shared" si="3"/>
        <v>0</v>
      </c>
      <c r="J25" s="240"/>
      <c r="K25" s="122"/>
      <c r="L25" s="284">
        <f t="shared" si="4"/>
        <v>0</v>
      </c>
      <c r="M25" s="15"/>
      <c r="N25" s="69"/>
      <c r="O25" s="216"/>
      <c r="P25" s="69">
        <f t="shared" si="5"/>
        <v>0</v>
      </c>
      <c r="Q25" s="265"/>
      <c r="R25" s="266"/>
      <c r="S25" s="60">
        <f t="shared" si="6"/>
        <v>0</v>
      </c>
      <c r="T25" s="240"/>
    </row>
    <row r="26" spans="1:20" x14ac:dyDescent="0.25">
      <c r="A26" s="122"/>
      <c r="B26" s="284">
        <f t="shared" si="1"/>
        <v>0</v>
      </c>
      <c r="C26" s="15"/>
      <c r="D26" s="1032"/>
      <c r="E26" s="1053"/>
      <c r="F26" s="1032">
        <f t="shared" si="8"/>
        <v>0</v>
      </c>
      <c r="G26" s="1036"/>
      <c r="H26" s="1037"/>
      <c r="I26" s="60">
        <f t="shared" si="3"/>
        <v>0</v>
      </c>
      <c r="J26" s="240"/>
      <c r="K26" s="122"/>
      <c r="L26" s="284">
        <f t="shared" si="4"/>
        <v>0</v>
      </c>
      <c r="M26" s="15"/>
      <c r="N26" s="69"/>
      <c r="O26" s="216"/>
      <c r="P26" s="69">
        <f t="shared" si="5"/>
        <v>0</v>
      </c>
      <c r="Q26" s="265"/>
      <c r="R26" s="266"/>
      <c r="S26" s="60">
        <f t="shared" si="6"/>
        <v>0</v>
      </c>
      <c r="T26" s="240"/>
    </row>
    <row r="27" spans="1:20" x14ac:dyDescent="0.25">
      <c r="A27" s="122"/>
      <c r="B27" s="284">
        <f t="shared" si="1"/>
        <v>0</v>
      </c>
      <c r="C27" s="15"/>
      <c r="D27" s="1032"/>
      <c r="E27" s="1053"/>
      <c r="F27" s="1032">
        <v>0</v>
      </c>
      <c r="G27" s="1036"/>
      <c r="H27" s="1037"/>
      <c r="I27" s="301">
        <f t="shared" si="3"/>
        <v>0</v>
      </c>
      <c r="J27" s="240"/>
      <c r="K27" s="122"/>
      <c r="L27" s="284">
        <f t="shared" si="4"/>
        <v>0</v>
      </c>
      <c r="M27" s="15"/>
      <c r="N27" s="69"/>
      <c r="O27" s="216"/>
      <c r="P27" s="69">
        <v>0</v>
      </c>
      <c r="Q27" s="265"/>
      <c r="R27" s="266"/>
      <c r="S27" s="301">
        <f t="shared" si="6"/>
        <v>0</v>
      </c>
      <c r="T27" s="240"/>
    </row>
    <row r="28" spans="1:20" x14ac:dyDescent="0.25">
      <c r="A28" s="122"/>
      <c r="B28" s="284">
        <f t="shared" si="1"/>
        <v>0</v>
      </c>
      <c r="C28" s="15"/>
      <c r="D28" s="1032"/>
      <c r="E28" s="1053"/>
      <c r="F28" s="1032">
        <f t="shared" si="7"/>
        <v>0</v>
      </c>
      <c r="G28" s="1036"/>
      <c r="H28" s="1037"/>
      <c r="I28" s="301">
        <f t="shared" si="3"/>
        <v>0</v>
      </c>
      <c r="K28" s="122"/>
      <c r="L28" s="284">
        <f t="shared" si="4"/>
        <v>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0</v>
      </c>
    </row>
    <row r="29" spans="1:20" x14ac:dyDescent="0.25">
      <c r="A29" s="122"/>
      <c r="B29" s="284"/>
      <c r="C29" s="15"/>
      <c r="D29" s="1032"/>
      <c r="E29" s="1053"/>
      <c r="F29" s="1032">
        <f t="shared" si="7"/>
        <v>0</v>
      </c>
      <c r="G29" s="1036"/>
      <c r="H29" s="1037"/>
      <c r="I29" s="301">
        <f t="shared" si="3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0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3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0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49</v>
      </c>
      <c r="N35" s="6">
        <f>SUM(N10:N34)</f>
        <v>1287.8399999999999</v>
      </c>
      <c r="P35" s="6">
        <f>SUM(P10:P34)</f>
        <v>1287.8399999999999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0</v>
      </c>
    </row>
    <row r="39" spans="1:19" ht="15.75" thickBot="1" x14ac:dyDescent="0.3"/>
    <row r="40" spans="1:19" ht="15.75" thickBot="1" x14ac:dyDescent="0.3">
      <c r="C40" s="1218" t="s">
        <v>11</v>
      </c>
      <c r="D40" s="1219"/>
      <c r="E40" s="57">
        <f>E4+E5+E6+E7-F35</f>
        <v>0</v>
      </c>
      <c r="F40" s="73"/>
      <c r="M40" s="1218" t="s">
        <v>11</v>
      </c>
      <c r="N40" s="1219"/>
      <c r="O40" s="57">
        <f>O4+O5+O6+O7-P35</f>
        <v>0</v>
      </c>
      <c r="P40" s="73"/>
    </row>
  </sheetData>
  <sortState ref="M10:R11">
    <sortCondition ref="Q10:Q11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1" sqref="G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6" t="s">
        <v>240</v>
      </c>
      <c r="B1" s="1216"/>
      <c r="C1" s="1216"/>
      <c r="D1" s="1216"/>
      <c r="E1" s="1216"/>
      <c r="F1" s="1216"/>
      <c r="G1" s="1216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14" t="s">
        <v>270</v>
      </c>
      <c r="B5" s="1229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14"/>
      <c r="B6" s="1229"/>
      <c r="C6" s="700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633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18" t="s">
        <v>11</v>
      </c>
      <c r="D40" s="1219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K17" sqref="K16:K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20" t="s">
        <v>220</v>
      </c>
      <c r="B1" s="1220"/>
      <c r="C1" s="1220"/>
      <c r="D1" s="1220"/>
      <c r="E1" s="1220"/>
      <c r="F1" s="1220"/>
      <c r="G1" s="1220"/>
      <c r="H1" s="11">
        <v>1</v>
      </c>
      <c r="K1" s="1216" t="s">
        <v>240</v>
      </c>
      <c r="L1" s="1216"/>
      <c r="M1" s="1216"/>
      <c r="N1" s="1216"/>
      <c r="O1" s="1216"/>
      <c r="P1" s="1216"/>
      <c r="Q1" s="1216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29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09" t="s">
        <v>90</v>
      </c>
      <c r="L5" s="1229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110</v>
      </c>
      <c r="R5" s="7">
        <f>O5-Q5+O4+O6</f>
        <v>405.65</v>
      </c>
    </row>
    <row r="6" spans="1:19" ht="15.75" customHeight="1" thickBot="1" x14ac:dyDescent="0.3">
      <c r="A6" s="243"/>
      <c r="B6" s="1230"/>
      <c r="C6" s="277"/>
      <c r="D6" s="278"/>
      <c r="E6" s="270"/>
      <c r="F6" s="243"/>
      <c r="K6" s="243"/>
      <c r="L6" s="1230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26</v>
      </c>
      <c r="M8" s="53">
        <v>1</v>
      </c>
      <c r="N8" s="69">
        <v>10</v>
      </c>
      <c r="O8" s="328">
        <v>44707</v>
      </c>
      <c r="P8" s="275">
        <f t="shared" ref="P8:P35" si="1">N8</f>
        <v>10</v>
      </c>
      <c r="Q8" s="265" t="s">
        <v>659</v>
      </c>
      <c r="R8" s="266">
        <v>47</v>
      </c>
      <c r="S8" s="269">
        <f>O5-P8+O4+O6</f>
        <v>505.65</v>
      </c>
    </row>
    <row r="9" spans="1:19" ht="15" customHeight="1" x14ac:dyDescent="0.25">
      <c r="B9" s="868">
        <f>B8-C9</f>
        <v>35</v>
      </c>
      <c r="C9" s="53">
        <v>5</v>
      </c>
      <c r="D9" s="1032">
        <v>50</v>
      </c>
      <c r="E9" s="1035">
        <v>44693</v>
      </c>
      <c r="F9" s="1069">
        <f t="shared" si="0"/>
        <v>50</v>
      </c>
      <c r="G9" s="1036" t="s">
        <v>467</v>
      </c>
      <c r="H9" s="1037">
        <v>47</v>
      </c>
      <c r="I9" s="269">
        <f>I8-F9</f>
        <v>350</v>
      </c>
      <c r="L9" s="868">
        <f>L8-M9</f>
        <v>16</v>
      </c>
      <c r="M9" s="53">
        <v>10</v>
      </c>
      <c r="N9" s="69">
        <v>100</v>
      </c>
      <c r="O9" s="324">
        <v>44708</v>
      </c>
      <c r="P9" s="275">
        <f t="shared" si="1"/>
        <v>100</v>
      </c>
      <c r="Q9" s="265" t="s">
        <v>664</v>
      </c>
      <c r="R9" s="266">
        <v>47</v>
      </c>
      <c r="S9" s="269">
        <f>S8-P9</f>
        <v>405.65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2">
        <v>100</v>
      </c>
      <c r="E10" s="1035">
        <v>44698</v>
      </c>
      <c r="F10" s="1069">
        <f t="shared" si="0"/>
        <v>100</v>
      </c>
      <c r="G10" s="1036" t="s">
        <v>515</v>
      </c>
      <c r="H10" s="1037">
        <v>47</v>
      </c>
      <c r="I10" s="269">
        <f>I9-F10</f>
        <v>250</v>
      </c>
      <c r="L10" s="868">
        <f t="shared" ref="L10:L35" si="3">L9-M10</f>
        <v>16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405.65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2">
        <v>10</v>
      </c>
      <c r="E11" s="1035">
        <v>44702</v>
      </c>
      <c r="F11" s="1069">
        <f t="shared" si="0"/>
        <v>10</v>
      </c>
      <c r="G11" s="1036" t="s">
        <v>513</v>
      </c>
      <c r="H11" s="1037">
        <v>47</v>
      </c>
      <c r="I11" s="269">
        <f t="shared" ref="I11:I34" si="4">I10-F11</f>
        <v>240</v>
      </c>
      <c r="K11" s="55" t="s">
        <v>33</v>
      </c>
      <c r="L11" s="868">
        <f t="shared" si="3"/>
        <v>16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405.65</v>
      </c>
    </row>
    <row r="12" spans="1:19" ht="15" customHeight="1" x14ac:dyDescent="0.25">
      <c r="A12" s="19"/>
      <c r="B12" s="868">
        <f t="shared" si="2"/>
        <v>24</v>
      </c>
      <c r="C12" s="53"/>
      <c r="D12" s="1032">
        <v>0</v>
      </c>
      <c r="E12" s="1035"/>
      <c r="F12" s="1069">
        <f t="shared" si="0"/>
        <v>0</v>
      </c>
      <c r="G12" s="1036"/>
      <c r="H12" s="1037"/>
      <c r="I12" s="269">
        <f t="shared" si="4"/>
        <v>240</v>
      </c>
      <c r="K12" s="19"/>
      <c r="L12" s="868">
        <f t="shared" si="3"/>
        <v>16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405.65</v>
      </c>
    </row>
    <row r="13" spans="1:19" ht="15" customHeight="1" x14ac:dyDescent="0.25">
      <c r="B13" s="868">
        <f t="shared" si="2"/>
        <v>24</v>
      </c>
      <c r="C13" s="53"/>
      <c r="D13" s="1032">
        <v>0</v>
      </c>
      <c r="E13" s="1035"/>
      <c r="F13" s="1069">
        <f t="shared" si="0"/>
        <v>0</v>
      </c>
      <c r="G13" s="1036"/>
      <c r="H13" s="1037"/>
      <c r="I13" s="269">
        <f t="shared" si="4"/>
        <v>240</v>
      </c>
      <c r="L13" s="868">
        <f t="shared" si="3"/>
        <v>16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405.65</v>
      </c>
    </row>
    <row r="14" spans="1:19" ht="15" customHeight="1" x14ac:dyDescent="0.25">
      <c r="B14" s="868">
        <f t="shared" si="2"/>
        <v>24</v>
      </c>
      <c r="C14" s="15"/>
      <c r="D14" s="1032">
        <v>0</v>
      </c>
      <c r="E14" s="1035"/>
      <c r="F14" s="1069">
        <f t="shared" si="0"/>
        <v>0</v>
      </c>
      <c r="G14" s="1036"/>
      <c r="H14" s="1037"/>
      <c r="I14" s="269">
        <f t="shared" si="4"/>
        <v>240</v>
      </c>
      <c r="L14" s="868">
        <f t="shared" si="3"/>
        <v>16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405.65</v>
      </c>
    </row>
    <row r="15" spans="1:19" ht="15" customHeight="1" x14ac:dyDescent="0.25">
      <c r="B15" s="868">
        <f t="shared" si="2"/>
        <v>24</v>
      </c>
      <c r="C15" s="15"/>
      <c r="D15" s="1032">
        <v>0</v>
      </c>
      <c r="E15" s="1035"/>
      <c r="F15" s="1069">
        <f t="shared" si="0"/>
        <v>0</v>
      </c>
      <c r="G15" s="1036"/>
      <c r="H15" s="1037"/>
      <c r="I15" s="269">
        <f t="shared" si="4"/>
        <v>240</v>
      </c>
      <c r="L15" s="868">
        <f t="shared" si="3"/>
        <v>16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405.65</v>
      </c>
    </row>
    <row r="16" spans="1:19" ht="15" customHeight="1" x14ac:dyDescent="0.25">
      <c r="B16" s="868">
        <f t="shared" si="2"/>
        <v>24</v>
      </c>
      <c r="C16" s="15"/>
      <c r="D16" s="1032">
        <v>0</v>
      </c>
      <c r="E16" s="1035"/>
      <c r="F16" s="1069">
        <f t="shared" si="0"/>
        <v>0</v>
      </c>
      <c r="G16" s="1036"/>
      <c r="H16" s="1037"/>
      <c r="I16" s="269">
        <f t="shared" si="4"/>
        <v>240</v>
      </c>
      <c r="L16" s="868">
        <f t="shared" si="3"/>
        <v>16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405.65</v>
      </c>
    </row>
    <row r="17" spans="1:19" ht="15" customHeight="1" x14ac:dyDescent="0.25">
      <c r="B17" s="868">
        <f t="shared" si="2"/>
        <v>24</v>
      </c>
      <c r="C17" s="15"/>
      <c r="D17" s="1032">
        <v>0</v>
      </c>
      <c r="E17" s="1035"/>
      <c r="F17" s="1069">
        <f t="shared" si="0"/>
        <v>0</v>
      </c>
      <c r="G17" s="1036"/>
      <c r="H17" s="1037"/>
      <c r="I17" s="269">
        <f t="shared" si="4"/>
        <v>240</v>
      </c>
      <c r="L17" s="868">
        <f t="shared" si="3"/>
        <v>16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405.65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16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405.65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16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405.65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16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405.65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16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405.65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16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405.65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16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405.65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16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405.65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16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405.65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16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405.65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16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405.65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16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405.65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16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405.65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16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405.65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16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405.65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16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405.65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16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405.65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16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405.65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16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11</v>
      </c>
      <c r="N36" s="105">
        <f>SUM(N8:N35)</f>
        <v>110</v>
      </c>
      <c r="O36" s="75"/>
      <c r="P36" s="105">
        <f>SUM(P8:P35)</f>
        <v>110</v>
      </c>
    </row>
    <row r="37" spans="1:19" ht="15.75" thickBot="1" x14ac:dyDescent="0.3">
      <c r="A37" s="47"/>
      <c r="K37" s="47"/>
    </row>
    <row r="38" spans="1:19" x14ac:dyDescent="0.25">
      <c r="B38" s="866"/>
      <c r="D38" s="1205" t="s">
        <v>21</v>
      </c>
      <c r="E38" s="1206"/>
      <c r="F38" s="141">
        <f>E4+E5-F36+E6</f>
        <v>240</v>
      </c>
      <c r="L38" s="866"/>
      <c r="N38" s="1205" t="s">
        <v>21</v>
      </c>
      <c r="O38" s="1206"/>
      <c r="P38" s="141">
        <f>O4+O5-P36+O6</f>
        <v>405.65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10" t="s">
        <v>4</v>
      </c>
      <c r="O39" s="1111"/>
      <c r="P39" s="49">
        <f>P4+P5-M36+P6</f>
        <v>16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14"/>
      <c r="B5" s="1231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14"/>
      <c r="B6" s="1232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05" t="s">
        <v>21</v>
      </c>
      <c r="E42" s="1206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33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33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05" t="s">
        <v>21</v>
      </c>
      <c r="E31" s="1206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34" t="s">
        <v>100</v>
      </c>
      <c r="C4" s="128"/>
      <c r="D4" s="134"/>
      <c r="E4" s="193"/>
      <c r="F4" s="137"/>
      <c r="G4" s="38"/>
    </row>
    <row r="5" spans="1:15" ht="15.75" x14ac:dyDescent="0.25">
      <c r="A5" s="1233"/>
      <c r="B5" s="1235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33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05" t="s">
        <v>21</v>
      </c>
      <c r="E31" s="1206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05" t="s">
        <v>21</v>
      </c>
      <c r="E31" s="1206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N12" sqref="N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36" t="s">
        <v>221</v>
      </c>
      <c r="B1" s="1236"/>
      <c r="C1" s="1236"/>
      <c r="D1" s="1236"/>
      <c r="E1" s="1236"/>
      <c r="F1" s="1236"/>
      <c r="G1" s="1236"/>
      <c r="H1" s="356">
        <v>1</v>
      </c>
      <c r="I1" s="571"/>
      <c r="L1" s="1209" t="s">
        <v>573</v>
      </c>
      <c r="M1" s="1209"/>
      <c r="N1" s="1209"/>
      <c r="O1" s="1209"/>
      <c r="P1" s="1209"/>
      <c r="Q1" s="1209"/>
      <c r="R1" s="1209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37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37" t="s">
        <v>99</v>
      </c>
      <c r="N4" s="322"/>
      <c r="O4" s="248"/>
      <c r="P4" s="529"/>
      <c r="Q4" s="243"/>
      <c r="R4" s="1113"/>
      <c r="S4" s="153"/>
      <c r="T4" s="576"/>
    </row>
    <row r="5" spans="1:21" ht="14.25" customHeight="1" thickBot="1" x14ac:dyDescent="0.3">
      <c r="A5" s="681" t="s">
        <v>52</v>
      </c>
      <c r="B5" s="1238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210" t="s">
        <v>52</v>
      </c>
      <c r="M5" s="1238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660.95</v>
      </c>
      <c r="S5" s="138">
        <f>P5-R5+P4+P6+P7</f>
        <v>0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210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0</v>
      </c>
      <c r="N9" s="15">
        <v>24</v>
      </c>
      <c r="O9" s="69">
        <v>660.95</v>
      </c>
      <c r="P9" s="336">
        <v>44707</v>
      </c>
      <c r="Q9" s="279">
        <f>O9</f>
        <v>660.95</v>
      </c>
      <c r="R9" s="70" t="s">
        <v>657</v>
      </c>
      <c r="S9" s="71">
        <v>29</v>
      </c>
      <c r="T9" s="569">
        <f>P4+P5+P6-Q9+P7</f>
        <v>0</v>
      </c>
      <c r="U9" s="60">
        <f>S9*Q9</f>
        <v>19167.550000000003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0</v>
      </c>
      <c r="N10" s="15"/>
      <c r="O10" s="69">
        <v>0</v>
      </c>
      <c r="P10" s="495"/>
      <c r="Q10" s="1139">
        <f t="shared" ref="Q10:Q29" si="2">O10</f>
        <v>0</v>
      </c>
      <c r="R10" s="1077"/>
      <c r="S10" s="1078"/>
      <c r="T10" s="1067">
        <f>T9-Q10</f>
        <v>0</v>
      </c>
      <c r="U10" s="1063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0</v>
      </c>
      <c r="N11" s="15"/>
      <c r="O11" s="69">
        <v>0</v>
      </c>
      <c r="P11" s="495"/>
      <c r="Q11" s="1139">
        <f t="shared" si="2"/>
        <v>0</v>
      </c>
      <c r="R11" s="1077"/>
      <c r="S11" s="1078"/>
      <c r="T11" s="1067">
        <f t="shared" ref="T11:T28" si="7">T10-Q11</f>
        <v>0</v>
      </c>
      <c r="U11" s="1063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0</v>
      </c>
      <c r="N12" s="15"/>
      <c r="O12" s="69">
        <v>0</v>
      </c>
      <c r="P12" s="495"/>
      <c r="Q12" s="1139">
        <f t="shared" si="2"/>
        <v>0</v>
      </c>
      <c r="R12" s="1077"/>
      <c r="S12" s="1078"/>
      <c r="T12" s="1067">
        <f t="shared" si="7"/>
        <v>0</v>
      </c>
      <c r="U12" s="1063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0</v>
      </c>
      <c r="N13" s="15"/>
      <c r="O13" s="69">
        <v>0</v>
      </c>
      <c r="P13" s="495"/>
      <c r="Q13" s="1139">
        <f t="shared" si="2"/>
        <v>0</v>
      </c>
      <c r="R13" s="1077"/>
      <c r="S13" s="1078"/>
      <c r="T13" s="1067">
        <f t="shared" si="7"/>
        <v>0</v>
      </c>
      <c r="U13" s="1063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0</v>
      </c>
      <c r="N14" s="15"/>
      <c r="O14" s="69">
        <v>0</v>
      </c>
      <c r="P14" s="495"/>
      <c r="Q14" s="1139">
        <f t="shared" si="2"/>
        <v>0</v>
      </c>
      <c r="R14" s="1077"/>
      <c r="S14" s="1078"/>
      <c r="T14" s="1067">
        <f t="shared" si="7"/>
        <v>0</v>
      </c>
      <c r="U14" s="1063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0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0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0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0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0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0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0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0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0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0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0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0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2">
        <v>90.2</v>
      </c>
      <c r="E21" s="1066">
        <v>44686</v>
      </c>
      <c r="F21" s="1065">
        <f t="shared" si="8"/>
        <v>90.2</v>
      </c>
      <c r="G21" s="1033" t="s">
        <v>396</v>
      </c>
      <c r="H21" s="1034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0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0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2">
        <v>0</v>
      </c>
      <c r="E22" s="1066"/>
      <c r="F22" s="1065">
        <f t="shared" si="8"/>
        <v>0</v>
      </c>
      <c r="G22" s="1061"/>
      <c r="H22" s="1062"/>
      <c r="I22" s="1067">
        <f t="shared" si="5"/>
        <v>0</v>
      </c>
      <c r="J22" s="60">
        <f t="shared" si="1"/>
        <v>0</v>
      </c>
      <c r="L22" s="75"/>
      <c r="M22" s="195">
        <f t="shared" si="6"/>
        <v>0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0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2">
        <v>0</v>
      </c>
      <c r="E23" s="1041"/>
      <c r="F23" s="1065">
        <f t="shared" si="8"/>
        <v>0</v>
      </c>
      <c r="G23" s="1061"/>
      <c r="H23" s="1062"/>
      <c r="I23" s="1067">
        <f t="shared" si="5"/>
        <v>0</v>
      </c>
      <c r="J23" s="60">
        <f t="shared" si="1"/>
        <v>0</v>
      </c>
      <c r="L23" s="19"/>
      <c r="M23" s="195">
        <f t="shared" si="6"/>
        <v>0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0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2">
        <v>0</v>
      </c>
      <c r="E24" s="1041"/>
      <c r="F24" s="1065">
        <f t="shared" si="8"/>
        <v>0</v>
      </c>
      <c r="G24" s="1061"/>
      <c r="H24" s="1062"/>
      <c r="I24" s="1067">
        <f t="shared" si="5"/>
        <v>0</v>
      </c>
      <c r="J24" s="60">
        <f t="shared" si="1"/>
        <v>0</v>
      </c>
      <c r="L24" s="19"/>
      <c r="M24" s="195">
        <f t="shared" si="6"/>
        <v>0</v>
      </c>
      <c r="N24" s="73"/>
      <c r="O24" s="69">
        <v>0</v>
      </c>
      <c r="P24" s="1041"/>
      <c r="Q24" s="279">
        <f t="shared" si="2"/>
        <v>0</v>
      </c>
      <c r="R24" s="265"/>
      <c r="S24" s="266"/>
      <c r="T24" s="322">
        <f t="shared" si="7"/>
        <v>0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2">
        <v>0</v>
      </c>
      <c r="E25" s="1041"/>
      <c r="F25" s="1065">
        <f t="shared" si="8"/>
        <v>0</v>
      </c>
      <c r="G25" s="1061"/>
      <c r="H25" s="1062"/>
      <c r="I25" s="1067">
        <f t="shared" si="5"/>
        <v>0</v>
      </c>
      <c r="J25" s="60">
        <f t="shared" si="1"/>
        <v>0</v>
      </c>
      <c r="L25" s="19"/>
      <c r="M25" s="195">
        <f t="shared" si="6"/>
        <v>0</v>
      </c>
      <c r="N25" s="73"/>
      <c r="O25" s="69">
        <v>0</v>
      </c>
      <c r="P25" s="1041"/>
      <c r="Q25" s="279">
        <f t="shared" si="2"/>
        <v>0</v>
      </c>
      <c r="R25" s="1036"/>
      <c r="S25" s="1037"/>
      <c r="T25" s="322">
        <f t="shared" si="7"/>
        <v>0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2">
        <v>0</v>
      </c>
      <c r="E26" s="1041"/>
      <c r="F26" s="1065">
        <f t="shared" si="8"/>
        <v>0</v>
      </c>
      <c r="G26" s="1033"/>
      <c r="H26" s="1034"/>
      <c r="I26" s="322">
        <f t="shared" si="5"/>
        <v>0</v>
      </c>
      <c r="J26" s="60">
        <f t="shared" si="1"/>
        <v>0</v>
      </c>
      <c r="L26" s="19"/>
      <c r="M26" s="195">
        <f t="shared" si="6"/>
        <v>0</v>
      </c>
      <c r="N26" s="15"/>
      <c r="O26" s="69">
        <v>0</v>
      </c>
      <c r="P26" s="1041"/>
      <c r="Q26" s="279">
        <f t="shared" si="2"/>
        <v>0</v>
      </c>
      <c r="R26" s="1036"/>
      <c r="S26" s="1037"/>
      <c r="T26" s="322">
        <f t="shared" si="7"/>
        <v>0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2">
        <v>0</v>
      </c>
      <c r="E27" s="1041"/>
      <c r="F27" s="1065">
        <f t="shared" si="8"/>
        <v>0</v>
      </c>
      <c r="G27" s="1033"/>
      <c r="H27" s="1034"/>
      <c r="I27" s="322">
        <f t="shared" si="5"/>
        <v>0</v>
      </c>
      <c r="J27" s="60">
        <f t="shared" si="1"/>
        <v>0</v>
      </c>
      <c r="L27" s="19"/>
      <c r="M27" s="195">
        <f t="shared" si="6"/>
        <v>0</v>
      </c>
      <c r="N27" s="15"/>
      <c r="O27" s="69">
        <v>0</v>
      </c>
      <c r="P27" s="1041"/>
      <c r="Q27" s="279">
        <f t="shared" si="2"/>
        <v>0</v>
      </c>
      <c r="R27" s="1036"/>
      <c r="S27" s="1037"/>
      <c r="T27" s="322">
        <f t="shared" si="7"/>
        <v>0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0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0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0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19167.550000000003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660.95</v>
      </c>
      <c r="P30" s="134"/>
      <c r="Q30" s="105">
        <f>SUM(Q9:Q29)</f>
        <v>660.95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205" t="s">
        <v>21</v>
      </c>
      <c r="E32" s="1206"/>
      <c r="F32" s="141">
        <f>G5-F30</f>
        <v>0</v>
      </c>
      <c r="M32" s="197"/>
      <c r="O32" s="1205" t="s">
        <v>21</v>
      </c>
      <c r="P32" s="1206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10" t="s">
        <v>4</v>
      </c>
      <c r="P33" s="1111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0" t="s">
        <v>222</v>
      </c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2">
        <v>4.54</v>
      </c>
      <c r="E15" s="1068">
        <v>44686</v>
      </c>
      <c r="F15" s="1069">
        <f t="shared" si="0"/>
        <v>4.54</v>
      </c>
      <c r="G15" s="1036" t="s">
        <v>391</v>
      </c>
      <c r="H15" s="1037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2">
        <v>4.54</v>
      </c>
      <c r="E16" s="1068">
        <v>44690</v>
      </c>
      <c r="F16" s="1069">
        <f t="shared" si="0"/>
        <v>4.54</v>
      </c>
      <c r="G16" s="1036" t="s">
        <v>423</v>
      </c>
      <c r="H16" s="1037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2">
        <v>4.54</v>
      </c>
      <c r="E17" s="1068">
        <v>44692</v>
      </c>
      <c r="F17" s="1069">
        <f t="shared" si="0"/>
        <v>4.54</v>
      </c>
      <c r="G17" s="1036" t="s">
        <v>451</v>
      </c>
      <c r="H17" s="1037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2">
        <v>22.7</v>
      </c>
      <c r="E18" s="1068">
        <v>44698</v>
      </c>
      <c r="F18" s="1069">
        <f t="shared" si="0"/>
        <v>22.7</v>
      </c>
      <c r="G18" s="1036" t="s">
        <v>480</v>
      </c>
      <c r="H18" s="1037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2">
        <v>4.54</v>
      </c>
      <c r="E19" s="1068">
        <v>44701</v>
      </c>
      <c r="F19" s="1069">
        <f t="shared" si="0"/>
        <v>4.54</v>
      </c>
      <c r="G19" s="1036" t="s">
        <v>512</v>
      </c>
      <c r="H19" s="1037">
        <v>265</v>
      </c>
      <c r="I19" s="262">
        <f t="shared" si="1"/>
        <v>77.17999999999995</v>
      </c>
    </row>
    <row r="20" spans="1:9" x14ac:dyDescent="0.25">
      <c r="B20" s="613">
        <f t="shared" si="3"/>
        <v>13</v>
      </c>
      <c r="C20" s="243">
        <v>4</v>
      </c>
      <c r="D20" s="1042">
        <v>18.16</v>
      </c>
      <c r="E20" s="1068">
        <v>44706</v>
      </c>
      <c r="F20" s="1069">
        <f t="shared" si="0"/>
        <v>18.16</v>
      </c>
      <c r="G20" s="1036" t="s">
        <v>638</v>
      </c>
      <c r="H20" s="1037">
        <v>265</v>
      </c>
      <c r="I20" s="47">
        <f t="shared" si="1"/>
        <v>59.019999999999953</v>
      </c>
    </row>
    <row r="21" spans="1:9" x14ac:dyDescent="0.25">
      <c r="B21" s="613">
        <f t="shared" si="3"/>
        <v>13</v>
      </c>
      <c r="C21" s="243"/>
      <c r="D21" s="1042">
        <v>0</v>
      </c>
      <c r="E21" s="1068"/>
      <c r="F21" s="1069">
        <f t="shared" si="0"/>
        <v>0</v>
      </c>
      <c r="G21" s="1036"/>
      <c r="H21" s="1037"/>
      <c r="I21" s="47">
        <f t="shared" si="1"/>
        <v>59.019999999999953</v>
      </c>
    </row>
    <row r="22" spans="1:9" x14ac:dyDescent="0.25">
      <c r="B22" s="613">
        <f t="shared" si="3"/>
        <v>13</v>
      </c>
      <c r="C22" s="243"/>
      <c r="D22" s="1042">
        <v>0</v>
      </c>
      <c r="E22" s="1068"/>
      <c r="F22" s="1069">
        <f t="shared" si="0"/>
        <v>0</v>
      </c>
      <c r="G22" s="1036"/>
      <c r="H22" s="1037"/>
      <c r="I22" s="47">
        <f t="shared" si="1"/>
        <v>59.019999999999953</v>
      </c>
    </row>
    <row r="23" spans="1:9" x14ac:dyDescent="0.25">
      <c r="B23" s="613">
        <f t="shared" si="3"/>
        <v>13</v>
      </c>
      <c r="C23" s="263"/>
      <c r="D23" s="1042">
        <v>0</v>
      </c>
      <c r="E23" s="1068"/>
      <c r="F23" s="1069">
        <f t="shared" si="0"/>
        <v>0</v>
      </c>
      <c r="G23" s="1036"/>
      <c r="H23" s="1037"/>
      <c r="I23" s="47">
        <f t="shared" si="1"/>
        <v>59.019999999999953</v>
      </c>
    </row>
    <row r="24" spans="1:9" x14ac:dyDescent="0.25">
      <c r="B24" s="613">
        <f t="shared" si="3"/>
        <v>13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59.019999999999953</v>
      </c>
    </row>
    <row r="25" spans="1:9" x14ac:dyDescent="0.25">
      <c r="B25" s="613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3">
        <f t="shared" si="3"/>
        <v>13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05" t="s">
        <v>21</v>
      </c>
      <c r="E29" s="1206"/>
      <c r="F29" s="141">
        <f>E5+E6-F27+E7+E4</f>
        <v>59.020000000000046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LI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15" t="s">
        <v>215</v>
      </c>
      <c r="L1" s="1215"/>
      <c r="M1" s="1215"/>
      <c r="N1" s="1215"/>
      <c r="O1" s="1215"/>
      <c r="P1" s="1215"/>
      <c r="Q1" s="1215"/>
      <c r="R1" s="356">
        <f>I1+1</f>
        <v>1</v>
      </c>
      <c r="S1" s="356"/>
      <c r="U1" s="1209" t="str">
        <f>K1</f>
        <v>ENTRADAS DEL MES DE   MAYO  2022</v>
      </c>
      <c r="V1" s="1209"/>
      <c r="W1" s="1209"/>
      <c r="X1" s="1209"/>
      <c r="Y1" s="1209"/>
      <c r="Z1" s="1209"/>
      <c r="AA1" s="1209"/>
      <c r="AB1" s="356">
        <f>R1+1</f>
        <v>2</v>
      </c>
      <c r="AC1" s="571"/>
      <c r="AE1" s="1209" t="str">
        <f>U1</f>
        <v>ENTRADAS DEL MES DE   MAYO  2022</v>
      </c>
      <c r="AF1" s="1209"/>
      <c r="AG1" s="1209"/>
      <c r="AH1" s="1209"/>
      <c r="AI1" s="1209"/>
      <c r="AJ1" s="1209"/>
      <c r="AK1" s="1209"/>
      <c r="AL1" s="356">
        <f>AB1+1</f>
        <v>3</v>
      </c>
      <c r="AM1" s="356"/>
      <c r="AO1" s="1209" t="str">
        <f>AE1</f>
        <v>ENTRADAS DEL MES DE   MAYO  2022</v>
      </c>
      <c r="AP1" s="1209"/>
      <c r="AQ1" s="1209"/>
      <c r="AR1" s="1209"/>
      <c r="AS1" s="1209"/>
      <c r="AT1" s="1209"/>
      <c r="AU1" s="1209"/>
      <c r="AV1" s="356">
        <f>AL1+1</f>
        <v>4</v>
      </c>
      <c r="AW1" s="571"/>
      <c r="AY1" s="1209" t="str">
        <f>AO1</f>
        <v>ENTRADAS DEL MES DE   MAYO  2022</v>
      </c>
      <c r="AZ1" s="1209"/>
      <c r="BA1" s="1209"/>
      <c r="BB1" s="1209"/>
      <c r="BC1" s="1209"/>
      <c r="BD1" s="1209"/>
      <c r="BE1" s="1209"/>
      <c r="BF1" s="356">
        <f>AV1+1</f>
        <v>5</v>
      </c>
      <c r="BG1" s="600"/>
      <c r="BI1" s="1209" t="str">
        <f>AY1</f>
        <v>ENTRADAS DEL MES DE   MAYO  2022</v>
      </c>
      <c r="BJ1" s="1209"/>
      <c r="BK1" s="1209"/>
      <c r="BL1" s="1209"/>
      <c r="BM1" s="1209"/>
      <c r="BN1" s="1209"/>
      <c r="BO1" s="1209"/>
      <c r="BP1" s="356">
        <f>BF1+1</f>
        <v>6</v>
      </c>
      <c r="BQ1" s="571"/>
      <c r="BS1" s="1209" t="str">
        <f>BI1</f>
        <v>ENTRADAS DEL MES DE   MAYO  2022</v>
      </c>
      <c r="BT1" s="1209"/>
      <c r="BU1" s="1209"/>
      <c r="BV1" s="1209"/>
      <c r="BW1" s="1209"/>
      <c r="BX1" s="1209"/>
      <c r="BY1" s="1209"/>
      <c r="BZ1" s="356">
        <f>BP1+1</f>
        <v>7</v>
      </c>
      <c r="CC1" s="1209" t="str">
        <f>BS1</f>
        <v>ENTRADAS DEL MES DE   MAYO  2022</v>
      </c>
      <c r="CD1" s="1209"/>
      <c r="CE1" s="1209"/>
      <c r="CF1" s="1209"/>
      <c r="CG1" s="1209"/>
      <c r="CH1" s="1209"/>
      <c r="CI1" s="1209"/>
      <c r="CJ1" s="356">
        <f>BZ1+1</f>
        <v>8</v>
      </c>
      <c r="CM1" s="1209" t="str">
        <f>CC1</f>
        <v>ENTRADAS DEL MES DE   MAYO  2022</v>
      </c>
      <c r="CN1" s="1209"/>
      <c r="CO1" s="1209"/>
      <c r="CP1" s="1209"/>
      <c r="CQ1" s="1209"/>
      <c r="CR1" s="1209"/>
      <c r="CS1" s="1209"/>
      <c r="CT1" s="356">
        <f>CJ1+1</f>
        <v>9</v>
      </c>
      <c r="CU1" s="571"/>
      <c r="CW1" s="1209" t="str">
        <f>CM1</f>
        <v>ENTRADAS DEL MES DE   MAYO  2022</v>
      </c>
      <c r="CX1" s="1209"/>
      <c r="CY1" s="1209"/>
      <c r="CZ1" s="1209"/>
      <c r="DA1" s="1209"/>
      <c r="DB1" s="1209"/>
      <c r="DC1" s="1209"/>
      <c r="DD1" s="356">
        <f>CT1+1</f>
        <v>10</v>
      </c>
      <c r="DE1" s="571"/>
      <c r="DG1" s="1209" t="str">
        <f>CW1</f>
        <v>ENTRADAS DEL MES DE   MAYO  2022</v>
      </c>
      <c r="DH1" s="1209"/>
      <c r="DI1" s="1209"/>
      <c r="DJ1" s="1209"/>
      <c r="DK1" s="1209"/>
      <c r="DL1" s="1209"/>
      <c r="DM1" s="1209"/>
      <c r="DN1" s="356">
        <f>DD1+1</f>
        <v>11</v>
      </c>
      <c r="DO1" s="571"/>
      <c r="DQ1" s="1209" t="str">
        <f>DG1</f>
        <v>ENTRADAS DEL MES DE   MAYO  2022</v>
      </c>
      <c r="DR1" s="1209"/>
      <c r="DS1" s="1209"/>
      <c r="DT1" s="1209"/>
      <c r="DU1" s="1209"/>
      <c r="DV1" s="1209"/>
      <c r="DW1" s="1209"/>
      <c r="DX1" s="356">
        <f>DN1+1</f>
        <v>12</v>
      </c>
      <c r="EA1" s="1209" t="str">
        <f>DQ1</f>
        <v>ENTRADAS DEL MES DE   MAYO  2022</v>
      </c>
      <c r="EB1" s="1209"/>
      <c r="EC1" s="1209"/>
      <c r="ED1" s="1209"/>
      <c r="EE1" s="1209"/>
      <c r="EF1" s="1209"/>
      <c r="EG1" s="1209"/>
      <c r="EH1" s="356">
        <f>DX1+1</f>
        <v>13</v>
      </c>
      <c r="EI1" s="571"/>
      <c r="EK1" s="1209" t="str">
        <f>EA1</f>
        <v>ENTRADAS DEL MES DE   MAYO  2022</v>
      </c>
      <c r="EL1" s="1209"/>
      <c r="EM1" s="1209"/>
      <c r="EN1" s="1209"/>
      <c r="EO1" s="1209"/>
      <c r="EP1" s="1209"/>
      <c r="EQ1" s="1209"/>
      <c r="ER1" s="356">
        <f>EH1+1</f>
        <v>14</v>
      </c>
      <c r="ES1" s="571"/>
      <c r="EU1" s="1209" t="str">
        <f>EK1</f>
        <v>ENTRADAS DEL MES DE   MAYO  2022</v>
      </c>
      <c r="EV1" s="1209"/>
      <c r="EW1" s="1209"/>
      <c r="EX1" s="1209"/>
      <c r="EY1" s="1209"/>
      <c r="EZ1" s="1209"/>
      <c r="FA1" s="1209"/>
      <c r="FB1" s="356">
        <f>ER1+1</f>
        <v>15</v>
      </c>
      <c r="FC1" s="571"/>
      <c r="FE1" s="1209" t="str">
        <f>EU1</f>
        <v>ENTRADAS DEL MES DE   MAYO  2022</v>
      </c>
      <c r="FF1" s="1209"/>
      <c r="FG1" s="1209"/>
      <c r="FH1" s="1209"/>
      <c r="FI1" s="1209"/>
      <c r="FJ1" s="1209"/>
      <c r="FK1" s="1209"/>
      <c r="FL1" s="356">
        <f>FB1+1</f>
        <v>16</v>
      </c>
      <c r="FM1" s="571"/>
      <c r="FO1" s="1209" t="str">
        <f>FE1</f>
        <v>ENTRADAS DEL MES DE   MAYO  2022</v>
      </c>
      <c r="FP1" s="1209"/>
      <c r="FQ1" s="1209"/>
      <c r="FR1" s="1209"/>
      <c r="FS1" s="1209"/>
      <c r="FT1" s="1209"/>
      <c r="FU1" s="1209"/>
      <c r="FV1" s="356">
        <f>FL1+1</f>
        <v>17</v>
      </c>
      <c r="FW1" s="571"/>
      <c r="FY1" s="1209" t="str">
        <f>FO1</f>
        <v>ENTRADAS DEL MES DE   MAYO  2022</v>
      </c>
      <c r="FZ1" s="1209"/>
      <c r="GA1" s="1209"/>
      <c r="GB1" s="1209"/>
      <c r="GC1" s="1209"/>
      <c r="GD1" s="1209"/>
      <c r="GE1" s="1209"/>
      <c r="GF1" s="356">
        <f>FV1+1</f>
        <v>18</v>
      </c>
      <c r="GG1" s="571"/>
      <c r="GH1" s="75" t="s">
        <v>37</v>
      </c>
      <c r="GI1" s="1209" t="str">
        <f>FY1</f>
        <v>ENTRADAS DEL MES DE   MAYO  2022</v>
      </c>
      <c r="GJ1" s="1209"/>
      <c r="GK1" s="1209"/>
      <c r="GL1" s="1209"/>
      <c r="GM1" s="1209"/>
      <c r="GN1" s="1209"/>
      <c r="GO1" s="1209"/>
      <c r="GP1" s="356">
        <f>GF1+1</f>
        <v>19</v>
      </c>
      <c r="GQ1" s="571"/>
      <c r="GS1" s="1209" t="str">
        <f>GI1</f>
        <v>ENTRADAS DEL MES DE   MAYO  2022</v>
      </c>
      <c r="GT1" s="1209"/>
      <c r="GU1" s="1209"/>
      <c r="GV1" s="1209"/>
      <c r="GW1" s="1209"/>
      <c r="GX1" s="1209"/>
      <c r="GY1" s="1209"/>
      <c r="GZ1" s="356">
        <f>GP1+1</f>
        <v>20</v>
      </c>
      <c r="HA1" s="571"/>
      <c r="HC1" s="1209" t="str">
        <f>GS1</f>
        <v>ENTRADAS DEL MES DE   MAYO  2022</v>
      </c>
      <c r="HD1" s="1209"/>
      <c r="HE1" s="1209"/>
      <c r="HF1" s="1209"/>
      <c r="HG1" s="1209"/>
      <c r="HH1" s="1209"/>
      <c r="HI1" s="1209"/>
      <c r="HJ1" s="356">
        <f>GZ1+1</f>
        <v>21</v>
      </c>
      <c r="HK1" s="571"/>
      <c r="HM1" s="1209" t="str">
        <f>HC1</f>
        <v>ENTRADAS DEL MES DE   MAYO  2022</v>
      </c>
      <c r="HN1" s="1209"/>
      <c r="HO1" s="1209"/>
      <c r="HP1" s="1209"/>
      <c r="HQ1" s="1209"/>
      <c r="HR1" s="1209"/>
      <c r="HS1" s="1209"/>
      <c r="HT1" s="356">
        <f>HJ1+1</f>
        <v>22</v>
      </c>
      <c r="HU1" s="571"/>
      <c r="HW1" s="1209" t="str">
        <f>HM1</f>
        <v>ENTRADAS DEL MES DE   MAYO  2022</v>
      </c>
      <c r="HX1" s="1209"/>
      <c r="HY1" s="1209"/>
      <c r="HZ1" s="1209"/>
      <c r="IA1" s="1209"/>
      <c r="IB1" s="1209"/>
      <c r="IC1" s="1209"/>
      <c r="ID1" s="356">
        <f>HT1+1</f>
        <v>23</v>
      </c>
      <c r="IE1" s="571"/>
      <c r="IG1" s="1209" t="str">
        <f>HW1</f>
        <v>ENTRADAS DEL MES DE   MAYO  2022</v>
      </c>
      <c r="IH1" s="1209"/>
      <c r="II1" s="1209"/>
      <c r="IJ1" s="1209"/>
      <c r="IK1" s="1209"/>
      <c r="IL1" s="1209"/>
      <c r="IM1" s="1209"/>
      <c r="IN1" s="356">
        <f>ID1+1</f>
        <v>24</v>
      </c>
      <c r="IO1" s="571"/>
      <c r="IQ1" s="1209" t="str">
        <f>IG1</f>
        <v>ENTRADAS DEL MES DE   MAYO  2022</v>
      </c>
      <c r="IR1" s="1209"/>
      <c r="IS1" s="1209"/>
      <c r="IT1" s="1209"/>
      <c r="IU1" s="1209"/>
      <c r="IV1" s="1209"/>
      <c r="IW1" s="1209"/>
      <c r="IX1" s="356">
        <f>IN1+1</f>
        <v>25</v>
      </c>
      <c r="IY1" s="571"/>
      <c r="JA1" s="1209" t="str">
        <f>IQ1</f>
        <v>ENTRADAS DEL MES DE   MAYO  2022</v>
      </c>
      <c r="JB1" s="1209"/>
      <c r="JC1" s="1209"/>
      <c r="JD1" s="1209"/>
      <c r="JE1" s="1209"/>
      <c r="JF1" s="1209"/>
      <c r="JG1" s="1209"/>
      <c r="JH1" s="356">
        <f>IX1+1</f>
        <v>26</v>
      </c>
      <c r="JI1" s="571"/>
      <c r="JK1" s="1212" t="str">
        <f>JA1</f>
        <v>ENTRADAS DEL MES DE   MAYO  2022</v>
      </c>
      <c r="JL1" s="1212"/>
      <c r="JM1" s="1212"/>
      <c r="JN1" s="1212"/>
      <c r="JO1" s="1212"/>
      <c r="JP1" s="1212"/>
      <c r="JQ1" s="1212"/>
      <c r="JR1" s="356">
        <f>JH1+1</f>
        <v>27</v>
      </c>
      <c r="JS1" s="571"/>
      <c r="JU1" s="1209" t="str">
        <f>JK1</f>
        <v>ENTRADAS DEL MES DE   MAYO  2022</v>
      </c>
      <c r="JV1" s="1209"/>
      <c r="JW1" s="1209"/>
      <c r="JX1" s="1209"/>
      <c r="JY1" s="1209"/>
      <c r="JZ1" s="1209"/>
      <c r="KA1" s="1209"/>
      <c r="KB1" s="356">
        <f>JR1+1</f>
        <v>28</v>
      </c>
      <c r="KC1" s="571"/>
      <c r="KE1" s="1209" t="str">
        <f>JU1</f>
        <v>ENTRADAS DEL MES DE   MAYO  2022</v>
      </c>
      <c r="KF1" s="1209"/>
      <c r="KG1" s="1209"/>
      <c r="KH1" s="1209"/>
      <c r="KI1" s="1209"/>
      <c r="KJ1" s="1209"/>
      <c r="KK1" s="1209"/>
      <c r="KL1" s="356">
        <f>KB1+1</f>
        <v>29</v>
      </c>
      <c r="KM1" s="571"/>
      <c r="KO1" s="1209" t="str">
        <f>KE1</f>
        <v>ENTRADAS DEL MES DE   MAYO  2022</v>
      </c>
      <c r="KP1" s="1209"/>
      <c r="KQ1" s="1209"/>
      <c r="KR1" s="1209"/>
      <c r="KS1" s="1209"/>
      <c r="KT1" s="1209"/>
      <c r="KU1" s="1209"/>
      <c r="KV1" s="356">
        <f>KL1+1</f>
        <v>30</v>
      </c>
      <c r="KW1" s="571"/>
      <c r="KY1" s="1209" t="str">
        <f>KO1</f>
        <v>ENTRADAS DEL MES DE   MAYO  2022</v>
      </c>
      <c r="KZ1" s="1209"/>
      <c r="LA1" s="1209"/>
      <c r="LB1" s="1209"/>
      <c r="LC1" s="1209"/>
      <c r="LD1" s="1209"/>
      <c r="LE1" s="1209"/>
      <c r="LF1" s="356">
        <f>KV1+1</f>
        <v>31</v>
      </c>
      <c r="LG1" s="571"/>
      <c r="LI1" s="1209" t="str">
        <f>KY1</f>
        <v>ENTRADAS DEL MES DE   MAYO  2022</v>
      </c>
      <c r="LJ1" s="1209"/>
      <c r="LK1" s="1209"/>
      <c r="LL1" s="1209"/>
      <c r="LM1" s="1209"/>
      <c r="LN1" s="1209"/>
      <c r="LO1" s="1209"/>
      <c r="LP1" s="356">
        <f>LF1+1</f>
        <v>32</v>
      </c>
      <c r="LQ1" s="571"/>
      <c r="LS1" s="1209" t="str">
        <f>LI1</f>
        <v>ENTRADAS DEL MES DE   MAYO  2022</v>
      </c>
      <c r="LT1" s="1209"/>
      <c r="LU1" s="1209"/>
      <c r="LV1" s="1209"/>
      <c r="LW1" s="1209"/>
      <c r="LX1" s="1209"/>
      <c r="LY1" s="1209"/>
      <c r="LZ1" s="356">
        <f>LP1+1</f>
        <v>33</v>
      </c>
      <c r="MC1" s="1209" t="str">
        <f>LS1</f>
        <v>ENTRADAS DEL MES DE   MAYO  2022</v>
      </c>
      <c r="MD1" s="1209"/>
      <c r="ME1" s="1209"/>
      <c r="MF1" s="1209"/>
      <c r="MG1" s="1209"/>
      <c r="MH1" s="1209"/>
      <c r="MI1" s="1209"/>
      <c r="MJ1" s="356">
        <f>LZ1+1</f>
        <v>34</v>
      </c>
      <c r="MK1" s="356"/>
      <c r="MM1" s="1209" t="str">
        <f>MC1</f>
        <v>ENTRADAS DEL MES DE   MAYO  2022</v>
      </c>
      <c r="MN1" s="1209"/>
      <c r="MO1" s="1209"/>
      <c r="MP1" s="1209"/>
      <c r="MQ1" s="1209"/>
      <c r="MR1" s="1209"/>
      <c r="MS1" s="1209"/>
      <c r="MT1" s="356">
        <f>MJ1+1</f>
        <v>35</v>
      </c>
      <c r="MU1" s="356"/>
      <c r="MW1" s="1209" t="str">
        <f>MM1</f>
        <v>ENTRADAS DEL MES DE   MAYO  2022</v>
      </c>
      <c r="MX1" s="1209"/>
      <c r="MY1" s="1209"/>
      <c r="MZ1" s="1209"/>
      <c r="NA1" s="1209"/>
      <c r="NB1" s="1209"/>
      <c r="NC1" s="1209"/>
      <c r="ND1" s="356">
        <f>MT1+1</f>
        <v>36</v>
      </c>
      <c r="NE1" s="356"/>
      <c r="NG1" s="1209" t="str">
        <f>MW1</f>
        <v>ENTRADAS DEL MES DE   MAYO  2022</v>
      </c>
      <c r="NH1" s="1209"/>
      <c r="NI1" s="1209"/>
      <c r="NJ1" s="1209"/>
      <c r="NK1" s="1209"/>
      <c r="NL1" s="1209"/>
      <c r="NM1" s="1209"/>
      <c r="NN1" s="356">
        <f>ND1+1</f>
        <v>37</v>
      </c>
      <c r="NO1" s="356"/>
      <c r="NQ1" s="1209" t="str">
        <f>NG1</f>
        <v>ENTRADAS DEL MES DE   MAYO  2022</v>
      </c>
      <c r="NR1" s="1209"/>
      <c r="NS1" s="1209"/>
      <c r="NT1" s="1209"/>
      <c r="NU1" s="1209"/>
      <c r="NV1" s="1209"/>
      <c r="NW1" s="1209"/>
      <c r="NX1" s="356">
        <f>NN1+1</f>
        <v>38</v>
      </c>
      <c r="NY1" s="356"/>
      <c r="OA1" s="1209" t="str">
        <f>NQ1</f>
        <v>ENTRADAS DEL MES DE   MAYO  2022</v>
      </c>
      <c r="OB1" s="1209"/>
      <c r="OC1" s="1209"/>
      <c r="OD1" s="1209"/>
      <c r="OE1" s="1209"/>
      <c r="OF1" s="1209"/>
      <c r="OG1" s="1209"/>
      <c r="OH1" s="356">
        <f>NX1+1</f>
        <v>39</v>
      </c>
      <c r="OI1" s="356"/>
      <c r="OK1" s="1209" t="str">
        <f>OA1</f>
        <v>ENTRADAS DEL MES DE   MAYO  2022</v>
      </c>
      <c r="OL1" s="1209"/>
      <c r="OM1" s="1209"/>
      <c r="ON1" s="1209"/>
      <c r="OO1" s="1209"/>
      <c r="OP1" s="1209"/>
      <c r="OQ1" s="1209"/>
      <c r="OR1" s="356">
        <f>OH1+1</f>
        <v>40</v>
      </c>
      <c r="OS1" s="356"/>
      <c r="OU1" s="1209" t="str">
        <f>OK1</f>
        <v>ENTRADAS DEL MES DE   MAYO  2022</v>
      </c>
      <c r="OV1" s="1209"/>
      <c r="OW1" s="1209"/>
      <c r="OX1" s="1209"/>
      <c r="OY1" s="1209"/>
      <c r="OZ1" s="1209"/>
      <c r="PA1" s="1209"/>
      <c r="PB1" s="356">
        <f>OR1+1</f>
        <v>41</v>
      </c>
      <c r="PC1" s="356"/>
      <c r="PE1" s="1209" t="str">
        <f>OU1</f>
        <v>ENTRADAS DEL MES DE   MAYO  2022</v>
      </c>
      <c r="PF1" s="1209"/>
      <c r="PG1" s="1209"/>
      <c r="PH1" s="1209"/>
      <c r="PI1" s="1209"/>
      <c r="PJ1" s="1209"/>
      <c r="PK1" s="1209"/>
      <c r="PL1" s="356">
        <f>PB1+1</f>
        <v>42</v>
      </c>
      <c r="PM1" s="356"/>
      <c r="PO1" s="1209" t="str">
        <f>PE1</f>
        <v>ENTRADAS DEL MES DE   MAYO  2022</v>
      </c>
      <c r="PP1" s="1209"/>
      <c r="PQ1" s="1209"/>
      <c r="PR1" s="1209"/>
      <c r="PS1" s="1209"/>
      <c r="PT1" s="1209"/>
      <c r="PU1" s="1209"/>
      <c r="PV1" s="356">
        <f>PL1+1</f>
        <v>43</v>
      </c>
      <c r="PX1" s="1209" t="str">
        <f>PO1</f>
        <v>ENTRADAS DEL MES DE   MAYO  2022</v>
      </c>
      <c r="PY1" s="1209"/>
      <c r="PZ1" s="1209"/>
      <c r="QA1" s="1209"/>
      <c r="QB1" s="1209"/>
      <c r="QC1" s="1209"/>
      <c r="QD1" s="1209"/>
      <c r="QE1" s="356">
        <f>PV1+1</f>
        <v>44</v>
      </c>
      <c r="QG1" s="1209" t="str">
        <f>PX1</f>
        <v>ENTRADAS DEL MES DE   MAYO  2022</v>
      </c>
      <c r="QH1" s="1209"/>
      <c r="QI1" s="1209"/>
      <c r="QJ1" s="1209"/>
      <c r="QK1" s="1209"/>
      <c r="QL1" s="1209"/>
      <c r="QM1" s="1209"/>
      <c r="QN1" s="356">
        <f>QE1+1</f>
        <v>45</v>
      </c>
      <c r="QP1" s="1209" t="str">
        <f>QG1</f>
        <v>ENTRADAS DEL MES DE   MAYO  2022</v>
      </c>
      <c r="QQ1" s="1209"/>
      <c r="QR1" s="1209"/>
      <c r="QS1" s="1209"/>
      <c r="QT1" s="1209"/>
      <c r="QU1" s="1209"/>
      <c r="QV1" s="1209"/>
      <c r="QW1" s="356">
        <f>QN1+1</f>
        <v>46</v>
      </c>
      <c r="QY1" s="1209" t="str">
        <f>QP1</f>
        <v>ENTRADAS DEL MES DE   MAYO  2022</v>
      </c>
      <c r="QZ1" s="1209"/>
      <c r="RA1" s="1209"/>
      <c r="RB1" s="1209"/>
      <c r="RC1" s="1209"/>
      <c r="RD1" s="1209"/>
      <c r="RE1" s="1209"/>
      <c r="RF1" s="356">
        <f>QW1+1</f>
        <v>47</v>
      </c>
      <c r="RH1" s="1209" t="str">
        <f>QY1</f>
        <v>ENTRADAS DEL MES DE   MAYO  2022</v>
      </c>
      <c r="RI1" s="1209"/>
      <c r="RJ1" s="1209"/>
      <c r="RK1" s="1209"/>
      <c r="RL1" s="1209"/>
      <c r="RM1" s="1209"/>
      <c r="RN1" s="1209"/>
      <c r="RO1" s="356">
        <f>RF1+1</f>
        <v>48</v>
      </c>
      <c r="RQ1" s="1209" t="str">
        <f>RH1</f>
        <v>ENTRADAS DEL MES DE   MAYO  2022</v>
      </c>
      <c r="RR1" s="1209"/>
      <c r="RS1" s="1209"/>
      <c r="RT1" s="1209"/>
      <c r="RU1" s="1209"/>
      <c r="RV1" s="1209"/>
      <c r="RW1" s="1209"/>
      <c r="RX1" s="356">
        <f>RO1+1</f>
        <v>49</v>
      </c>
      <c r="RZ1" s="1209" t="str">
        <f>RQ1</f>
        <v>ENTRADAS DEL MES DE   MAYO  2022</v>
      </c>
      <c r="SA1" s="1209"/>
      <c r="SB1" s="1209"/>
      <c r="SC1" s="1209"/>
      <c r="SD1" s="1209"/>
      <c r="SE1" s="1209"/>
      <c r="SF1" s="1209"/>
      <c r="SG1" s="356">
        <f>RX1+1</f>
        <v>50</v>
      </c>
      <c r="SI1" s="1209" t="str">
        <f>RZ1</f>
        <v>ENTRADAS DEL MES DE   MAYO  2022</v>
      </c>
      <c r="SJ1" s="1209"/>
      <c r="SK1" s="1209"/>
      <c r="SL1" s="1209"/>
      <c r="SM1" s="1209"/>
      <c r="SN1" s="1209"/>
      <c r="SO1" s="1209"/>
      <c r="SP1" s="356">
        <f>SG1+1</f>
        <v>51</v>
      </c>
      <c r="SR1" s="1209" t="str">
        <f>SI1</f>
        <v>ENTRADAS DEL MES DE   MAYO  2022</v>
      </c>
      <c r="SS1" s="1209"/>
      <c r="ST1" s="1209"/>
      <c r="SU1" s="1209"/>
      <c r="SV1" s="1209"/>
      <c r="SW1" s="1209"/>
      <c r="SX1" s="1209"/>
      <c r="SY1" s="356">
        <f>SP1+1</f>
        <v>52</v>
      </c>
      <c r="TA1" s="1209" t="str">
        <f>SR1</f>
        <v>ENTRADAS DEL MES DE   MAYO  2022</v>
      </c>
      <c r="TB1" s="1209"/>
      <c r="TC1" s="1209"/>
      <c r="TD1" s="1209"/>
      <c r="TE1" s="1209"/>
      <c r="TF1" s="1209"/>
      <c r="TG1" s="1209"/>
      <c r="TH1" s="356">
        <f>SY1+1</f>
        <v>53</v>
      </c>
      <c r="TJ1" s="1209" t="str">
        <f>TA1</f>
        <v>ENTRADAS DEL MES DE   MAYO  2022</v>
      </c>
      <c r="TK1" s="1209"/>
      <c r="TL1" s="1209"/>
      <c r="TM1" s="1209"/>
      <c r="TN1" s="1209"/>
      <c r="TO1" s="1209"/>
      <c r="TP1" s="1209"/>
      <c r="TQ1" s="356">
        <f>TH1+1</f>
        <v>54</v>
      </c>
      <c r="TS1" s="1209" t="str">
        <f>TJ1</f>
        <v>ENTRADAS DEL MES DE   MAYO  2022</v>
      </c>
      <c r="TT1" s="1209"/>
      <c r="TU1" s="1209"/>
      <c r="TV1" s="1209"/>
      <c r="TW1" s="1209"/>
      <c r="TX1" s="1209"/>
      <c r="TY1" s="1209"/>
      <c r="TZ1" s="356">
        <f>TQ1+1</f>
        <v>55</v>
      </c>
      <c r="UB1" s="1209" t="str">
        <f>TS1</f>
        <v>ENTRADAS DEL MES DE   MAYO  2022</v>
      </c>
      <c r="UC1" s="1209"/>
      <c r="UD1" s="1209"/>
      <c r="UE1" s="1209"/>
      <c r="UF1" s="1209"/>
      <c r="UG1" s="1209"/>
      <c r="UH1" s="1209"/>
      <c r="UI1" s="356">
        <f>TZ1+1</f>
        <v>56</v>
      </c>
      <c r="UK1" s="1209" t="str">
        <f>UB1</f>
        <v>ENTRADAS DEL MES DE   MAYO  2022</v>
      </c>
      <c r="UL1" s="1209"/>
      <c r="UM1" s="1209"/>
      <c r="UN1" s="1209"/>
      <c r="UO1" s="1209"/>
      <c r="UP1" s="1209"/>
      <c r="UQ1" s="1209"/>
      <c r="UR1" s="356">
        <f>UI1+1</f>
        <v>57</v>
      </c>
      <c r="UT1" s="1209" t="str">
        <f>UK1</f>
        <v>ENTRADAS DEL MES DE   MAYO  2022</v>
      </c>
      <c r="UU1" s="1209"/>
      <c r="UV1" s="1209"/>
      <c r="UW1" s="1209"/>
      <c r="UX1" s="1209"/>
      <c r="UY1" s="1209"/>
      <c r="UZ1" s="1209"/>
      <c r="VA1" s="356">
        <f>UR1+1</f>
        <v>58</v>
      </c>
      <c r="VC1" s="1209" t="str">
        <f>UT1</f>
        <v>ENTRADAS DEL MES DE   MAYO  2022</v>
      </c>
      <c r="VD1" s="1209"/>
      <c r="VE1" s="1209"/>
      <c r="VF1" s="1209"/>
      <c r="VG1" s="1209"/>
      <c r="VH1" s="1209"/>
      <c r="VI1" s="1209"/>
      <c r="VJ1" s="356">
        <f>VA1+1</f>
        <v>59</v>
      </c>
      <c r="VL1" s="1209" t="str">
        <f>VC1</f>
        <v>ENTRADAS DEL MES DE   MAYO  2022</v>
      </c>
      <c r="VM1" s="1209"/>
      <c r="VN1" s="1209"/>
      <c r="VO1" s="1209"/>
      <c r="VP1" s="1209"/>
      <c r="VQ1" s="1209"/>
      <c r="VR1" s="1209"/>
      <c r="VS1" s="356">
        <f>VJ1+1</f>
        <v>60</v>
      </c>
      <c r="VU1" s="1209" t="str">
        <f>VL1</f>
        <v>ENTRADAS DEL MES DE   MAYO  2022</v>
      </c>
      <c r="VV1" s="1209"/>
      <c r="VW1" s="1209"/>
      <c r="VX1" s="1209"/>
      <c r="VY1" s="1209"/>
      <c r="VZ1" s="1209"/>
      <c r="WA1" s="1209"/>
      <c r="WB1" s="356">
        <f>VS1+1</f>
        <v>61</v>
      </c>
      <c r="WD1" s="1209" t="str">
        <f>VU1</f>
        <v>ENTRADAS DEL MES DE   MAYO  2022</v>
      </c>
      <c r="WE1" s="1209"/>
      <c r="WF1" s="1209"/>
      <c r="WG1" s="1209"/>
      <c r="WH1" s="1209"/>
      <c r="WI1" s="1209"/>
      <c r="WJ1" s="1209"/>
      <c r="WK1" s="356">
        <f>WB1+1</f>
        <v>62</v>
      </c>
      <c r="WM1" s="1209" t="str">
        <f>WD1</f>
        <v>ENTRADAS DEL MES DE   MAYO  2022</v>
      </c>
      <c r="WN1" s="1209"/>
      <c r="WO1" s="1209"/>
      <c r="WP1" s="1209"/>
      <c r="WQ1" s="1209"/>
      <c r="WR1" s="1209"/>
      <c r="WS1" s="1209"/>
      <c r="WT1" s="356">
        <f>WK1+1</f>
        <v>63</v>
      </c>
      <c r="WV1" s="1209" t="str">
        <f>WM1</f>
        <v>ENTRADAS DEL MES DE   MAYO  2022</v>
      </c>
      <c r="WW1" s="1209"/>
      <c r="WX1" s="1209"/>
      <c r="WY1" s="1209"/>
      <c r="WZ1" s="1209"/>
      <c r="XA1" s="1209"/>
      <c r="XB1" s="1209"/>
      <c r="XC1" s="356">
        <f>WT1+1</f>
        <v>64</v>
      </c>
      <c r="XE1" s="1209" t="str">
        <f>WV1</f>
        <v>ENTRADAS DEL MES DE   MAYO  2022</v>
      </c>
      <c r="XF1" s="1209"/>
      <c r="XG1" s="1209"/>
      <c r="XH1" s="1209"/>
      <c r="XI1" s="1209"/>
      <c r="XJ1" s="1209"/>
      <c r="XK1" s="1209"/>
      <c r="XL1" s="356">
        <f>XC1+1</f>
        <v>65</v>
      </c>
      <c r="XN1" s="1209" t="str">
        <f>XE1</f>
        <v>ENTRADAS DEL MES DE   MAYO  2022</v>
      </c>
      <c r="XO1" s="1209"/>
      <c r="XP1" s="1209"/>
      <c r="XQ1" s="1209"/>
      <c r="XR1" s="1209"/>
      <c r="XS1" s="1209"/>
      <c r="XT1" s="1209"/>
      <c r="XU1" s="356">
        <f>XL1+1</f>
        <v>66</v>
      </c>
      <c r="XW1" s="1209" t="str">
        <f>XN1</f>
        <v>ENTRADAS DEL MES DE   MAYO  2022</v>
      </c>
      <c r="XX1" s="1209"/>
      <c r="XY1" s="1209"/>
      <c r="XZ1" s="1209"/>
      <c r="YA1" s="1209"/>
      <c r="YB1" s="1209"/>
      <c r="YC1" s="1209"/>
      <c r="YD1" s="356">
        <f>XU1+1</f>
        <v>67</v>
      </c>
      <c r="YF1" s="1209" t="str">
        <f>XW1</f>
        <v>ENTRADAS DEL MES DE   MAYO  2022</v>
      </c>
      <c r="YG1" s="1209"/>
      <c r="YH1" s="1209"/>
      <c r="YI1" s="1209"/>
      <c r="YJ1" s="1209"/>
      <c r="YK1" s="1209"/>
      <c r="YL1" s="1209"/>
      <c r="YM1" s="356">
        <f>YD1+1</f>
        <v>68</v>
      </c>
      <c r="YO1" s="1209" t="str">
        <f>YF1</f>
        <v>ENTRADAS DEL MES DE   MAYO  2022</v>
      </c>
      <c r="YP1" s="1209"/>
      <c r="YQ1" s="1209"/>
      <c r="YR1" s="1209"/>
      <c r="YS1" s="1209"/>
      <c r="YT1" s="1209"/>
      <c r="YU1" s="1209"/>
      <c r="YV1" s="356">
        <f>YM1+1</f>
        <v>69</v>
      </c>
      <c r="YX1" s="1209" t="str">
        <f>YO1</f>
        <v>ENTRADAS DEL MES DE   MAYO  2022</v>
      </c>
      <c r="YY1" s="1209"/>
      <c r="YZ1" s="1209"/>
      <c r="ZA1" s="1209"/>
      <c r="ZB1" s="1209"/>
      <c r="ZC1" s="1209"/>
      <c r="ZD1" s="1209"/>
      <c r="ZE1" s="356">
        <f>YV1+1</f>
        <v>70</v>
      </c>
      <c r="ZG1" s="1209" t="str">
        <f>YX1</f>
        <v>ENTRADAS DEL MES DE   MAYO  2022</v>
      </c>
      <c r="ZH1" s="1209"/>
      <c r="ZI1" s="1209"/>
      <c r="ZJ1" s="1209"/>
      <c r="ZK1" s="1209"/>
      <c r="ZL1" s="1209"/>
      <c r="ZM1" s="1209"/>
      <c r="ZN1" s="356">
        <f>ZE1+1</f>
        <v>71</v>
      </c>
      <c r="ZP1" s="1209" t="str">
        <f>ZG1</f>
        <v>ENTRADAS DEL MES DE   MAYO  2022</v>
      </c>
      <c r="ZQ1" s="1209"/>
      <c r="ZR1" s="1209"/>
      <c r="ZS1" s="1209"/>
      <c r="ZT1" s="1209"/>
      <c r="ZU1" s="1209"/>
      <c r="ZV1" s="1209"/>
      <c r="ZW1" s="356">
        <f>ZN1+1</f>
        <v>72</v>
      </c>
      <c r="ZY1" s="1209" t="str">
        <f>ZP1</f>
        <v>ENTRADAS DEL MES DE   MAYO  2022</v>
      </c>
      <c r="ZZ1" s="1209"/>
      <c r="AAA1" s="1209"/>
      <c r="AAB1" s="1209"/>
      <c r="AAC1" s="1209"/>
      <c r="AAD1" s="1209"/>
      <c r="AAE1" s="1209"/>
      <c r="AAF1" s="356">
        <f>ZW1+1</f>
        <v>73</v>
      </c>
      <c r="AAH1" s="1209" t="str">
        <f>ZY1</f>
        <v>ENTRADAS DEL MES DE   MAYO  2022</v>
      </c>
      <c r="AAI1" s="1209"/>
      <c r="AAJ1" s="1209"/>
      <c r="AAK1" s="1209"/>
      <c r="AAL1" s="1209"/>
      <c r="AAM1" s="1209"/>
      <c r="AAN1" s="1209"/>
      <c r="AAO1" s="356">
        <f>AAF1+1</f>
        <v>74</v>
      </c>
      <c r="AAQ1" s="1209" t="str">
        <f>AAH1</f>
        <v>ENTRADAS DEL MES DE   MAYO  2022</v>
      </c>
      <c r="AAR1" s="1209"/>
      <c r="AAS1" s="1209"/>
      <c r="AAT1" s="1209"/>
      <c r="AAU1" s="1209"/>
      <c r="AAV1" s="1209"/>
      <c r="AAW1" s="1209"/>
      <c r="AAX1" s="356">
        <f>AAO1+1</f>
        <v>75</v>
      </c>
      <c r="AAZ1" s="1209" t="str">
        <f>AAQ1</f>
        <v>ENTRADAS DEL MES DE   MAYO  2022</v>
      </c>
      <c r="ABA1" s="1209"/>
      <c r="ABB1" s="1209"/>
      <c r="ABC1" s="1209"/>
      <c r="ABD1" s="1209"/>
      <c r="ABE1" s="1209"/>
      <c r="ABF1" s="1209"/>
      <c r="ABG1" s="356">
        <f>AAX1+1</f>
        <v>76</v>
      </c>
      <c r="ABI1" s="1209" t="str">
        <f>AAZ1</f>
        <v>ENTRADAS DEL MES DE   MAYO  2022</v>
      </c>
      <c r="ABJ1" s="1209"/>
      <c r="ABK1" s="1209"/>
      <c r="ABL1" s="1209"/>
      <c r="ABM1" s="1209"/>
      <c r="ABN1" s="1209"/>
      <c r="ABO1" s="1209"/>
      <c r="ABP1" s="356">
        <f>ABG1+1</f>
        <v>77</v>
      </c>
      <c r="ABR1" s="1209" t="str">
        <f>ABI1</f>
        <v>ENTRADAS DEL MES DE   MAYO  2022</v>
      </c>
      <c r="ABS1" s="1209"/>
      <c r="ABT1" s="1209"/>
      <c r="ABU1" s="1209"/>
      <c r="ABV1" s="1209"/>
      <c r="ABW1" s="1209"/>
      <c r="ABX1" s="1209"/>
      <c r="ABY1" s="356">
        <f>ABP1+1</f>
        <v>78</v>
      </c>
      <c r="ACA1" s="1209" t="str">
        <f>ABR1</f>
        <v>ENTRADAS DEL MES DE   MAYO  2022</v>
      </c>
      <c r="ACB1" s="1209"/>
      <c r="ACC1" s="1209"/>
      <c r="ACD1" s="1209"/>
      <c r="ACE1" s="1209"/>
      <c r="ACF1" s="1209"/>
      <c r="ACG1" s="1209"/>
      <c r="ACH1" s="356">
        <f>ABY1+1</f>
        <v>79</v>
      </c>
      <c r="ACJ1" s="1209" t="str">
        <f>ACA1</f>
        <v>ENTRADAS DEL MES DE   MAYO  2022</v>
      </c>
      <c r="ACK1" s="1209"/>
      <c r="ACL1" s="1209"/>
      <c r="ACM1" s="1209"/>
      <c r="ACN1" s="1209"/>
      <c r="ACO1" s="1209"/>
      <c r="ACP1" s="1209"/>
      <c r="ACQ1" s="356">
        <f>ACH1+1</f>
        <v>80</v>
      </c>
      <c r="ACS1" s="1209" t="str">
        <f>ACJ1</f>
        <v>ENTRADAS DEL MES DE   MAYO  2022</v>
      </c>
      <c r="ACT1" s="1209"/>
      <c r="ACU1" s="1209"/>
      <c r="ACV1" s="1209"/>
      <c r="ACW1" s="1209"/>
      <c r="ACX1" s="1209"/>
      <c r="ACY1" s="1209"/>
      <c r="ACZ1" s="356">
        <f>ACQ1+1</f>
        <v>81</v>
      </c>
      <c r="ADB1" s="1209" t="str">
        <f>ACS1</f>
        <v>ENTRADAS DEL MES DE   MAYO  2022</v>
      </c>
      <c r="ADC1" s="1209"/>
      <c r="ADD1" s="1209"/>
      <c r="ADE1" s="1209"/>
      <c r="ADF1" s="1209"/>
      <c r="ADG1" s="1209"/>
      <c r="ADH1" s="1209"/>
      <c r="ADI1" s="356">
        <f>ACZ1+1</f>
        <v>82</v>
      </c>
      <c r="ADK1" s="1209" t="str">
        <f>ADB1</f>
        <v>ENTRADAS DEL MES DE   MAYO  2022</v>
      </c>
      <c r="ADL1" s="1209"/>
      <c r="ADM1" s="1209"/>
      <c r="ADN1" s="1209"/>
      <c r="ADO1" s="1209"/>
      <c r="ADP1" s="1209"/>
      <c r="ADQ1" s="1209"/>
      <c r="ADR1" s="356">
        <f>ADI1+1</f>
        <v>83</v>
      </c>
      <c r="ADT1" s="1209" t="str">
        <f>ADK1</f>
        <v>ENTRADAS DEL MES DE   MAYO  2022</v>
      </c>
      <c r="ADU1" s="1209"/>
      <c r="ADV1" s="1209"/>
      <c r="ADW1" s="1209"/>
      <c r="ADX1" s="1209"/>
      <c r="ADY1" s="1209"/>
      <c r="ADZ1" s="1209"/>
      <c r="AEA1" s="356">
        <f>ADR1+1</f>
        <v>84</v>
      </c>
      <c r="AEC1" s="1209" t="str">
        <f>ADT1</f>
        <v>ENTRADAS DEL MES DE   MAYO  2022</v>
      </c>
      <c r="AED1" s="1209"/>
      <c r="AEE1" s="1209"/>
      <c r="AEF1" s="1209"/>
      <c r="AEG1" s="1209"/>
      <c r="AEH1" s="1209"/>
      <c r="AEI1" s="1209"/>
      <c r="AEJ1" s="356">
        <f>AEA1+1</f>
        <v>85</v>
      </c>
      <c r="AEL1" s="1209" t="str">
        <f>AEC1</f>
        <v>ENTRADAS DEL MES DE   MAYO  2022</v>
      </c>
      <c r="AEM1" s="1209"/>
      <c r="AEN1" s="1209"/>
      <c r="AEO1" s="1209"/>
      <c r="AEP1" s="1209"/>
      <c r="AEQ1" s="1209"/>
      <c r="AER1" s="1209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214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210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213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210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211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79">
        <v>18354.080000000002</v>
      </c>
      <c r="ER5" s="138">
        <f>EO5-EQ5</f>
        <v>-20.390000000003056</v>
      </c>
      <c r="ES5" s="573"/>
      <c r="ET5" s="242"/>
      <c r="EU5" s="1210" t="s">
        <v>237</v>
      </c>
      <c r="EV5" s="1015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6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79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214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210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213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79">
        <v>18873.580000000002</v>
      </c>
      <c r="HT5" s="138">
        <f>HQ5-HS5</f>
        <v>-73.30000000000291</v>
      </c>
      <c r="HU5" s="573"/>
      <c r="HV5" s="242"/>
      <c r="HW5" s="1210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210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210" t="s">
        <v>233</v>
      </c>
      <c r="IR5" s="1112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900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568</v>
      </c>
      <c r="JD5" s="248">
        <v>44705</v>
      </c>
      <c r="JE5" s="246">
        <v>18758.22</v>
      </c>
      <c r="JF5" s="243">
        <v>21</v>
      </c>
      <c r="JG5" s="900">
        <v>18794.900000000001</v>
      </c>
      <c r="JH5" s="138">
        <f>JE5-JG5</f>
        <v>-36.680000000000291</v>
      </c>
      <c r="JI5" s="573"/>
      <c r="JJ5" s="242"/>
      <c r="JK5" s="1211" t="s">
        <v>233</v>
      </c>
      <c r="JL5" s="1114" t="s">
        <v>234</v>
      </c>
      <c r="JM5" s="247" t="s">
        <v>569</v>
      </c>
      <c r="JN5" s="248">
        <v>44705</v>
      </c>
      <c r="JO5" s="246">
        <v>19013.72</v>
      </c>
      <c r="JP5" s="243">
        <v>21</v>
      </c>
      <c r="JQ5" s="1079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570</v>
      </c>
      <c r="JX5" s="248">
        <v>44705</v>
      </c>
      <c r="JY5" s="246">
        <v>18733.169999999998</v>
      </c>
      <c r="JZ5" s="243">
        <v>20</v>
      </c>
      <c r="KA5" s="900">
        <v>18820.8</v>
      </c>
      <c r="KB5" s="138">
        <f>JY5-KA5</f>
        <v>-87.630000000001019</v>
      </c>
      <c r="KC5" s="573"/>
      <c r="KD5" s="242"/>
      <c r="KE5" s="1214" t="s">
        <v>237</v>
      </c>
      <c r="KF5" s="1000" t="s">
        <v>238</v>
      </c>
      <c r="KG5" s="249" t="s">
        <v>571</v>
      </c>
      <c r="KH5" s="248">
        <v>44706</v>
      </c>
      <c r="KI5" s="246">
        <v>18848.919999999998</v>
      </c>
      <c r="KJ5" s="243">
        <v>20</v>
      </c>
      <c r="KK5" s="900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572</v>
      </c>
      <c r="KR5" s="248">
        <v>44707</v>
      </c>
      <c r="KS5" s="246">
        <v>18889.72</v>
      </c>
      <c r="KT5" s="243">
        <v>21</v>
      </c>
      <c r="KU5" s="900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575</v>
      </c>
      <c r="LB5" s="245">
        <v>44708</v>
      </c>
      <c r="LC5" s="246">
        <v>18647.52</v>
      </c>
      <c r="LD5" s="243">
        <v>21</v>
      </c>
      <c r="LE5" s="900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576</v>
      </c>
      <c r="LK5" s="247" t="s">
        <v>577</v>
      </c>
      <c r="LL5" s="248">
        <v>44708</v>
      </c>
      <c r="LM5" s="246">
        <v>18284.37</v>
      </c>
      <c r="LN5" s="243">
        <v>20</v>
      </c>
      <c r="LO5" s="900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214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10"/>
      <c r="BJ6" s="914"/>
      <c r="BK6" s="242"/>
      <c r="BL6" s="242"/>
      <c r="BM6" s="242"/>
      <c r="BN6" s="242"/>
      <c r="BO6" s="243"/>
      <c r="BP6" s="242"/>
      <c r="BQ6" s="322"/>
      <c r="BR6" s="242"/>
      <c r="BS6" s="1213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10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11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10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14"/>
      <c r="GJ6" s="254"/>
      <c r="GK6" s="242"/>
      <c r="GL6" s="242"/>
      <c r="GM6" s="242"/>
      <c r="GN6" s="242"/>
      <c r="GO6" s="243"/>
      <c r="GP6" s="242"/>
      <c r="GQ6" s="322"/>
      <c r="GR6" s="242"/>
      <c r="GS6" s="1210"/>
      <c r="GT6" s="251"/>
      <c r="GU6" s="242"/>
      <c r="GV6" s="242"/>
      <c r="GW6" s="242"/>
      <c r="GX6" s="242"/>
      <c r="GY6" s="243"/>
      <c r="GZ6" s="242"/>
      <c r="HA6" s="322"/>
      <c r="HB6" s="242"/>
      <c r="HC6" s="1213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10"/>
      <c r="HX6" s="242"/>
      <c r="HY6" s="242"/>
      <c r="HZ6" s="242"/>
      <c r="IA6" s="242"/>
      <c r="IB6" s="242"/>
      <c r="IC6" s="243"/>
      <c r="ID6" s="242"/>
      <c r="IE6" s="322"/>
      <c r="IF6" s="242"/>
      <c r="IG6" s="1210"/>
      <c r="IH6" s="242"/>
      <c r="II6" s="242"/>
      <c r="IJ6" s="242"/>
      <c r="IK6" s="242"/>
      <c r="IL6" s="242"/>
      <c r="IM6" s="243"/>
      <c r="IN6" s="242"/>
      <c r="IO6" s="322"/>
      <c r="IP6" s="242"/>
      <c r="IQ6" s="1210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11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14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>
        <v>44704</v>
      </c>
      <c r="IV8" s="279">
        <v>923.5</v>
      </c>
      <c r="IW8" s="501" t="s">
        <v>627</v>
      </c>
      <c r="IX8" s="266">
        <v>45</v>
      </c>
      <c r="IY8" s="322">
        <f>IX8*IV8</f>
        <v>41557.5</v>
      </c>
      <c r="IZ8" s="92"/>
      <c r="JA8" s="61"/>
      <c r="JB8" s="106"/>
      <c r="JC8" s="15">
        <v>1</v>
      </c>
      <c r="JD8" s="92">
        <v>898.1</v>
      </c>
      <c r="JE8" s="336">
        <v>44705</v>
      </c>
      <c r="JF8" s="92">
        <v>898.1</v>
      </c>
      <c r="JG8" s="265" t="s">
        <v>630</v>
      </c>
      <c r="JH8" s="71">
        <v>45</v>
      </c>
      <c r="JI8" s="569">
        <f>JH8*JF8</f>
        <v>40414.5</v>
      </c>
      <c r="JJ8" s="384"/>
      <c r="JK8" s="385"/>
      <c r="JL8" s="386"/>
      <c r="JM8" s="15">
        <v>1</v>
      </c>
      <c r="JN8" s="92">
        <v>915.3</v>
      </c>
      <c r="JO8" s="324">
        <v>44705</v>
      </c>
      <c r="JP8" s="92">
        <v>915.3</v>
      </c>
      <c r="JQ8" s="70" t="s">
        <v>635</v>
      </c>
      <c r="JR8" s="71">
        <v>45</v>
      </c>
      <c r="JS8" s="569">
        <f>JR8*JP8</f>
        <v>41188.5</v>
      </c>
      <c r="JU8" s="61"/>
      <c r="JV8" s="106"/>
      <c r="JW8" s="15">
        <v>1</v>
      </c>
      <c r="JX8" s="92">
        <v>968.41</v>
      </c>
      <c r="JY8" s="336">
        <v>44707</v>
      </c>
      <c r="JZ8" s="279">
        <v>968.41</v>
      </c>
      <c r="KA8" s="70" t="s">
        <v>648</v>
      </c>
      <c r="KB8" s="71">
        <v>45</v>
      </c>
      <c r="KC8" s="569">
        <f>KB8*JZ8</f>
        <v>43578.45</v>
      </c>
      <c r="KE8" s="927"/>
      <c r="KF8" s="947"/>
      <c r="KG8" s="15">
        <v>1</v>
      </c>
      <c r="KH8" s="92">
        <v>904</v>
      </c>
      <c r="KI8" s="336">
        <v>44707</v>
      </c>
      <c r="KJ8" s="279">
        <v>904</v>
      </c>
      <c r="KK8" s="70" t="s">
        <v>651</v>
      </c>
      <c r="KL8" s="71">
        <v>45</v>
      </c>
      <c r="KM8" s="569">
        <f>KL8*KJ8</f>
        <v>40680</v>
      </c>
      <c r="KO8" s="61"/>
      <c r="KP8" s="106"/>
      <c r="KQ8" s="15">
        <v>1</v>
      </c>
      <c r="KR8" s="92">
        <v>900.8</v>
      </c>
      <c r="KS8" s="336">
        <v>44709</v>
      </c>
      <c r="KT8" s="279">
        <v>900.8</v>
      </c>
      <c r="KU8" s="70" t="s">
        <v>676</v>
      </c>
      <c r="KV8" s="71">
        <v>48</v>
      </c>
      <c r="KW8" s="569">
        <f>KV8*KT8</f>
        <v>43238.399999999994</v>
      </c>
      <c r="KY8" s="61"/>
      <c r="KZ8" s="106"/>
      <c r="LA8" s="15">
        <v>1</v>
      </c>
      <c r="LB8" s="92">
        <v>880</v>
      </c>
      <c r="LC8" s="324">
        <v>44710</v>
      </c>
      <c r="LD8" s="92">
        <v>880</v>
      </c>
      <c r="LE8" s="95" t="s">
        <v>681</v>
      </c>
      <c r="LF8" s="71">
        <v>48</v>
      </c>
      <c r="LG8" s="569">
        <f>LF8*LD8</f>
        <v>42240</v>
      </c>
      <c r="LI8" s="61"/>
      <c r="LJ8" s="106"/>
      <c r="LK8" s="15">
        <v>1</v>
      </c>
      <c r="LL8" s="92">
        <v>914.59</v>
      </c>
      <c r="LM8" s="324">
        <v>44708</v>
      </c>
      <c r="LN8" s="279">
        <v>914.59</v>
      </c>
      <c r="LO8" s="95" t="s">
        <v>671</v>
      </c>
      <c r="LP8" s="71">
        <v>48</v>
      </c>
      <c r="LQ8" s="569">
        <f>LP8*LN8</f>
        <v>43900.32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>
        <v>44704</v>
      </c>
      <c r="IV9" s="279">
        <v>866.4</v>
      </c>
      <c r="IW9" s="501" t="s">
        <v>623</v>
      </c>
      <c r="IX9" s="266">
        <v>45</v>
      </c>
      <c r="IY9" s="322">
        <f t="shared" ref="IY9:IY29" si="29">IX9*IV9</f>
        <v>38988</v>
      </c>
      <c r="IZ9" s="92"/>
      <c r="JA9" s="92"/>
      <c r="JB9" s="94"/>
      <c r="JC9" s="15">
        <v>2</v>
      </c>
      <c r="JD9" s="92">
        <v>911.7</v>
      </c>
      <c r="JE9" s="336">
        <v>44705</v>
      </c>
      <c r="JF9" s="92">
        <v>911.7</v>
      </c>
      <c r="JG9" s="265" t="s">
        <v>630</v>
      </c>
      <c r="JH9" s="71">
        <v>45</v>
      </c>
      <c r="JI9" s="569">
        <f t="shared" ref="JI9:JI29" si="30">JH9*JF9</f>
        <v>41026.5</v>
      </c>
      <c r="JJ9" s="69"/>
      <c r="JL9" s="94"/>
      <c r="JM9" s="15">
        <v>2</v>
      </c>
      <c r="JN9" s="92">
        <v>914.4</v>
      </c>
      <c r="JO9" s="324">
        <v>44705</v>
      </c>
      <c r="JP9" s="92">
        <v>914.4</v>
      </c>
      <c r="JQ9" s="70" t="s">
        <v>635</v>
      </c>
      <c r="JR9" s="71">
        <v>45</v>
      </c>
      <c r="JS9" s="569">
        <f t="shared" ref="JS9:JS27" si="31">JR9*JP9</f>
        <v>41148</v>
      </c>
      <c r="JV9" s="106"/>
      <c r="JW9" s="15">
        <v>2</v>
      </c>
      <c r="JX9" s="69">
        <v>925.78</v>
      </c>
      <c r="JY9" s="336">
        <v>44707</v>
      </c>
      <c r="JZ9" s="69">
        <v>925.78</v>
      </c>
      <c r="KA9" s="70" t="s">
        <v>649</v>
      </c>
      <c r="KB9" s="71">
        <v>45</v>
      </c>
      <c r="KC9" s="569">
        <f t="shared" ref="KC9:KC28" si="32">KB9*JZ9</f>
        <v>41660.1</v>
      </c>
      <c r="KE9" s="242"/>
      <c r="KF9" s="947"/>
      <c r="KG9" s="15">
        <v>2</v>
      </c>
      <c r="KH9" s="69">
        <v>949.82</v>
      </c>
      <c r="KI9" s="336">
        <v>44707</v>
      </c>
      <c r="KJ9" s="69">
        <v>949.82</v>
      </c>
      <c r="KK9" s="70" t="s">
        <v>651</v>
      </c>
      <c r="KL9" s="71">
        <v>45</v>
      </c>
      <c r="KM9" s="569">
        <f t="shared" ref="KM9:KM28" si="33">KL9*KJ9</f>
        <v>42741.9</v>
      </c>
      <c r="KP9" s="106"/>
      <c r="KQ9" s="15">
        <v>2</v>
      </c>
      <c r="KR9" s="69">
        <v>935.3</v>
      </c>
      <c r="KS9" s="336">
        <v>44709</v>
      </c>
      <c r="KT9" s="69">
        <v>935.3</v>
      </c>
      <c r="KU9" s="70" t="s">
        <v>676</v>
      </c>
      <c r="KV9" s="71">
        <v>48</v>
      </c>
      <c r="KW9" s="569">
        <f t="shared" ref="KW9:KW28" si="34">KV9*KT9</f>
        <v>44894.399999999994</v>
      </c>
      <c r="KZ9" s="94"/>
      <c r="LA9" s="15">
        <v>2</v>
      </c>
      <c r="LB9" s="92">
        <v>872.7</v>
      </c>
      <c r="LC9" s="324">
        <v>44710</v>
      </c>
      <c r="LD9" s="92">
        <v>872.7</v>
      </c>
      <c r="LE9" s="95" t="s">
        <v>681</v>
      </c>
      <c r="LF9" s="71">
        <v>48</v>
      </c>
      <c r="LG9" s="569">
        <f t="shared" ref="LG9:LG28" si="35">LF9*LD9</f>
        <v>41889.600000000006</v>
      </c>
      <c r="LJ9" s="94"/>
      <c r="LK9" s="15">
        <v>2</v>
      </c>
      <c r="LL9" s="92">
        <v>896.75</v>
      </c>
      <c r="LM9" s="324">
        <v>44708</v>
      </c>
      <c r="LN9" s="92">
        <v>896.75</v>
      </c>
      <c r="LO9" s="95" t="s">
        <v>671</v>
      </c>
      <c r="LP9" s="71">
        <v>48</v>
      </c>
      <c r="LQ9" s="569">
        <f t="shared" ref="LQ9:LQ29" si="36">LP9*LN9</f>
        <v>43044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>
        <v>44704</v>
      </c>
      <c r="IV10" s="279">
        <v>918.1</v>
      </c>
      <c r="IW10" s="501" t="s">
        <v>627</v>
      </c>
      <c r="IX10" s="266">
        <v>45</v>
      </c>
      <c r="IY10" s="322">
        <f t="shared" si="29"/>
        <v>41314.5</v>
      </c>
      <c r="IZ10" s="92"/>
      <c r="JA10" s="69"/>
      <c r="JB10" s="94"/>
      <c r="JC10" s="15">
        <v>3</v>
      </c>
      <c r="JD10" s="92">
        <v>897.2</v>
      </c>
      <c r="JE10" s="336">
        <v>44705</v>
      </c>
      <c r="JF10" s="92">
        <v>897.2</v>
      </c>
      <c r="JG10" s="265" t="s">
        <v>630</v>
      </c>
      <c r="JH10" s="71">
        <v>45</v>
      </c>
      <c r="JI10" s="569">
        <f t="shared" si="30"/>
        <v>40374</v>
      </c>
      <c r="JJ10" s="69"/>
      <c r="JL10" s="94"/>
      <c r="JM10" s="15">
        <v>3</v>
      </c>
      <c r="JN10" s="92">
        <v>899.9</v>
      </c>
      <c r="JO10" s="324">
        <v>44705</v>
      </c>
      <c r="JP10" s="92">
        <v>899.9</v>
      </c>
      <c r="JQ10" s="70" t="s">
        <v>635</v>
      </c>
      <c r="JR10" s="71">
        <v>45</v>
      </c>
      <c r="JS10" s="569">
        <f t="shared" si="31"/>
        <v>40495.5</v>
      </c>
      <c r="JV10" s="106"/>
      <c r="JW10" s="15">
        <v>3</v>
      </c>
      <c r="JX10" s="69">
        <v>919.88</v>
      </c>
      <c r="JY10" s="336">
        <v>44707</v>
      </c>
      <c r="JZ10" s="69">
        <v>919.88</v>
      </c>
      <c r="KA10" s="70" t="s">
        <v>646</v>
      </c>
      <c r="KB10" s="71">
        <v>45</v>
      </c>
      <c r="KC10" s="569">
        <f t="shared" si="32"/>
        <v>41394.6</v>
      </c>
      <c r="KE10" s="242"/>
      <c r="KF10" s="947"/>
      <c r="KG10" s="15">
        <v>3</v>
      </c>
      <c r="KH10" s="69">
        <v>956.17</v>
      </c>
      <c r="KI10" s="336">
        <v>44707</v>
      </c>
      <c r="KJ10" s="69">
        <v>956.17</v>
      </c>
      <c r="KK10" s="70" t="s">
        <v>653</v>
      </c>
      <c r="KL10" s="71">
        <v>45</v>
      </c>
      <c r="KM10" s="569">
        <f t="shared" si="33"/>
        <v>43027.65</v>
      </c>
      <c r="KP10" s="106"/>
      <c r="KQ10" s="15">
        <v>3</v>
      </c>
      <c r="KR10" s="69">
        <v>921.7</v>
      </c>
      <c r="KS10" s="336">
        <v>44709</v>
      </c>
      <c r="KT10" s="69">
        <v>921.7</v>
      </c>
      <c r="KU10" s="70" t="s">
        <v>677</v>
      </c>
      <c r="KV10" s="71">
        <v>48</v>
      </c>
      <c r="KW10" s="569">
        <f t="shared" si="34"/>
        <v>44241.600000000006</v>
      </c>
      <c r="KZ10" s="94"/>
      <c r="LA10" s="15">
        <v>3</v>
      </c>
      <c r="LB10" s="92">
        <v>904.5</v>
      </c>
      <c r="LC10" s="324">
        <v>44710</v>
      </c>
      <c r="LD10" s="92">
        <v>904.5</v>
      </c>
      <c r="LE10" s="95" t="s">
        <v>681</v>
      </c>
      <c r="LF10" s="71">
        <v>48</v>
      </c>
      <c r="LG10" s="569">
        <f t="shared" si="35"/>
        <v>43416</v>
      </c>
      <c r="LJ10" s="94"/>
      <c r="LK10" s="15">
        <v>3</v>
      </c>
      <c r="LL10" s="92">
        <v>949.82</v>
      </c>
      <c r="LM10" s="324">
        <v>44708</v>
      </c>
      <c r="LN10" s="92">
        <v>949.82</v>
      </c>
      <c r="LO10" s="95" t="s">
        <v>670</v>
      </c>
      <c r="LP10" s="71">
        <v>48</v>
      </c>
      <c r="LQ10" s="569">
        <f t="shared" si="36"/>
        <v>45591.360000000001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>
        <v>44704</v>
      </c>
      <c r="IV11" s="279">
        <v>898.1</v>
      </c>
      <c r="IW11" s="501" t="s">
        <v>627</v>
      </c>
      <c r="IX11" s="266">
        <v>45</v>
      </c>
      <c r="IY11" s="322">
        <f t="shared" si="29"/>
        <v>40414.5</v>
      </c>
      <c r="IZ11" s="92"/>
      <c r="JA11" s="69"/>
      <c r="JB11" s="106"/>
      <c r="JC11" s="15">
        <v>4</v>
      </c>
      <c r="JD11" s="92">
        <v>863.6</v>
      </c>
      <c r="JE11" s="336">
        <v>44705</v>
      </c>
      <c r="JF11" s="92">
        <v>863.6</v>
      </c>
      <c r="JG11" s="265" t="s">
        <v>630</v>
      </c>
      <c r="JH11" s="71">
        <v>45</v>
      </c>
      <c r="JI11" s="569">
        <f t="shared" si="30"/>
        <v>38862</v>
      </c>
      <c r="JJ11" s="69"/>
      <c r="JK11" s="61"/>
      <c r="JL11" s="106"/>
      <c r="JM11" s="15">
        <v>4</v>
      </c>
      <c r="JN11" s="92">
        <v>867.7</v>
      </c>
      <c r="JO11" s="324">
        <v>44705</v>
      </c>
      <c r="JP11" s="92">
        <v>867.7</v>
      </c>
      <c r="JQ11" s="70" t="s">
        <v>635</v>
      </c>
      <c r="JR11" s="71">
        <v>45</v>
      </c>
      <c r="JS11" s="569">
        <f t="shared" si="31"/>
        <v>39046.5</v>
      </c>
      <c r="JU11" s="61"/>
      <c r="JV11" s="106"/>
      <c r="JW11" s="15">
        <v>4</v>
      </c>
      <c r="JX11" s="69">
        <v>909.45</v>
      </c>
      <c r="JY11" s="336">
        <v>44706</v>
      </c>
      <c r="JZ11" s="69">
        <v>909.45</v>
      </c>
      <c r="KA11" s="70" t="s">
        <v>644</v>
      </c>
      <c r="KB11" s="71">
        <v>45</v>
      </c>
      <c r="KC11" s="569">
        <f t="shared" si="32"/>
        <v>40925.25</v>
      </c>
      <c r="KE11" s="927"/>
      <c r="KF11" s="947"/>
      <c r="KG11" s="15">
        <v>4</v>
      </c>
      <c r="KH11" s="69">
        <v>928.95</v>
      </c>
      <c r="KI11" s="336">
        <v>44707</v>
      </c>
      <c r="KJ11" s="69">
        <v>928.95</v>
      </c>
      <c r="KK11" s="70" t="s">
        <v>650</v>
      </c>
      <c r="KL11" s="71">
        <v>45</v>
      </c>
      <c r="KM11" s="569">
        <f t="shared" si="33"/>
        <v>41802.75</v>
      </c>
      <c r="KO11" s="61"/>
      <c r="KP11" s="106"/>
      <c r="KQ11" s="15">
        <v>4</v>
      </c>
      <c r="KR11" s="69">
        <v>893.6</v>
      </c>
      <c r="KS11" s="336">
        <v>44709</v>
      </c>
      <c r="KT11" s="69">
        <v>893.6</v>
      </c>
      <c r="KU11" s="70" t="s">
        <v>677</v>
      </c>
      <c r="KV11" s="71">
        <v>48</v>
      </c>
      <c r="KW11" s="569">
        <f t="shared" si="34"/>
        <v>42892.800000000003</v>
      </c>
      <c r="KY11" s="61"/>
      <c r="KZ11" s="106"/>
      <c r="LA11" s="15">
        <v>4</v>
      </c>
      <c r="LB11" s="92">
        <v>913.5</v>
      </c>
      <c r="LC11" s="324">
        <v>44709</v>
      </c>
      <c r="LD11" s="92">
        <v>913.5</v>
      </c>
      <c r="LE11" s="95" t="s">
        <v>679</v>
      </c>
      <c r="LF11" s="71">
        <v>48</v>
      </c>
      <c r="LG11" s="569">
        <f t="shared" si="35"/>
        <v>43848</v>
      </c>
      <c r="LI11" s="61"/>
      <c r="LJ11" s="106"/>
      <c r="LK11" s="15">
        <v>4</v>
      </c>
      <c r="LL11" s="92">
        <v>918.97</v>
      </c>
      <c r="LM11" s="324">
        <v>44708</v>
      </c>
      <c r="LN11" s="92">
        <v>918.97</v>
      </c>
      <c r="LO11" s="95" t="s">
        <v>671</v>
      </c>
      <c r="LP11" s="71">
        <v>48</v>
      </c>
      <c r="LQ11" s="569">
        <f t="shared" si="36"/>
        <v>44110.559999999998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>
        <v>44704</v>
      </c>
      <c r="IV12" s="279">
        <v>888.1</v>
      </c>
      <c r="IW12" s="501" t="s">
        <v>627</v>
      </c>
      <c r="IX12" s="266">
        <v>45</v>
      </c>
      <c r="IY12" s="322">
        <f t="shared" si="29"/>
        <v>39964.5</v>
      </c>
      <c r="IZ12" s="92"/>
      <c r="JA12" s="69"/>
      <c r="JB12" s="106"/>
      <c r="JC12" s="15">
        <v>5</v>
      </c>
      <c r="JD12" s="92">
        <v>862.7</v>
      </c>
      <c r="JE12" s="336">
        <v>44705</v>
      </c>
      <c r="JF12" s="92">
        <v>862.7</v>
      </c>
      <c r="JG12" s="265" t="s">
        <v>630</v>
      </c>
      <c r="JH12" s="71">
        <v>45</v>
      </c>
      <c r="JI12" s="569">
        <f t="shared" si="30"/>
        <v>38821.5</v>
      </c>
      <c r="JJ12" s="69"/>
      <c r="JL12" s="106"/>
      <c r="JM12" s="15">
        <v>5</v>
      </c>
      <c r="JN12" s="92">
        <v>880.9</v>
      </c>
      <c r="JO12" s="324">
        <v>44705</v>
      </c>
      <c r="JP12" s="92">
        <v>880.9</v>
      </c>
      <c r="JQ12" s="70" t="s">
        <v>635</v>
      </c>
      <c r="JR12" s="71">
        <v>45</v>
      </c>
      <c r="JS12" s="569">
        <f t="shared" si="31"/>
        <v>39640.5</v>
      </c>
      <c r="JV12" s="106"/>
      <c r="JW12" s="15">
        <v>5</v>
      </c>
      <c r="JX12" s="69">
        <v>955.26</v>
      </c>
      <c r="JY12" s="336">
        <v>44707</v>
      </c>
      <c r="JZ12" s="69">
        <v>955.26</v>
      </c>
      <c r="KA12" s="70" t="s">
        <v>648</v>
      </c>
      <c r="KB12" s="71">
        <v>45</v>
      </c>
      <c r="KC12" s="569">
        <f t="shared" si="32"/>
        <v>42986.7</v>
      </c>
      <c r="KE12" s="242"/>
      <c r="KF12" s="947"/>
      <c r="KG12" s="15">
        <v>5</v>
      </c>
      <c r="KH12" s="69">
        <v>962.97</v>
      </c>
      <c r="KI12" s="336">
        <v>44707</v>
      </c>
      <c r="KJ12" s="69">
        <v>962.97</v>
      </c>
      <c r="KK12" s="70" t="s">
        <v>650</v>
      </c>
      <c r="KL12" s="71">
        <v>45</v>
      </c>
      <c r="KM12" s="569">
        <f t="shared" si="33"/>
        <v>43333.65</v>
      </c>
      <c r="KP12" s="106"/>
      <c r="KQ12" s="15">
        <v>5</v>
      </c>
      <c r="KR12" s="69">
        <v>940.7</v>
      </c>
      <c r="KS12" s="336">
        <v>44709</v>
      </c>
      <c r="KT12" s="69">
        <v>940.7</v>
      </c>
      <c r="KU12" s="70" t="s">
        <v>677</v>
      </c>
      <c r="KV12" s="71">
        <v>48</v>
      </c>
      <c r="KW12" s="569">
        <f t="shared" si="34"/>
        <v>45153.600000000006</v>
      </c>
      <c r="KZ12" s="106"/>
      <c r="LA12" s="15">
        <v>5</v>
      </c>
      <c r="LB12" s="92">
        <v>905.4</v>
      </c>
      <c r="LC12" s="324">
        <v>44710</v>
      </c>
      <c r="LD12" s="92">
        <v>905.4</v>
      </c>
      <c r="LE12" s="95" t="s">
        <v>681</v>
      </c>
      <c r="LF12" s="71">
        <v>48</v>
      </c>
      <c r="LG12" s="569">
        <f t="shared" si="35"/>
        <v>43459.199999999997</v>
      </c>
      <c r="LJ12" s="106"/>
      <c r="LK12" s="15">
        <v>5</v>
      </c>
      <c r="LL12" s="92">
        <v>963.88</v>
      </c>
      <c r="LM12" s="324">
        <v>44708</v>
      </c>
      <c r="LN12" s="92">
        <v>963.88</v>
      </c>
      <c r="LO12" s="95" t="s">
        <v>670</v>
      </c>
      <c r="LP12" s="71">
        <v>48</v>
      </c>
      <c r="LQ12" s="569">
        <f t="shared" si="36"/>
        <v>46266.239999999998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>
        <v>44704</v>
      </c>
      <c r="IV13" s="279">
        <v>865.4</v>
      </c>
      <c r="IW13" s="501" t="s">
        <v>627</v>
      </c>
      <c r="IX13" s="266">
        <v>45</v>
      </c>
      <c r="IY13" s="322">
        <f t="shared" si="29"/>
        <v>38943</v>
      </c>
      <c r="IZ13" s="92"/>
      <c r="JA13" s="69"/>
      <c r="JB13" s="106"/>
      <c r="JC13" s="15">
        <v>6</v>
      </c>
      <c r="JD13" s="92">
        <v>886.3</v>
      </c>
      <c r="JE13" s="336">
        <v>44705</v>
      </c>
      <c r="JF13" s="92">
        <v>886.3</v>
      </c>
      <c r="JG13" s="265" t="s">
        <v>630</v>
      </c>
      <c r="JH13" s="71">
        <v>45</v>
      </c>
      <c r="JI13" s="569">
        <f t="shared" si="30"/>
        <v>39883.5</v>
      </c>
      <c r="JJ13" s="69"/>
      <c r="JL13" s="106"/>
      <c r="JM13" s="15">
        <v>6</v>
      </c>
      <c r="JN13" s="92">
        <v>907.2</v>
      </c>
      <c r="JO13" s="324">
        <v>44705</v>
      </c>
      <c r="JP13" s="92">
        <v>907.2</v>
      </c>
      <c r="JQ13" s="70" t="s">
        <v>635</v>
      </c>
      <c r="JR13" s="71">
        <v>45</v>
      </c>
      <c r="JS13" s="569">
        <f t="shared" si="31"/>
        <v>40824</v>
      </c>
      <c r="JV13" s="106"/>
      <c r="JW13" s="15">
        <v>6</v>
      </c>
      <c r="JX13" s="69">
        <v>946.19</v>
      </c>
      <c r="JY13" s="336">
        <v>44707</v>
      </c>
      <c r="JZ13" s="69">
        <v>946.19</v>
      </c>
      <c r="KA13" s="70" t="s">
        <v>649</v>
      </c>
      <c r="KB13" s="71">
        <v>45</v>
      </c>
      <c r="KC13" s="569">
        <f t="shared" si="32"/>
        <v>42578.55</v>
      </c>
      <c r="KE13" s="242"/>
      <c r="KF13" s="947"/>
      <c r="KG13" s="15">
        <v>6</v>
      </c>
      <c r="KH13" s="69">
        <v>915.8</v>
      </c>
      <c r="KI13" s="336">
        <v>44707</v>
      </c>
      <c r="KJ13" s="69">
        <v>915.8</v>
      </c>
      <c r="KK13" s="70" t="s">
        <v>650</v>
      </c>
      <c r="KL13" s="71">
        <v>45</v>
      </c>
      <c r="KM13" s="569">
        <f t="shared" si="33"/>
        <v>41211</v>
      </c>
      <c r="KP13" s="106"/>
      <c r="KQ13" s="15">
        <v>6</v>
      </c>
      <c r="KR13" s="69">
        <v>910.4</v>
      </c>
      <c r="KS13" s="336">
        <v>44709</v>
      </c>
      <c r="KT13" s="69">
        <v>910.4</v>
      </c>
      <c r="KU13" s="70" t="s">
        <v>675</v>
      </c>
      <c r="KV13" s="71">
        <v>48</v>
      </c>
      <c r="KW13" s="569">
        <f t="shared" si="34"/>
        <v>43699.199999999997</v>
      </c>
      <c r="KZ13" s="106"/>
      <c r="LA13" s="15">
        <v>6</v>
      </c>
      <c r="LB13" s="92">
        <v>940.7</v>
      </c>
      <c r="LC13" s="324">
        <v>44710</v>
      </c>
      <c r="LD13" s="92">
        <v>940.7</v>
      </c>
      <c r="LE13" s="95" t="s">
        <v>681</v>
      </c>
      <c r="LF13" s="71">
        <v>48</v>
      </c>
      <c r="LG13" s="569">
        <f t="shared" si="35"/>
        <v>45153.600000000006</v>
      </c>
      <c r="LJ13" s="106"/>
      <c r="LK13" s="15">
        <v>6</v>
      </c>
      <c r="LL13" s="92">
        <v>940.75</v>
      </c>
      <c r="LM13" s="324">
        <v>44708</v>
      </c>
      <c r="LN13" s="92">
        <v>940.75</v>
      </c>
      <c r="LO13" s="95" t="s">
        <v>666</v>
      </c>
      <c r="LP13" s="71">
        <v>46</v>
      </c>
      <c r="LQ13" s="569">
        <f t="shared" si="36"/>
        <v>43274.5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>
        <v>44704</v>
      </c>
      <c r="IV14" s="279">
        <v>916.3</v>
      </c>
      <c r="IW14" s="501" t="s">
        <v>627</v>
      </c>
      <c r="IX14" s="266">
        <v>45</v>
      </c>
      <c r="IY14" s="322">
        <f t="shared" si="29"/>
        <v>41233.5</v>
      </c>
      <c r="IZ14" s="92"/>
      <c r="JA14" s="69"/>
      <c r="JB14" s="106"/>
      <c r="JC14" s="15">
        <v>7</v>
      </c>
      <c r="JD14" s="92">
        <v>861.8</v>
      </c>
      <c r="JE14" s="336">
        <v>44705</v>
      </c>
      <c r="JF14" s="92">
        <v>861.8</v>
      </c>
      <c r="JG14" s="265" t="s">
        <v>630</v>
      </c>
      <c r="JH14" s="71">
        <v>45</v>
      </c>
      <c r="JI14" s="569">
        <f t="shared" si="30"/>
        <v>38781</v>
      </c>
      <c r="JJ14" s="69"/>
      <c r="JL14" s="106"/>
      <c r="JM14" s="15">
        <v>7</v>
      </c>
      <c r="JN14" s="92">
        <v>898.6</v>
      </c>
      <c r="JO14" s="324">
        <v>44705</v>
      </c>
      <c r="JP14" s="92">
        <v>898.6</v>
      </c>
      <c r="JQ14" s="70" t="s">
        <v>635</v>
      </c>
      <c r="JR14" s="71">
        <v>45</v>
      </c>
      <c r="JS14" s="569">
        <f t="shared" si="31"/>
        <v>40437</v>
      </c>
      <c r="JV14" s="106"/>
      <c r="JW14" s="15">
        <v>7</v>
      </c>
      <c r="JX14" s="69">
        <v>962.97</v>
      </c>
      <c r="JY14" s="336">
        <v>44707</v>
      </c>
      <c r="JZ14" s="69">
        <v>962.97</v>
      </c>
      <c r="KA14" s="70" t="s">
        <v>648</v>
      </c>
      <c r="KB14" s="71">
        <v>45</v>
      </c>
      <c r="KC14" s="569">
        <f t="shared" si="32"/>
        <v>43333.65</v>
      </c>
      <c r="KE14" s="242"/>
      <c r="KF14" s="947"/>
      <c r="KG14" s="15">
        <v>7</v>
      </c>
      <c r="KH14" s="69">
        <v>915.8</v>
      </c>
      <c r="KI14" s="336">
        <v>44707</v>
      </c>
      <c r="KJ14" s="69">
        <v>915.8</v>
      </c>
      <c r="KK14" s="70" t="s">
        <v>652</v>
      </c>
      <c r="KL14" s="71">
        <v>45</v>
      </c>
      <c r="KM14" s="569">
        <f t="shared" si="33"/>
        <v>41211</v>
      </c>
      <c r="KP14" s="106"/>
      <c r="KQ14" s="15">
        <v>7</v>
      </c>
      <c r="KR14" s="69">
        <v>879.1</v>
      </c>
      <c r="KS14" s="336">
        <v>44709</v>
      </c>
      <c r="KT14" s="69">
        <v>879.1</v>
      </c>
      <c r="KU14" s="70" t="s">
        <v>674</v>
      </c>
      <c r="KV14" s="71">
        <v>48</v>
      </c>
      <c r="KW14" s="569">
        <f t="shared" si="34"/>
        <v>42196.800000000003</v>
      </c>
      <c r="KZ14" s="106"/>
      <c r="LA14" s="15">
        <v>7</v>
      </c>
      <c r="LB14" s="92">
        <v>868.2</v>
      </c>
      <c r="LC14" s="324">
        <v>44710</v>
      </c>
      <c r="LD14" s="92">
        <v>868.2</v>
      </c>
      <c r="LE14" s="95" t="s">
        <v>683</v>
      </c>
      <c r="LF14" s="71">
        <v>48</v>
      </c>
      <c r="LG14" s="569">
        <f t="shared" si="35"/>
        <v>41673.600000000006</v>
      </c>
      <c r="LJ14" s="106"/>
      <c r="LK14" s="15">
        <v>7</v>
      </c>
      <c r="LL14" s="92">
        <v>882.23</v>
      </c>
      <c r="LM14" s="324">
        <v>44708</v>
      </c>
      <c r="LN14" s="92">
        <v>882.23</v>
      </c>
      <c r="LO14" s="95" t="s">
        <v>669</v>
      </c>
      <c r="LP14" s="71">
        <v>46</v>
      </c>
      <c r="LQ14" s="569">
        <f t="shared" si="36"/>
        <v>40582.58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>
        <v>44704</v>
      </c>
      <c r="IV15" s="279">
        <v>872.7</v>
      </c>
      <c r="IW15" s="501" t="s">
        <v>626</v>
      </c>
      <c r="IX15" s="266">
        <v>45</v>
      </c>
      <c r="IY15" s="322">
        <f t="shared" si="29"/>
        <v>39271.5</v>
      </c>
      <c r="IZ15" s="92"/>
      <c r="JA15" s="69"/>
      <c r="JB15" s="106"/>
      <c r="JC15" s="15">
        <v>8</v>
      </c>
      <c r="JD15" s="92">
        <v>918.1</v>
      </c>
      <c r="JE15" s="336">
        <v>44705</v>
      </c>
      <c r="JF15" s="92">
        <v>918.1</v>
      </c>
      <c r="JG15" s="265" t="s">
        <v>630</v>
      </c>
      <c r="JH15" s="71">
        <v>45</v>
      </c>
      <c r="JI15" s="569">
        <f t="shared" si="30"/>
        <v>41314.5</v>
      </c>
      <c r="JJ15" s="69"/>
      <c r="JL15" s="106"/>
      <c r="JM15" s="15">
        <v>8</v>
      </c>
      <c r="JN15" s="92">
        <v>901.7</v>
      </c>
      <c r="JO15" s="324">
        <v>44705</v>
      </c>
      <c r="JP15" s="92">
        <v>901.7</v>
      </c>
      <c r="JQ15" s="70" t="s">
        <v>635</v>
      </c>
      <c r="JR15" s="71">
        <v>45</v>
      </c>
      <c r="JS15" s="569">
        <f t="shared" si="31"/>
        <v>40576.5</v>
      </c>
      <c r="JV15" s="106"/>
      <c r="JW15" s="15">
        <v>8</v>
      </c>
      <c r="JX15" s="69">
        <v>913.08</v>
      </c>
      <c r="JY15" s="336">
        <v>44707</v>
      </c>
      <c r="JZ15" s="69">
        <v>913.08</v>
      </c>
      <c r="KA15" s="70" t="s">
        <v>649</v>
      </c>
      <c r="KB15" s="71">
        <v>45</v>
      </c>
      <c r="KC15" s="569">
        <f t="shared" si="32"/>
        <v>41088.6</v>
      </c>
      <c r="KE15" s="242"/>
      <c r="KF15" s="947"/>
      <c r="KG15" s="15">
        <v>8</v>
      </c>
      <c r="KH15" s="69">
        <v>945.28</v>
      </c>
      <c r="KI15" s="336">
        <v>44707</v>
      </c>
      <c r="KJ15" s="69">
        <v>945.28</v>
      </c>
      <c r="KK15" s="70" t="s">
        <v>651</v>
      </c>
      <c r="KL15" s="71">
        <v>45</v>
      </c>
      <c r="KM15" s="569">
        <f t="shared" si="33"/>
        <v>42537.599999999999</v>
      </c>
      <c r="KP15" s="106"/>
      <c r="KQ15" s="15">
        <v>8</v>
      </c>
      <c r="KR15" s="69">
        <v>881.8</v>
      </c>
      <c r="KS15" s="336">
        <v>44709</v>
      </c>
      <c r="KT15" s="69">
        <v>881.8</v>
      </c>
      <c r="KU15" s="70" t="s">
        <v>675</v>
      </c>
      <c r="KV15" s="71">
        <v>48</v>
      </c>
      <c r="KW15" s="569">
        <f t="shared" si="34"/>
        <v>42326.399999999994</v>
      </c>
      <c r="KZ15" s="106"/>
      <c r="LA15" s="15">
        <v>8</v>
      </c>
      <c r="LB15" s="92">
        <v>872.7</v>
      </c>
      <c r="LC15" s="324">
        <v>44710</v>
      </c>
      <c r="LD15" s="92">
        <v>872.7</v>
      </c>
      <c r="LE15" s="95" t="s">
        <v>683</v>
      </c>
      <c r="LF15" s="71">
        <v>48</v>
      </c>
      <c r="LG15" s="569">
        <f t="shared" si="35"/>
        <v>41889.600000000006</v>
      </c>
      <c r="LJ15" s="106"/>
      <c r="LK15" s="15">
        <v>8</v>
      </c>
      <c r="LL15" s="92">
        <v>872.25</v>
      </c>
      <c r="LM15" s="324">
        <v>44708</v>
      </c>
      <c r="LN15" s="92">
        <v>872.25</v>
      </c>
      <c r="LO15" s="95" t="s">
        <v>669</v>
      </c>
      <c r="LP15" s="71">
        <v>46</v>
      </c>
      <c r="LQ15" s="569">
        <f t="shared" si="36"/>
        <v>40123.5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>
        <v>44704</v>
      </c>
      <c r="IV16" s="279">
        <v>896.3</v>
      </c>
      <c r="IW16" s="501" t="s">
        <v>623</v>
      </c>
      <c r="IX16" s="266">
        <v>45</v>
      </c>
      <c r="IY16" s="322">
        <f t="shared" si="29"/>
        <v>40333.5</v>
      </c>
      <c r="IZ16" s="92"/>
      <c r="JA16" s="69"/>
      <c r="JB16" s="106"/>
      <c r="JC16" s="15">
        <v>9</v>
      </c>
      <c r="JD16" s="92">
        <v>885.4</v>
      </c>
      <c r="JE16" s="336">
        <v>44705</v>
      </c>
      <c r="JF16" s="92">
        <v>885.4</v>
      </c>
      <c r="JG16" s="265" t="s">
        <v>630</v>
      </c>
      <c r="JH16" s="71">
        <v>45</v>
      </c>
      <c r="JI16" s="569">
        <f t="shared" si="30"/>
        <v>39843</v>
      </c>
      <c r="JJ16" s="69"/>
      <c r="JL16" s="106"/>
      <c r="JM16" s="15">
        <v>9</v>
      </c>
      <c r="JN16" s="92">
        <v>932.6</v>
      </c>
      <c r="JO16" s="324">
        <v>44705</v>
      </c>
      <c r="JP16" s="92">
        <v>932.6</v>
      </c>
      <c r="JQ16" s="70" t="s">
        <v>635</v>
      </c>
      <c r="JR16" s="71">
        <v>45</v>
      </c>
      <c r="JS16" s="569">
        <f t="shared" si="31"/>
        <v>41967</v>
      </c>
      <c r="JV16" s="106"/>
      <c r="JW16" s="15">
        <v>9</v>
      </c>
      <c r="JX16" s="69">
        <v>946.64</v>
      </c>
      <c r="JY16" s="336">
        <v>44707</v>
      </c>
      <c r="JZ16" s="69">
        <v>946.64</v>
      </c>
      <c r="KA16" s="70" t="s">
        <v>649</v>
      </c>
      <c r="KB16" s="71">
        <v>45</v>
      </c>
      <c r="KC16" s="569">
        <f t="shared" si="32"/>
        <v>42598.8</v>
      </c>
      <c r="KE16" s="242"/>
      <c r="KF16" s="947"/>
      <c r="KG16" s="15">
        <v>9</v>
      </c>
      <c r="KH16" s="69">
        <v>942.11</v>
      </c>
      <c r="KI16" s="336">
        <v>44707</v>
      </c>
      <c r="KJ16" s="69">
        <v>942.11</v>
      </c>
      <c r="KK16" s="70" t="s">
        <v>653</v>
      </c>
      <c r="KL16" s="71">
        <v>45</v>
      </c>
      <c r="KM16" s="569">
        <f t="shared" si="33"/>
        <v>42394.95</v>
      </c>
      <c r="KP16" s="106"/>
      <c r="KQ16" s="15">
        <v>9</v>
      </c>
      <c r="KR16" s="69">
        <v>883.6</v>
      </c>
      <c r="KS16" s="336">
        <v>44708</v>
      </c>
      <c r="KT16" s="69">
        <v>883.6</v>
      </c>
      <c r="KU16" s="70" t="s">
        <v>673</v>
      </c>
      <c r="KV16" s="71">
        <v>48</v>
      </c>
      <c r="KW16" s="569">
        <f t="shared" si="34"/>
        <v>42412.800000000003</v>
      </c>
      <c r="KZ16" s="106"/>
      <c r="LA16" s="15">
        <v>9</v>
      </c>
      <c r="LB16" s="92">
        <v>893.6</v>
      </c>
      <c r="LC16" s="324">
        <v>44710</v>
      </c>
      <c r="LD16" s="92">
        <v>893.6</v>
      </c>
      <c r="LE16" s="95" t="s">
        <v>683</v>
      </c>
      <c r="LF16" s="71">
        <v>48</v>
      </c>
      <c r="LG16" s="569">
        <f t="shared" si="35"/>
        <v>42892.800000000003</v>
      </c>
      <c r="LJ16" s="106"/>
      <c r="LK16" s="15">
        <v>9</v>
      </c>
      <c r="LL16" s="92">
        <v>916.25</v>
      </c>
      <c r="LM16" s="324">
        <v>44708</v>
      </c>
      <c r="LN16" s="92">
        <v>916.25</v>
      </c>
      <c r="LO16" s="95" t="s">
        <v>670</v>
      </c>
      <c r="LP16" s="71">
        <v>48</v>
      </c>
      <c r="LQ16" s="569">
        <f t="shared" si="36"/>
        <v>43980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>
        <v>44704</v>
      </c>
      <c r="IV17" s="279">
        <v>919</v>
      </c>
      <c r="IW17" s="501" t="s">
        <v>627</v>
      </c>
      <c r="IX17" s="266">
        <v>45</v>
      </c>
      <c r="IY17" s="322">
        <f t="shared" si="29"/>
        <v>41355</v>
      </c>
      <c r="IZ17" s="92"/>
      <c r="JA17" s="69"/>
      <c r="JB17" s="106"/>
      <c r="JC17" s="15">
        <v>10</v>
      </c>
      <c r="JD17" s="92">
        <v>899.9</v>
      </c>
      <c r="JE17" s="336">
        <v>44705</v>
      </c>
      <c r="JF17" s="92">
        <v>899.9</v>
      </c>
      <c r="JG17" s="265" t="s">
        <v>630</v>
      </c>
      <c r="JH17" s="71">
        <v>45</v>
      </c>
      <c r="JI17" s="569">
        <f t="shared" si="30"/>
        <v>40495.5</v>
      </c>
      <c r="JJ17" s="69"/>
      <c r="JL17" s="106"/>
      <c r="JM17" s="15">
        <v>10</v>
      </c>
      <c r="JN17" s="92">
        <v>919.9</v>
      </c>
      <c r="JO17" s="324">
        <v>44705</v>
      </c>
      <c r="JP17" s="92">
        <v>919.9</v>
      </c>
      <c r="JQ17" s="70" t="s">
        <v>635</v>
      </c>
      <c r="JR17" s="71">
        <v>45</v>
      </c>
      <c r="JS17" s="569">
        <f t="shared" si="31"/>
        <v>41395.5</v>
      </c>
      <c r="JV17" s="106"/>
      <c r="JW17" s="15">
        <v>10</v>
      </c>
      <c r="JX17" s="69">
        <v>918.97</v>
      </c>
      <c r="JY17" s="336">
        <v>44707</v>
      </c>
      <c r="JZ17" s="69">
        <v>918.97</v>
      </c>
      <c r="KA17" s="70" t="s">
        <v>649</v>
      </c>
      <c r="KB17" s="71">
        <v>45</v>
      </c>
      <c r="KC17" s="569">
        <f t="shared" si="32"/>
        <v>41353.65</v>
      </c>
      <c r="KE17" s="242"/>
      <c r="KF17" s="947"/>
      <c r="KG17" s="15">
        <v>10</v>
      </c>
      <c r="KH17" s="69">
        <v>971.59</v>
      </c>
      <c r="KI17" s="336">
        <v>44707</v>
      </c>
      <c r="KJ17" s="69">
        <v>971.59</v>
      </c>
      <c r="KK17" s="70" t="s">
        <v>652</v>
      </c>
      <c r="KL17" s="71">
        <v>45</v>
      </c>
      <c r="KM17" s="569">
        <f t="shared" si="33"/>
        <v>43721.55</v>
      </c>
      <c r="KP17" s="106"/>
      <c r="KQ17" s="15">
        <v>10</v>
      </c>
      <c r="KR17" s="69">
        <v>918.1</v>
      </c>
      <c r="KS17" s="336">
        <v>44708</v>
      </c>
      <c r="KT17" s="69">
        <v>918.1</v>
      </c>
      <c r="KU17" s="70" t="s">
        <v>673</v>
      </c>
      <c r="KV17" s="71">
        <v>48</v>
      </c>
      <c r="KW17" s="569">
        <f t="shared" si="34"/>
        <v>44068.800000000003</v>
      </c>
      <c r="KZ17" s="106"/>
      <c r="LA17" s="15">
        <v>10</v>
      </c>
      <c r="LB17" s="92">
        <v>892.7</v>
      </c>
      <c r="LC17" s="324">
        <v>44710</v>
      </c>
      <c r="LD17" s="92">
        <v>892.7</v>
      </c>
      <c r="LE17" s="95" t="s">
        <v>683</v>
      </c>
      <c r="LF17" s="71">
        <v>48</v>
      </c>
      <c r="LG17" s="569">
        <f t="shared" si="35"/>
        <v>42849.600000000006</v>
      </c>
      <c r="LJ17" s="106"/>
      <c r="LK17" s="15">
        <v>10</v>
      </c>
      <c r="LL17" s="92">
        <v>927.59</v>
      </c>
      <c r="LM17" s="324">
        <v>44708</v>
      </c>
      <c r="LN17" s="92">
        <v>927.59</v>
      </c>
      <c r="LO17" s="95" t="s">
        <v>671</v>
      </c>
      <c r="LP17" s="71">
        <v>48</v>
      </c>
      <c r="LQ17" s="569">
        <f t="shared" si="36"/>
        <v>44524.32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>
        <v>44704</v>
      </c>
      <c r="IV18" s="279">
        <v>866.4</v>
      </c>
      <c r="IW18" s="501" t="s">
        <v>627</v>
      </c>
      <c r="IX18" s="266">
        <v>45</v>
      </c>
      <c r="IY18" s="322">
        <f t="shared" si="29"/>
        <v>38988</v>
      </c>
      <c r="IZ18" s="92"/>
      <c r="JA18" s="69"/>
      <c r="JB18" s="106"/>
      <c r="JC18" s="15">
        <v>11</v>
      </c>
      <c r="JD18" s="92">
        <v>916.3</v>
      </c>
      <c r="JE18" s="336">
        <v>44705</v>
      </c>
      <c r="JF18" s="92">
        <v>916.3</v>
      </c>
      <c r="JG18" s="265" t="s">
        <v>631</v>
      </c>
      <c r="JH18" s="71">
        <v>45</v>
      </c>
      <c r="JI18" s="569">
        <f t="shared" si="30"/>
        <v>41233.5</v>
      </c>
      <c r="JJ18" s="105"/>
      <c r="JL18" s="106"/>
      <c r="JM18" s="15">
        <v>11</v>
      </c>
      <c r="JN18" s="92">
        <v>912</v>
      </c>
      <c r="JO18" s="324">
        <v>44705</v>
      </c>
      <c r="JP18" s="92">
        <v>912</v>
      </c>
      <c r="JQ18" s="70" t="s">
        <v>637</v>
      </c>
      <c r="JR18" s="71">
        <v>45</v>
      </c>
      <c r="JS18" s="569">
        <f t="shared" si="31"/>
        <v>41040</v>
      </c>
      <c r="JV18" s="106"/>
      <c r="JW18" s="15">
        <v>11</v>
      </c>
      <c r="JX18" s="69">
        <v>974.31</v>
      </c>
      <c r="JY18" s="336">
        <v>44706</v>
      </c>
      <c r="JZ18" s="69">
        <v>974.31</v>
      </c>
      <c r="KA18" s="70" t="s">
        <v>644</v>
      </c>
      <c r="KB18" s="71">
        <v>45</v>
      </c>
      <c r="KC18" s="569">
        <f t="shared" si="32"/>
        <v>43843.95</v>
      </c>
      <c r="KE18" s="242"/>
      <c r="KF18" s="947"/>
      <c r="KG18" s="15">
        <v>11</v>
      </c>
      <c r="KH18" s="69">
        <v>964.79</v>
      </c>
      <c r="KI18" s="336">
        <v>44707</v>
      </c>
      <c r="KJ18" s="69">
        <v>964.79</v>
      </c>
      <c r="KK18" s="70" t="s">
        <v>656</v>
      </c>
      <c r="KL18" s="71">
        <v>45</v>
      </c>
      <c r="KM18" s="569">
        <f t="shared" si="33"/>
        <v>43415.549999999996</v>
      </c>
      <c r="KP18" s="106"/>
      <c r="KQ18" s="15">
        <v>11</v>
      </c>
      <c r="KR18" s="69">
        <v>930.8</v>
      </c>
      <c r="KS18" s="336">
        <v>44708</v>
      </c>
      <c r="KT18" s="69">
        <v>930.8</v>
      </c>
      <c r="KU18" s="70" t="s">
        <v>673</v>
      </c>
      <c r="KV18" s="71">
        <v>48</v>
      </c>
      <c r="KW18" s="569">
        <f t="shared" si="34"/>
        <v>44678.399999999994</v>
      </c>
      <c r="KZ18" s="106"/>
      <c r="LA18" s="15">
        <v>11</v>
      </c>
      <c r="LB18" s="92">
        <v>898.1</v>
      </c>
      <c r="LC18" s="324">
        <v>44710</v>
      </c>
      <c r="LD18" s="92">
        <v>898.1</v>
      </c>
      <c r="LE18" s="95" t="s">
        <v>683</v>
      </c>
      <c r="LF18" s="71">
        <v>48</v>
      </c>
      <c r="LG18" s="569">
        <f t="shared" si="35"/>
        <v>43108.800000000003</v>
      </c>
      <c r="LJ18" s="106"/>
      <c r="LK18" s="15">
        <v>11</v>
      </c>
      <c r="LL18" s="279">
        <v>914.44</v>
      </c>
      <c r="LM18" s="324">
        <v>44708</v>
      </c>
      <c r="LN18" s="279">
        <v>914.44</v>
      </c>
      <c r="LO18" s="95" t="s">
        <v>670</v>
      </c>
      <c r="LP18" s="71">
        <v>48</v>
      </c>
      <c r="LQ18" s="569">
        <f t="shared" si="36"/>
        <v>43893.120000000003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>
        <v>44704</v>
      </c>
      <c r="IV19" s="279">
        <v>893.6</v>
      </c>
      <c r="IW19" s="501" t="s">
        <v>626</v>
      </c>
      <c r="IX19" s="266">
        <v>45</v>
      </c>
      <c r="IY19" s="322">
        <f t="shared" si="29"/>
        <v>40212</v>
      </c>
      <c r="IZ19" s="92"/>
      <c r="JA19" s="105"/>
      <c r="JB19" s="106"/>
      <c r="JC19" s="15">
        <v>12</v>
      </c>
      <c r="JD19" s="92">
        <v>892.7</v>
      </c>
      <c r="JE19" s="336">
        <v>44705</v>
      </c>
      <c r="JF19" s="92">
        <v>892.7</v>
      </c>
      <c r="JG19" s="265" t="s">
        <v>631</v>
      </c>
      <c r="JH19" s="71">
        <v>45</v>
      </c>
      <c r="JI19" s="569">
        <f t="shared" si="30"/>
        <v>40171.5</v>
      </c>
      <c r="JL19" s="106"/>
      <c r="JM19" s="15">
        <v>12</v>
      </c>
      <c r="JN19" s="92">
        <v>940.7</v>
      </c>
      <c r="JO19" s="324">
        <v>44705</v>
      </c>
      <c r="JP19" s="92">
        <v>940.7</v>
      </c>
      <c r="JQ19" s="70" t="s">
        <v>637</v>
      </c>
      <c r="JR19" s="71">
        <v>45</v>
      </c>
      <c r="JS19" s="569">
        <f t="shared" si="31"/>
        <v>42331.5</v>
      </c>
      <c r="JV19" s="94"/>
      <c r="JW19" s="15">
        <v>12</v>
      </c>
      <c r="JX19" s="69">
        <v>960.7</v>
      </c>
      <c r="JY19" s="336">
        <v>44706</v>
      </c>
      <c r="JZ19" s="69">
        <v>960.7</v>
      </c>
      <c r="KA19" s="70" t="s">
        <v>644</v>
      </c>
      <c r="KB19" s="71">
        <v>45</v>
      </c>
      <c r="KC19" s="569">
        <f t="shared" si="32"/>
        <v>43231.5</v>
      </c>
      <c r="KE19" s="242"/>
      <c r="KF19" s="457"/>
      <c r="KG19" s="15">
        <v>12</v>
      </c>
      <c r="KH19" s="69">
        <v>951.63</v>
      </c>
      <c r="KI19" s="336">
        <v>44707</v>
      </c>
      <c r="KJ19" s="69">
        <v>951.63</v>
      </c>
      <c r="KK19" s="70" t="s">
        <v>651</v>
      </c>
      <c r="KL19" s="71">
        <v>45</v>
      </c>
      <c r="KM19" s="569">
        <f t="shared" si="33"/>
        <v>42823.35</v>
      </c>
      <c r="KP19" s="94"/>
      <c r="KQ19" s="15">
        <v>12</v>
      </c>
      <c r="KR19" s="69">
        <v>873.2</v>
      </c>
      <c r="KS19" s="336">
        <v>44708</v>
      </c>
      <c r="KT19" s="69">
        <v>873.2</v>
      </c>
      <c r="KU19" s="70" t="s">
        <v>673</v>
      </c>
      <c r="KV19" s="71">
        <v>48</v>
      </c>
      <c r="KW19" s="569">
        <f t="shared" si="34"/>
        <v>41913.600000000006</v>
      </c>
      <c r="KZ19" s="106"/>
      <c r="LA19" s="15">
        <v>12</v>
      </c>
      <c r="LB19" s="92">
        <v>882.7</v>
      </c>
      <c r="LC19" s="324">
        <v>44710</v>
      </c>
      <c r="LD19" s="69">
        <v>882.7</v>
      </c>
      <c r="LE19" s="95" t="s">
        <v>683</v>
      </c>
      <c r="LF19" s="71">
        <v>48</v>
      </c>
      <c r="LG19" s="569">
        <f t="shared" si="35"/>
        <v>42369.600000000006</v>
      </c>
      <c r="LJ19" s="106"/>
      <c r="LK19" s="15">
        <v>12</v>
      </c>
      <c r="LL19" s="279">
        <v>908.09</v>
      </c>
      <c r="LM19" s="324">
        <v>44708</v>
      </c>
      <c r="LN19" s="279">
        <v>908.09</v>
      </c>
      <c r="LO19" s="95" t="s">
        <v>668</v>
      </c>
      <c r="LP19" s="71">
        <v>46</v>
      </c>
      <c r="LQ19" s="569">
        <f t="shared" si="36"/>
        <v>41772.14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>
        <v>44704</v>
      </c>
      <c r="IV20" s="279">
        <v>875.4</v>
      </c>
      <c r="IW20" s="501" t="s">
        <v>624</v>
      </c>
      <c r="IX20" s="266">
        <v>45</v>
      </c>
      <c r="IY20" s="322">
        <f t="shared" si="29"/>
        <v>39393</v>
      </c>
      <c r="IZ20" s="92"/>
      <c r="JB20" s="106"/>
      <c r="JC20" s="15">
        <v>13</v>
      </c>
      <c r="JD20" s="92">
        <v>921.7</v>
      </c>
      <c r="JE20" s="336">
        <v>44705</v>
      </c>
      <c r="JF20" s="92">
        <v>921.7</v>
      </c>
      <c r="JG20" s="265" t="s">
        <v>631</v>
      </c>
      <c r="JH20" s="71">
        <v>45</v>
      </c>
      <c r="JI20" s="569">
        <f t="shared" si="30"/>
        <v>41476.5</v>
      </c>
      <c r="JL20" s="106"/>
      <c r="JM20" s="15">
        <v>13</v>
      </c>
      <c r="JN20" s="92">
        <v>894.5</v>
      </c>
      <c r="JO20" s="324">
        <v>44705</v>
      </c>
      <c r="JP20" s="92">
        <v>894.5</v>
      </c>
      <c r="JQ20" s="70" t="s">
        <v>637</v>
      </c>
      <c r="JR20" s="71">
        <v>45</v>
      </c>
      <c r="JS20" s="569">
        <f t="shared" si="31"/>
        <v>40252.5</v>
      </c>
      <c r="JV20" s="94"/>
      <c r="JW20" s="15">
        <v>13</v>
      </c>
      <c r="JX20" s="69">
        <v>938.48</v>
      </c>
      <c r="JY20" s="336">
        <v>44706</v>
      </c>
      <c r="JZ20" s="69">
        <v>938.48</v>
      </c>
      <c r="KA20" s="70" t="s">
        <v>644</v>
      </c>
      <c r="KB20" s="71">
        <v>45</v>
      </c>
      <c r="KC20" s="569">
        <f t="shared" si="32"/>
        <v>42231.6</v>
      </c>
      <c r="KE20" s="242"/>
      <c r="KF20" s="457"/>
      <c r="KG20" s="15">
        <v>13</v>
      </c>
      <c r="KH20" s="69">
        <v>948.91</v>
      </c>
      <c r="KI20" s="336">
        <v>44707</v>
      </c>
      <c r="KJ20" s="69">
        <v>948.91</v>
      </c>
      <c r="KK20" s="70" t="s">
        <v>655</v>
      </c>
      <c r="KL20" s="71">
        <v>45</v>
      </c>
      <c r="KM20" s="569">
        <f t="shared" si="33"/>
        <v>42700.95</v>
      </c>
      <c r="KP20" s="94"/>
      <c r="KQ20" s="15">
        <v>13</v>
      </c>
      <c r="KR20" s="69">
        <v>887.2</v>
      </c>
      <c r="KS20" s="336">
        <v>44709</v>
      </c>
      <c r="KT20" s="69">
        <v>887.2</v>
      </c>
      <c r="KU20" s="70" t="s">
        <v>677</v>
      </c>
      <c r="KV20" s="71">
        <v>48</v>
      </c>
      <c r="KW20" s="569">
        <f t="shared" si="34"/>
        <v>42585.600000000006</v>
      </c>
      <c r="KZ20" s="106"/>
      <c r="LA20" s="15">
        <v>13</v>
      </c>
      <c r="LB20" s="69">
        <v>897.2</v>
      </c>
      <c r="LC20" s="324">
        <v>44710</v>
      </c>
      <c r="LD20" s="92">
        <v>897.2</v>
      </c>
      <c r="LE20" s="95" t="s">
        <v>683</v>
      </c>
      <c r="LF20" s="71">
        <v>48</v>
      </c>
      <c r="LG20" s="569">
        <f t="shared" si="35"/>
        <v>43065.600000000006</v>
      </c>
      <c r="LJ20" s="106"/>
      <c r="LK20" s="15">
        <v>13</v>
      </c>
      <c r="LL20" s="279">
        <v>941.2</v>
      </c>
      <c r="LM20" s="324">
        <v>44708</v>
      </c>
      <c r="LN20" s="279">
        <v>941.2</v>
      </c>
      <c r="LO20" s="95" t="s">
        <v>669</v>
      </c>
      <c r="LP20" s="71">
        <v>46</v>
      </c>
      <c r="LQ20" s="569">
        <f t="shared" si="36"/>
        <v>43295.200000000004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>
        <v>44704</v>
      </c>
      <c r="IV21" s="279">
        <v>880</v>
      </c>
      <c r="IW21" s="501" t="s">
        <v>627</v>
      </c>
      <c r="IX21" s="266">
        <v>45</v>
      </c>
      <c r="IY21" s="322">
        <f t="shared" si="29"/>
        <v>39600</v>
      </c>
      <c r="IZ21" s="92"/>
      <c r="JB21" s="106"/>
      <c r="JC21" s="15">
        <v>14</v>
      </c>
      <c r="JD21" s="92">
        <v>912.6</v>
      </c>
      <c r="JE21" s="336">
        <v>44705</v>
      </c>
      <c r="JF21" s="92">
        <v>912.6</v>
      </c>
      <c r="JG21" s="265" t="s">
        <v>631</v>
      </c>
      <c r="JH21" s="71">
        <v>45</v>
      </c>
      <c r="JI21" s="569">
        <f t="shared" si="30"/>
        <v>41067</v>
      </c>
      <c r="JL21" s="106"/>
      <c r="JM21" s="15">
        <v>14</v>
      </c>
      <c r="JN21" s="92">
        <v>935.3</v>
      </c>
      <c r="JO21" s="324">
        <v>44705</v>
      </c>
      <c r="JP21" s="92">
        <v>935.3</v>
      </c>
      <c r="JQ21" s="70" t="s">
        <v>637</v>
      </c>
      <c r="JR21" s="71">
        <v>45</v>
      </c>
      <c r="JS21" s="569">
        <f t="shared" si="31"/>
        <v>42088.5</v>
      </c>
      <c r="JV21" s="94"/>
      <c r="JW21" s="15">
        <v>14</v>
      </c>
      <c r="JX21" s="69">
        <v>921.24</v>
      </c>
      <c r="JY21" s="336">
        <v>44707</v>
      </c>
      <c r="JZ21" s="69">
        <v>921.24</v>
      </c>
      <c r="KA21" s="70" t="s">
        <v>648</v>
      </c>
      <c r="KB21" s="71">
        <v>45</v>
      </c>
      <c r="KC21" s="569">
        <f t="shared" si="32"/>
        <v>41455.800000000003</v>
      </c>
      <c r="KE21" s="242"/>
      <c r="KF21" s="457"/>
      <c r="KG21" s="15">
        <v>14</v>
      </c>
      <c r="KH21" s="69">
        <v>955.71</v>
      </c>
      <c r="KI21" s="336">
        <v>44707</v>
      </c>
      <c r="KJ21" s="69">
        <v>955.71</v>
      </c>
      <c r="KK21" s="70" t="s">
        <v>653</v>
      </c>
      <c r="KL21" s="71">
        <v>45</v>
      </c>
      <c r="KM21" s="569">
        <f t="shared" si="33"/>
        <v>43006.950000000004</v>
      </c>
      <c r="KP21" s="94"/>
      <c r="KQ21" s="15">
        <v>14</v>
      </c>
      <c r="KR21" s="69">
        <v>877.2</v>
      </c>
      <c r="KS21" s="336">
        <v>44708</v>
      </c>
      <c r="KT21" s="69">
        <v>877.2</v>
      </c>
      <c r="KU21" s="70" t="s">
        <v>673</v>
      </c>
      <c r="KV21" s="71">
        <v>48</v>
      </c>
      <c r="KW21" s="569">
        <f t="shared" si="34"/>
        <v>42105.600000000006</v>
      </c>
      <c r="KZ21" s="106"/>
      <c r="LA21" s="15">
        <v>14</v>
      </c>
      <c r="LB21" s="92">
        <v>875.4</v>
      </c>
      <c r="LC21" s="324">
        <v>44710</v>
      </c>
      <c r="LD21" s="92">
        <v>875.4</v>
      </c>
      <c r="LE21" s="95" t="s">
        <v>681</v>
      </c>
      <c r="LF21" s="71">
        <v>48</v>
      </c>
      <c r="LG21" s="569">
        <f t="shared" si="35"/>
        <v>42019.199999999997</v>
      </c>
      <c r="LJ21" s="106"/>
      <c r="LK21" s="15">
        <v>14</v>
      </c>
      <c r="LL21" s="279">
        <v>958.89</v>
      </c>
      <c r="LM21" s="324">
        <v>44708</v>
      </c>
      <c r="LN21" s="279">
        <v>958.89</v>
      </c>
      <c r="LO21" s="95" t="s">
        <v>669</v>
      </c>
      <c r="LP21" s="71">
        <v>46</v>
      </c>
      <c r="LQ21" s="569">
        <f t="shared" si="36"/>
        <v>44108.94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>
        <v>44707</v>
      </c>
      <c r="IV22" s="279">
        <v>926.2</v>
      </c>
      <c r="IW22" s="501" t="s">
        <v>623</v>
      </c>
      <c r="IX22" s="266">
        <v>45</v>
      </c>
      <c r="IY22" s="322">
        <f t="shared" si="29"/>
        <v>41679</v>
      </c>
      <c r="IZ22" s="92"/>
      <c r="JB22" s="106"/>
      <c r="JC22" s="15">
        <v>15</v>
      </c>
      <c r="JD22" s="92">
        <v>895.4</v>
      </c>
      <c r="JE22" s="336">
        <v>44705</v>
      </c>
      <c r="JF22" s="92">
        <v>895.4</v>
      </c>
      <c r="JG22" s="265" t="s">
        <v>631</v>
      </c>
      <c r="JH22" s="71">
        <v>45</v>
      </c>
      <c r="JI22" s="569">
        <f t="shared" si="30"/>
        <v>40293</v>
      </c>
      <c r="JL22" s="106"/>
      <c r="JM22" s="15">
        <v>15</v>
      </c>
      <c r="JN22" s="92">
        <v>898.1</v>
      </c>
      <c r="JO22" s="324">
        <v>44705</v>
      </c>
      <c r="JP22" s="92">
        <v>898.1</v>
      </c>
      <c r="JQ22" s="70" t="s">
        <v>637</v>
      </c>
      <c r="JR22" s="71">
        <v>45</v>
      </c>
      <c r="JS22" s="569">
        <f t="shared" si="31"/>
        <v>40414.5</v>
      </c>
      <c r="JV22" s="94"/>
      <c r="JW22" s="15">
        <v>15</v>
      </c>
      <c r="JX22" s="69">
        <v>916.25</v>
      </c>
      <c r="JY22" s="336">
        <v>44706</v>
      </c>
      <c r="JZ22" s="69">
        <v>916.25</v>
      </c>
      <c r="KA22" s="70" t="s">
        <v>644</v>
      </c>
      <c r="KB22" s="71">
        <v>45</v>
      </c>
      <c r="KC22" s="569">
        <f t="shared" si="32"/>
        <v>41231.25</v>
      </c>
      <c r="KE22" s="242"/>
      <c r="KF22" s="457"/>
      <c r="KG22" s="15">
        <v>15</v>
      </c>
      <c r="KH22" s="69">
        <v>954.81</v>
      </c>
      <c r="KI22" s="336">
        <v>44707</v>
      </c>
      <c r="KJ22" s="69">
        <v>954.81</v>
      </c>
      <c r="KK22" s="70" t="s">
        <v>652</v>
      </c>
      <c r="KL22" s="71">
        <v>45</v>
      </c>
      <c r="KM22" s="569">
        <f t="shared" si="33"/>
        <v>42966.45</v>
      </c>
      <c r="KP22" s="94"/>
      <c r="KQ22" s="15">
        <v>15</v>
      </c>
      <c r="KR22" s="69">
        <v>866.4</v>
      </c>
      <c r="KS22" s="336">
        <v>44708</v>
      </c>
      <c r="KT22" s="69">
        <v>866.4</v>
      </c>
      <c r="KU22" s="70" t="s">
        <v>673</v>
      </c>
      <c r="KV22" s="71">
        <v>48</v>
      </c>
      <c r="KW22" s="569">
        <f t="shared" si="34"/>
        <v>41587.199999999997</v>
      </c>
      <c r="KZ22" s="106"/>
      <c r="LA22" s="15">
        <v>15</v>
      </c>
      <c r="LB22" s="92">
        <v>884.5</v>
      </c>
      <c r="LC22" s="324">
        <v>44710</v>
      </c>
      <c r="LD22" s="92">
        <v>884.5</v>
      </c>
      <c r="LE22" s="95" t="s">
        <v>683</v>
      </c>
      <c r="LF22" s="71">
        <v>48</v>
      </c>
      <c r="LG22" s="569">
        <f t="shared" si="35"/>
        <v>42456</v>
      </c>
      <c r="LJ22" s="106"/>
      <c r="LK22" s="15">
        <v>15</v>
      </c>
      <c r="LL22" s="279">
        <v>923.51</v>
      </c>
      <c r="LM22" s="324">
        <v>44708</v>
      </c>
      <c r="LN22" s="279">
        <v>923.51</v>
      </c>
      <c r="LO22" s="95" t="s">
        <v>668</v>
      </c>
      <c r="LP22" s="71">
        <v>46</v>
      </c>
      <c r="LQ22" s="569">
        <f t="shared" si="36"/>
        <v>42481.46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>
        <v>44704</v>
      </c>
      <c r="IV23" s="279">
        <v>920.8</v>
      </c>
      <c r="IW23" s="501" t="s">
        <v>623</v>
      </c>
      <c r="IX23" s="266">
        <v>45</v>
      </c>
      <c r="IY23" s="322">
        <f t="shared" si="29"/>
        <v>41436</v>
      </c>
      <c r="IZ23" s="105"/>
      <c r="JA23" s="69"/>
      <c r="JB23" s="106"/>
      <c r="JC23" s="15">
        <v>16</v>
      </c>
      <c r="JD23" s="92">
        <v>861.8</v>
      </c>
      <c r="JE23" s="336">
        <v>44705</v>
      </c>
      <c r="JF23" s="92">
        <v>861.8</v>
      </c>
      <c r="JG23" s="265" t="s">
        <v>631</v>
      </c>
      <c r="JH23" s="71">
        <v>45</v>
      </c>
      <c r="JI23" s="569">
        <f t="shared" si="30"/>
        <v>38781</v>
      </c>
      <c r="JL23" s="106"/>
      <c r="JM23" s="15">
        <v>16</v>
      </c>
      <c r="JN23" s="92">
        <v>904.5</v>
      </c>
      <c r="JO23" s="324">
        <v>44705</v>
      </c>
      <c r="JP23" s="92">
        <v>904.5</v>
      </c>
      <c r="JQ23" s="70" t="s">
        <v>637</v>
      </c>
      <c r="JR23" s="71">
        <v>45</v>
      </c>
      <c r="JS23" s="569">
        <f t="shared" si="31"/>
        <v>40702.5</v>
      </c>
      <c r="JV23" s="94"/>
      <c r="JW23" s="15">
        <v>16</v>
      </c>
      <c r="JX23" s="69">
        <v>931.22</v>
      </c>
      <c r="JY23" s="336">
        <v>44706</v>
      </c>
      <c r="JZ23" s="69">
        <v>931.22</v>
      </c>
      <c r="KA23" s="70" t="s">
        <v>644</v>
      </c>
      <c r="KB23" s="71">
        <v>45</v>
      </c>
      <c r="KC23" s="569">
        <f t="shared" si="32"/>
        <v>41904.9</v>
      </c>
      <c r="KE23" s="242"/>
      <c r="KF23" s="457"/>
      <c r="KG23" s="15">
        <v>16</v>
      </c>
      <c r="KH23" s="69">
        <v>908.99</v>
      </c>
      <c r="KI23" s="336">
        <v>44707</v>
      </c>
      <c r="KJ23" s="69">
        <v>908.99</v>
      </c>
      <c r="KK23" s="70" t="s">
        <v>656</v>
      </c>
      <c r="KL23" s="71">
        <v>45</v>
      </c>
      <c r="KM23" s="569">
        <f t="shared" si="33"/>
        <v>40904.550000000003</v>
      </c>
      <c r="KP23" s="94"/>
      <c r="KQ23" s="15">
        <v>16</v>
      </c>
      <c r="KR23" s="69">
        <v>893.6</v>
      </c>
      <c r="KS23" s="336">
        <v>44708</v>
      </c>
      <c r="KT23" s="69">
        <v>893.6</v>
      </c>
      <c r="KU23" s="70" t="s">
        <v>673</v>
      </c>
      <c r="KV23" s="71">
        <v>48</v>
      </c>
      <c r="KW23" s="569">
        <f t="shared" si="34"/>
        <v>42892.800000000003</v>
      </c>
      <c r="KZ23" s="106"/>
      <c r="LA23" s="15">
        <v>16</v>
      </c>
      <c r="LB23" s="92">
        <v>893.6</v>
      </c>
      <c r="LC23" s="324">
        <v>44710</v>
      </c>
      <c r="LD23" s="92">
        <v>893.6</v>
      </c>
      <c r="LE23" s="95" t="s">
        <v>681</v>
      </c>
      <c r="LF23" s="71">
        <v>48</v>
      </c>
      <c r="LG23" s="569">
        <f t="shared" si="35"/>
        <v>42892.800000000003</v>
      </c>
      <c r="LJ23" s="106"/>
      <c r="LK23" s="15">
        <v>16</v>
      </c>
      <c r="LL23" s="279">
        <v>860.01</v>
      </c>
      <c r="LM23" s="324">
        <v>44708</v>
      </c>
      <c r="LN23" s="279">
        <v>860.01</v>
      </c>
      <c r="LO23" s="95" t="s">
        <v>668</v>
      </c>
      <c r="LP23" s="71">
        <v>46</v>
      </c>
      <c r="LQ23" s="569">
        <f t="shared" si="36"/>
        <v>39560.46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>
        <v>44704</v>
      </c>
      <c r="IV24" s="279">
        <v>880.9</v>
      </c>
      <c r="IW24" s="501" t="s">
        <v>623</v>
      </c>
      <c r="IX24" s="266">
        <v>45</v>
      </c>
      <c r="IY24" s="322">
        <f t="shared" si="29"/>
        <v>39640.5</v>
      </c>
      <c r="JA24" s="69"/>
      <c r="JB24" s="106"/>
      <c r="JC24" s="15">
        <v>17</v>
      </c>
      <c r="JD24" s="92">
        <v>911.7</v>
      </c>
      <c r="JE24" s="336">
        <v>44705</v>
      </c>
      <c r="JF24" s="92">
        <v>911.7</v>
      </c>
      <c r="JG24" s="265" t="s">
        <v>631</v>
      </c>
      <c r="JH24" s="71">
        <v>45</v>
      </c>
      <c r="JI24" s="322">
        <f t="shared" si="30"/>
        <v>41026.5</v>
      </c>
      <c r="JL24" s="106"/>
      <c r="JM24" s="15">
        <v>17</v>
      </c>
      <c r="JN24" s="92">
        <v>916.3</v>
      </c>
      <c r="JO24" s="324">
        <v>44705</v>
      </c>
      <c r="JP24" s="92">
        <v>916.3</v>
      </c>
      <c r="JQ24" s="70" t="s">
        <v>637</v>
      </c>
      <c r="JR24" s="71">
        <v>45</v>
      </c>
      <c r="JS24" s="569">
        <f t="shared" si="31"/>
        <v>41233.5</v>
      </c>
      <c r="JV24" s="94"/>
      <c r="JW24" s="15">
        <v>17</v>
      </c>
      <c r="JX24" s="69">
        <v>962.52</v>
      </c>
      <c r="JY24" s="336">
        <v>44706</v>
      </c>
      <c r="JZ24" s="69">
        <v>962.52</v>
      </c>
      <c r="KA24" s="70" t="s">
        <v>644</v>
      </c>
      <c r="KB24" s="71">
        <v>45</v>
      </c>
      <c r="KC24" s="569">
        <f t="shared" si="32"/>
        <v>43313.4</v>
      </c>
      <c r="KE24" s="242"/>
      <c r="KF24" s="457"/>
      <c r="KG24" s="15">
        <v>17</v>
      </c>
      <c r="KH24" s="69">
        <v>937.12</v>
      </c>
      <c r="KI24" s="336">
        <v>44707</v>
      </c>
      <c r="KJ24" s="69">
        <v>937.12</v>
      </c>
      <c r="KK24" s="70" t="s">
        <v>653</v>
      </c>
      <c r="KL24" s="71">
        <v>45</v>
      </c>
      <c r="KM24" s="569">
        <f t="shared" si="33"/>
        <v>42170.400000000001</v>
      </c>
      <c r="KP24" s="94"/>
      <c r="KQ24" s="15">
        <v>17</v>
      </c>
      <c r="KR24" s="69">
        <v>880.9</v>
      </c>
      <c r="KS24" s="336">
        <v>44708</v>
      </c>
      <c r="KT24" s="69">
        <v>880.9</v>
      </c>
      <c r="KU24" s="70" t="s">
        <v>673</v>
      </c>
      <c r="KV24" s="71">
        <v>48</v>
      </c>
      <c r="KW24" s="569">
        <f t="shared" si="34"/>
        <v>42283.199999999997</v>
      </c>
      <c r="KZ24" s="106"/>
      <c r="LA24" s="15">
        <v>17</v>
      </c>
      <c r="LB24" s="92">
        <v>892.7</v>
      </c>
      <c r="LC24" s="324">
        <v>44710</v>
      </c>
      <c r="LD24" s="92">
        <v>892.7</v>
      </c>
      <c r="LE24" s="95" t="s">
        <v>681</v>
      </c>
      <c r="LF24" s="71">
        <v>48</v>
      </c>
      <c r="LG24" s="569">
        <f t="shared" si="35"/>
        <v>42849.600000000006</v>
      </c>
      <c r="LJ24" s="106"/>
      <c r="LK24" s="15">
        <v>17</v>
      </c>
      <c r="LL24" s="279">
        <v>865.9</v>
      </c>
      <c r="LM24" s="324">
        <v>44708</v>
      </c>
      <c r="LN24" s="279">
        <v>865.9</v>
      </c>
      <c r="LO24" s="95" t="s">
        <v>668</v>
      </c>
      <c r="LP24" s="71">
        <v>46</v>
      </c>
      <c r="LQ24" s="569">
        <f t="shared" si="36"/>
        <v>39831.4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>
        <v>44704</v>
      </c>
      <c r="IV25" s="279">
        <v>893.6</v>
      </c>
      <c r="IW25" s="501" t="s">
        <v>623</v>
      </c>
      <c r="IX25" s="266">
        <v>45</v>
      </c>
      <c r="IY25" s="322">
        <f t="shared" si="29"/>
        <v>40212</v>
      </c>
      <c r="JA25" s="69"/>
      <c r="JB25" s="94"/>
      <c r="JC25" s="15">
        <v>18</v>
      </c>
      <c r="JD25" s="92">
        <v>918.1</v>
      </c>
      <c r="JE25" s="336">
        <v>44705</v>
      </c>
      <c r="JF25" s="92">
        <v>918.1</v>
      </c>
      <c r="JG25" s="265" t="s">
        <v>631</v>
      </c>
      <c r="JH25" s="71">
        <v>45</v>
      </c>
      <c r="JI25" s="569">
        <f t="shared" si="30"/>
        <v>41314.5</v>
      </c>
      <c r="JL25" s="94"/>
      <c r="JM25" s="15">
        <v>18</v>
      </c>
      <c r="JN25" s="92">
        <v>940.7</v>
      </c>
      <c r="JO25" s="324">
        <v>44705</v>
      </c>
      <c r="JP25" s="92">
        <v>940.7</v>
      </c>
      <c r="JQ25" s="70" t="s">
        <v>637</v>
      </c>
      <c r="JR25" s="71">
        <v>45</v>
      </c>
      <c r="JS25" s="569">
        <f t="shared" si="31"/>
        <v>42331.5</v>
      </c>
      <c r="JV25" s="94"/>
      <c r="JW25" s="15">
        <v>18</v>
      </c>
      <c r="JX25" s="69">
        <v>929.86</v>
      </c>
      <c r="JY25" s="336">
        <v>44706</v>
      </c>
      <c r="JZ25" s="69">
        <v>929.86</v>
      </c>
      <c r="KA25" s="70" t="s">
        <v>644</v>
      </c>
      <c r="KB25" s="71">
        <v>45</v>
      </c>
      <c r="KC25" s="569">
        <f t="shared" si="32"/>
        <v>41843.699999999997</v>
      </c>
      <c r="KE25" s="242"/>
      <c r="KF25" s="457"/>
      <c r="KG25" s="15">
        <v>18</v>
      </c>
      <c r="KH25" s="69">
        <v>970.23</v>
      </c>
      <c r="KI25" s="336">
        <v>44707</v>
      </c>
      <c r="KJ25" s="69">
        <v>970.23</v>
      </c>
      <c r="KK25" s="70" t="s">
        <v>652</v>
      </c>
      <c r="KL25" s="71">
        <v>45</v>
      </c>
      <c r="KM25" s="569">
        <f t="shared" si="33"/>
        <v>43660.35</v>
      </c>
      <c r="KP25" s="94"/>
      <c r="KQ25" s="15">
        <v>18</v>
      </c>
      <c r="KR25" s="69">
        <v>893.6</v>
      </c>
      <c r="KS25" s="336">
        <v>44709</v>
      </c>
      <c r="KT25" s="69">
        <v>893.6</v>
      </c>
      <c r="KU25" s="70" t="s">
        <v>676</v>
      </c>
      <c r="KV25" s="71">
        <v>48</v>
      </c>
      <c r="KW25" s="569">
        <f t="shared" si="34"/>
        <v>42892.800000000003</v>
      </c>
      <c r="KZ25" s="94"/>
      <c r="LA25" s="15">
        <v>18</v>
      </c>
      <c r="LB25" s="92">
        <v>886.3</v>
      </c>
      <c r="LC25" s="324">
        <v>44710</v>
      </c>
      <c r="LD25" s="92">
        <v>886.3</v>
      </c>
      <c r="LE25" s="95" t="s">
        <v>683</v>
      </c>
      <c r="LF25" s="71">
        <v>48</v>
      </c>
      <c r="LG25" s="569">
        <f t="shared" si="35"/>
        <v>42542.399999999994</v>
      </c>
      <c r="LJ25" s="94"/>
      <c r="LK25" s="15">
        <v>18</v>
      </c>
      <c r="LL25" s="279">
        <v>922.6</v>
      </c>
      <c r="LM25" s="324">
        <v>44708</v>
      </c>
      <c r="LN25" s="279">
        <v>922.6</v>
      </c>
      <c r="LO25" s="95" t="s">
        <v>667</v>
      </c>
      <c r="LP25" s="71">
        <v>46</v>
      </c>
      <c r="LQ25" s="569">
        <f t="shared" si="36"/>
        <v>42439.6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>
        <v>44704</v>
      </c>
      <c r="IV26" s="279">
        <v>920.8</v>
      </c>
      <c r="IW26" s="501" t="s">
        <v>623</v>
      </c>
      <c r="IX26" s="266">
        <v>45</v>
      </c>
      <c r="IY26" s="322">
        <f t="shared" si="29"/>
        <v>41436</v>
      </c>
      <c r="JA26" s="69"/>
      <c r="JB26" s="106"/>
      <c r="JC26" s="15">
        <v>19</v>
      </c>
      <c r="JD26" s="92">
        <v>864.5</v>
      </c>
      <c r="JE26" s="336">
        <v>44705</v>
      </c>
      <c r="JF26" s="92">
        <v>864.5</v>
      </c>
      <c r="JG26" s="265" t="s">
        <v>631</v>
      </c>
      <c r="JH26" s="71">
        <v>45</v>
      </c>
      <c r="JI26" s="569">
        <f t="shared" si="30"/>
        <v>38902.5</v>
      </c>
      <c r="JL26" s="106"/>
      <c r="JM26" s="15">
        <v>19</v>
      </c>
      <c r="JN26" s="92">
        <v>893.6</v>
      </c>
      <c r="JO26" s="324">
        <v>44705</v>
      </c>
      <c r="JP26" s="92">
        <v>893.6</v>
      </c>
      <c r="JQ26" s="70" t="s">
        <v>637</v>
      </c>
      <c r="JR26" s="71">
        <v>45</v>
      </c>
      <c r="JS26" s="569">
        <f t="shared" si="31"/>
        <v>40212</v>
      </c>
      <c r="JV26" s="94"/>
      <c r="JW26" s="15">
        <v>19</v>
      </c>
      <c r="JX26" s="69">
        <v>969.32</v>
      </c>
      <c r="JY26" s="336">
        <v>44706</v>
      </c>
      <c r="JZ26" s="69">
        <v>969.32</v>
      </c>
      <c r="KA26" s="70" t="s">
        <v>644</v>
      </c>
      <c r="KB26" s="71">
        <v>45</v>
      </c>
      <c r="KC26" s="569">
        <f t="shared" si="32"/>
        <v>43619.4</v>
      </c>
      <c r="KE26" s="242"/>
      <c r="KF26" s="457"/>
      <c r="KG26" s="15">
        <v>19</v>
      </c>
      <c r="KH26" s="69">
        <v>953.45</v>
      </c>
      <c r="KI26" s="336">
        <v>44707</v>
      </c>
      <c r="KJ26" s="69">
        <v>953.45</v>
      </c>
      <c r="KK26" s="70" t="s">
        <v>655</v>
      </c>
      <c r="KL26" s="71">
        <v>45</v>
      </c>
      <c r="KM26" s="569">
        <f t="shared" si="33"/>
        <v>42905.25</v>
      </c>
      <c r="KP26" s="94"/>
      <c r="KQ26" s="15">
        <v>19</v>
      </c>
      <c r="KR26" s="69">
        <v>903.6</v>
      </c>
      <c r="KS26" s="336">
        <v>44709</v>
      </c>
      <c r="KT26" s="69">
        <v>903.6</v>
      </c>
      <c r="KU26" s="70" t="s">
        <v>674</v>
      </c>
      <c r="KV26" s="71">
        <v>48</v>
      </c>
      <c r="KW26" s="569">
        <f t="shared" si="34"/>
        <v>43372.800000000003</v>
      </c>
      <c r="KZ26" s="106"/>
      <c r="LA26" s="15">
        <v>19</v>
      </c>
      <c r="LB26" s="92">
        <v>863.6</v>
      </c>
      <c r="LC26" s="324">
        <v>44710</v>
      </c>
      <c r="LD26" s="92">
        <v>863.6</v>
      </c>
      <c r="LE26" s="95" t="s">
        <v>683</v>
      </c>
      <c r="LF26" s="71">
        <v>48</v>
      </c>
      <c r="LG26" s="569">
        <f t="shared" si="35"/>
        <v>41452.800000000003</v>
      </c>
      <c r="LJ26" s="106"/>
      <c r="LK26" s="15">
        <v>19</v>
      </c>
      <c r="LL26" s="279">
        <v>931.67</v>
      </c>
      <c r="LM26" s="324">
        <v>44708</v>
      </c>
      <c r="LN26" s="279">
        <v>931.67</v>
      </c>
      <c r="LO26" s="95" t="s">
        <v>667</v>
      </c>
      <c r="LP26" s="71">
        <v>46</v>
      </c>
      <c r="LQ26" s="569">
        <f t="shared" si="36"/>
        <v>42856.82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>
        <v>44704</v>
      </c>
      <c r="IV27" s="279">
        <v>866.4</v>
      </c>
      <c r="IW27" s="501" t="s">
        <v>627</v>
      </c>
      <c r="IX27" s="266">
        <v>45</v>
      </c>
      <c r="IY27" s="322">
        <f t="shared" si="29"/>
        <v>38988</v>
      </c>
      <c r="JA27" s="69"/>
      <c r="JB27" s="106"/>
      <c r="JC27" s="15">
        <v>20</v>
      </c>
      <c r="JD27" s="92">
        <v>924.4</v>
      </c>
      <c r="JE27" s="336">
        <v>44705</v>
      </c>
      <c r="JF27" s="92">
        <v>924.4</v>
      </c>
      <c r="JG27" s="265" t="s">
        <v>631</v>
      </c>
      <c r="JH27" s="71">
        <v>45</v>
      </c>
      <c r="JI27" s="569">
        <f t="shared" si="30"/>
        <v>41598</v>
      </c>
      <c r="JL27" s="106"/>
      <c r="JM27" s="15">
        <v>20</v>
      </c>
      <c r="JN27" s="92">
        <v>889</v>
      </c>
      <c r="JO27" s="324">
        <v>44705</v>
      </c>
      <c r="JP27" s="92">
        <v>889</v>
      </c>
      <c r="JQ27" s="70" t="s">
        <v>637</v>
      </c>
      <c r="JR27" s="71">
        <v>45</v>
      </c>
      <c r="JS27" s="569">
        <f t="shared" si="31"/>
        <v>40005</v>
      </c>
      <c r="JV27" s="94"/>
      <c r="JW27" s="15">
        <v>20</v>
      </c>
      <c r="JX27" s="69">
        <v>950.27</v>
      </c>
      <c r="JY27" s="336">
        <v>44706</v>
      </c>
      <c r="JZ27" s="69">
        <v>950.27</v>
      </c>
      <c r="KA27" s="70" t="s">
        <v>644</v>
      </c>
      <c r="KB27" s="71">
        <v>45</v>
      </c>
      <c r="KC27" s="569">
        <f t="shared" si="32"/>
        <v>42762.15</v>
      </c>
      <c r="KE27" s="242"/>
      <c r="KF27" s="457"/>
      <c r="KG27" s="15">
        <v>20</v>
      </c>
      <c r="KH27" s="69">
        <v>946.64</v>
      </c>
      <c r="KI27" s="336">
        <v>44707</v>
      </c>
      <c r="KJ27" s="69">
        <v>946.64</v>
      </c>
      <c r="KK27" s="70" t="s">
        <v>655</v>
      </c>
      <c r="KL27" s="71">
        <v>45</v>
      </c>
      <c r="KM27" s="569">
        <f t="shared" si="33"/>
        <v>42598.8</v>
      </c>
      <c r="KP27" s="94"/>
      <c r="KQ27" s="15">
        <v>20</v>
      </c>
      <c r="KR27" s="69">
        <v>937.1</v>
      </c>
      <c r="KS27" s="336">
        <v>44708</v>
      </c>
      <c r="KT27" s="69">
        <v>937.1</v>
      </c>
      <c r="KU27" s="70" t="s">
        <v>673</v>
      </c>
      <c r="KV27" s="71">
        <v>48</v>
      </c>
      <c r="KW27" s="569">
        <f t="shared" si="34"/>
        <v>44980.800000000003</v>
      </c>
      <c r="KZ27" s="106"/>
      <c r="LA27" s="15">
        <v>20</v>
      </c>
      <c r="LB27" s="92">
        <v>918.1</v>
      </c>
      <c r="LC27" s="324">
        <v>44710</v>
      </c>
      <c r="LD27" s="92">
        <v>918.1</v>
      </c>
      <c r="LE27" s="95" t="s">
        <v>681</v>
      </c>
      <c r="LF27" s="71">
        <v>48</v>
      </c>
      <c r="LG27" s="569">
        <f t="shared" si="35"/>
        <v>44068.800000000003</v>
      </c>
      <c r="LJ27" s="106"/>
      <c r="LK27" s="15">
        <v>20</v>
      </c>
      <c r="LL27" s="279">
        <v>886.77</v>
      </c>
      <c r="LM27" s="324">
        <v>44708</v>
      </c>
      <c r="LN27" s="279">
        <v>886.77</v>
      </c>
      <c r="LO27" s="95" t="s">
        <v>668</v>
      </c>
      <c r="LP27" s="71">
        <v>46</v>
      </c>
      <c r="LQ27" s="569">
        <f t="shared" si="36"/>
        <v>40791.42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>
        <v>44704</v>
      </c>
      <c r="IV28" s="279">
        <v>896.3</v>
      </c>
      <c r="IW28" s="501" t="s">
        <v>627</v>
      </c>
      <c r="IX28" s="266">
        <v>45</v>
      </c>
      <c r="IY28" s="322">
        <f t="shared" si="29"/>
        <v>40333.5</v>
      </c>
      <c r="JA28" s="69"/>
      <c r="JB28" s="106"/>
      <c r="JC28" s="15">
        <v>21</v>
      </c>
      <c r="JD28" s="69">
        <v>890.9</v>
      </c>
      <c r="JE28" s="336">
        <v>44705</v>
      </c>
      <c r="JF28" s="69">
        <v>890.9</v>
      </c>
      <c r="JG28" s="265" t="s">
        <v>631</v>
      </c>
      <c r="JH28" s="71">
        <v>45</v>
      </c>
      <c r="JI28" s="569">
        <f t="shared" si="30"/>
        <v>40090.5</v>
      </c>
      <c r="JL28" s="106"/>
      <c r="JM28" s="15">
        <v>21</v>
      </c>
      <c r="JN28" s="92">
        <v>902.6</v>
      </c>
      <c r="JO28" s="324">
        <v>44705</v>
      </c>
      <c r="JP28" s="92">
        <v>902.6</v>
      </c>
      <c r="JQ28" s="70" t="s">
        <v>637</v>
      </c>
      <c r="JR28" s="71">
        <v>45</v>
      </c>
      <c r="JS28" s="569">
        <f>JR28*JP28</f>
        <v>40617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>
        <v>44708</v>
      </c>
      <c r="KT28" s="69">
        <v>938.9</v>
      </c>
      <c r="KU28" s="70" t="s">
        <v>673</v>
      </c>
      <c r="KV28" s="71">
        <v>48</v>
      </c>
      <c r="KW28" s="569">
        <f t="shared" si="34"/>
        <v>45067.199999999997</v>
      </c>
      <c r="KZ28" s="106"/>
      <c r="LA28" s="15">
        <v>21</v>
      </c>
      <c r="LB28" s="92">
        <v>884.5</v>
      </c>
      <c r="LC28" s="324">
        <v>44710</v>
      </c>
      <c r="LD28" s="92">
        <v>884.5</v>
      </c>
      <c r="LE28" s="95" t="s">
        <v>681</v>
      </c>
      <c r="LF28" s="71">
        <v>48</v>
      </c>
      <c r="LG28" s="569">
        <f t="shared" si="35"/>
        <v>42456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857947.5</v>
      </c>
      <c r="JV29" s="106"/>
      <c r="JW29" s="15"/>
      <c r="JX29" s="69"/>
      <c r="JY29" s="336"/>
      <c r="JZ29" s="69"/>
      <c r="KA29" s="70"/>
      <c r="KB29" s="71"/>
      <c r="KC29" s="569">
        <f>SUM(KC8:KC28)</f>
        <v>846936.00000000012</v>
      </c>
      <c r="KF29" s="106"/>
      <c r="KG29" s="15"/>
      <c r="KH29" s="69"/>
      <c r="KI29" s="336"/>
      <c r="KJ29" s="69"/>
      <c r="KK29" s="70"/>
      <c r="KL29" s="71"/>
      <c r="KM29" s="569">
        <f>SUM(KM8:KM28)</f>
        <v>849814.64999999991</v>
      </c>
      <c r="KP29" s="106"/>
      <c r="KQ29" s="15"/>
      <c r="KR29" s="69"/>
      <c r="KS29" s="336"/>
      <c r="KT29" s="69"/>
      <c r="KU29" s="70"/>
      <c r="KV29" s="71"/>
      <c r="KW29" s="569">
        <f>SUM(KW8:KW28)</f>
        <v>909484.79999999993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845293.5</v>
      </c>
      <c r="JB30" s="106"/>
      <c r="JC30" s="15"/>
      <c r="JD30" s="69"/>
      <c r="JE30" s="336"/>
      <c r="JF30" s="105"/>
      <c r="JG30" s="70"/>
      <c r="JH30" s="71"/>
      <c r="JI30" s="569">
        <f>SUM(JI8:JI29)</f>
        <v>845770.5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898593.60000000009</v>
      </c>
      <c r="LJ30" s="106"/>
      <c r="LK30" s="15"/>
      <c r="LL30" s="92"/>
      <c r="LM30" s="324"/>
      <c r="LN30" s="92"/>
      <c r="LO30" s="95"/>
      <c r="LP30" s="71"/>
      <c r="LQ30" s="569">
        <f>SUM(LQ8:LQ29)</f>
        <v>856427.94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18784.3</v>
      </c>
      <c r="JD32" s="105">
        <f>SUM(JD8:JD31)</f>
        <v>18794.900000000005</v>
      </c>
      <c r="JF32" s="105">
        <f>SUM(JF8:JF31)</f>
        <v>18794.900000000005</v>
      </c>
      <c r="JN32" s="105">
        <f>SUM(JN8:JN31)</f>
        <v>19065.5</v>
      </c>
      <c r="JP32" s="105">
        <f>SUM(JP8:JP31)</f>
        <v>19065.5</v>
      </c>
      <c r="JX32" s="105">
        <f>SUM(JX8:JX31)</f>
        <v>18820.8</v>
      </c>
      <c r="JZ32" s="105">
        <f>SUM(JZ8:JZ31)</f>
        <v>18820.8</v>
      </c>
      <c r="KH32" s="105">
        <f>SUM(KH8:KH31)</f>
        <v>18884.770000000004</v>
      </c>
      <c r="KJ32" s="105">
        <f>SUM(KJ8:KJ31)</f>
        <v>18884.770000000004</v>
      </c>
      <c r="KR32" s="105">
        <f>SUM(KR8:KR31)</f>
        <v>18947.600000000002</v>
      </c>
      <c r="KT32" s="105">
        <f>SUM(KT8:KT31)</f>
        <v>18947.600000000002</v>
      </c>
      <c r="LB32" s="105">
        <f>SUM(LB8:LB31)</f>
        <v>18720.7</v>
      </c>
      <c r="LD32" s="105">
        <f>SUM(LD8:LD31)</f>
        <v>18720.7</v>
      </c>
      <c r="LL32" s="86">
        <f>SUM(LL8:LL31)</f>
        <v>18296.16</v>
      </c>
      <c r="LN32" s="105">
        <f>SUM(LN8:LN31)</f>
        <v>18296.16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05" t="s">
        <v>21</v>
      </c>
      <c r="RU33" s="1206"/>
      <c r="RV33" s="141">
        <f>SUM(RW5-RV32)</f>
        <v>0</v>
      </c>
      <c r="SC33" s="1205" t="s">
        <v>21</v>
      </c>
      <c r="SD33" s="1206"/>
      <c r="SE33" s="141">
        <f>SUM(SF5-SE32)</f>
        <v>0</v>
      </c>
      <c r="SL33" s="1205" t="s">
        <v>21</v>
      </c>
      <c r="SM33" s="1206"/>
      <c r="SN33" s="232">
        <f>SUM(SO5-SN32)</f>
        <v>0</v>
      </c>
      <c r="SU33" s="1205" t="s">
        <v>21</v>
      </c>
      <c r="SV33" s="1206"/>
      <c r="SW33" s="141">
        <f>SUM(SX5-SW32)</f>
        <v>0</v>
      </c>
      <c r="TD33" s="1205" t="s">
        <v>21</v>
      </c>
      <c r="TE33" s="1206"/>
      <c r="TF33" s="141">
        <f>SUM(TG5-TF32)</f>
        <v>0</v>
      </c>
      <c r="TM33" s="1205" t="s">
        <v>21</v>
      </c>
      <c r="TN33" s="1206"/>
      <c r="TO33" s="141">
        <f>SUM(TP5-TO32)</f>
        <v>0</v>
      </c>
      <c r="TV33" s="1205" t="s">
        <v>21</v>
      </c>
      <c r="TW33" s="1206"/>
      <c r="TX33" s="141">
        <f>SUM(TY5-TX32)</f>
        <v>0</v>
      </c>
      <c r="UE33" s="1205" t="s">
        <v>21</v>
      </c>
      <c r="UF33" s="1206"/>
      <c r="UG33" s="141">
        <f>SUM(UH5-UG32)</f>
        <v>0</v>
      </c>
      <c r="UN33" s="1205" t="s">
        <v>21</v>
      </c>
      <c r="UO33" s="1206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05" t="s">
        <v>21</v>
      </c>
      <c r="VP33" s="1206"/>
      <c r="VQ33" s="141">
        <f>VR5-VQ32</f>
        <v>-22</v>
      </c>
      <c r="VX33" s="1205" t="s">
        <v>21</v>
      </c>
      <c r="VY33" s="1206"/>
      <c r="VZ33" s="141">
        <f>WA5-VZ32</f>
        <v>-22</v>
      </c>
      <c r="WG33" s="1205" t="s">
        <v>21</v>
      </c>
      <c r="WH33" s="1206"/>
      <c r="WI33" s="141">
        <f>WJ5-WI32</f>
        <v>-22</v>
      </c>
      <c r="WP33" s="1205" t="s">
        <v>21</v>
      </c>
      <c r="WQ33" s="1206"/>
      <c r="WR33" s="141">
        <f>WS5-WR32</f>
        <v>-22</v>
      </c>
      <c r="WY33" s="1205" t="s">
        <v>21</v>
      </c>
      <c r="WZ33" s="1206"/>
      <c r="XA33" s="141">
        <f>XB5-XA32</f>
        <v>-22</v>
      </c>
      <c r="XH33" s="1205" t="s">
        <v>21</v>
      </c>
      <c r="XI33" s="1206"/>
      <c r="XJ33" s="141">
        <f>XK5-XJ32</f>
        <v>-22</v>
      </c>
      <c r="XQ33" s="1205" t="s">
        <v>21</v>
      </c>
      <c r="XR33" s="1206"/>
      <c r="XS33" s="141">
        <f>XT5-XS32</f>
        <v>-22</v>
      </c>
      <c r="XZ33" s="1205" t="s">
        <v>21</v>
      </c>
      <c r="YA33" s="1206"/>
      <c r="YB33" s="141">
        <f>YC5-YB32</f>
        <v>-22</v>
      </c>
      <c r="YI33" s="1205" t="s">
        <v>21</v>
      </c>
      <c r="YJ33" s="1206"/>
      <c r="YK33" s="141">
        <f>YL5-YK32</f>
        <v>-22</v>
      </c>
      <c r="YR33" s="1205" t="s">
        <v>21</v>
      </c>
      <c r="YS33" s="1206"/>
      <c r="YT33" s="141">
        <f>YU5-YT32</f>
        <v>-22</v>
      </c>
      <c r="ZA33" s="1205" t="s">
        <v>21</v>
      </c>
      <c r="ZB33" s="1206"/>
      <c r="ZC33" s="141">
        <f>ZD5-ZC32</f>
        <v>-22</v>
      </c>
      <c r="ZJ33" s="1205" t="s">
        <v>21</v>
      </c>
      <c r="ZK33" s="1206"/>
      <c r="ZL33" s="141">
        <f>ZM5-ZL32</f>
        <v>-22</v>
      </c>
      <c r="ZS33" s="1205" t="s">
        <v>21</v>
      </c>
      <c r="ZT33" s="1206"/>
      <c r="ZU33" s="141">
        <f>ZV5-ZU32</f>
        <v>-22</v>
      </c>
      <c r="AAB33" s="1205" t="s">
        <v>21</v>
      </c>
      <c r="AAC33" s="1206"/>
      <c r="AAD33" s="141">
        <f>AAE5-AAD32</f>
        <v>-22</v>
      </c>
      <c r="AAK33" s="1205" t="s">
        <v>21</v>
      </c>
      <c r="AAL33" s="1206"/>
      <c r="AAM33" s="141">
        <f>AAN5-AAM32</f>
        <v>-22</v>
      </c>
      <c r="AAT33" s="1205" t="s">
        <v>21</v>
      </c>
      <c r="AAU33" s="1206"/>
      <c r="AAV33" s="141">
        <f>AAV32-AAT32</f>
        <v>22</v>
      </c>
      <c r="ABC33" s="1205" t="s">
        <v>21</v>
      </c>
      <c r="ABD33" s="1206"/>
      <c r="ABE33" s="141">
        <f>ABF5-ABE32</f>
        <v>-22</v>
      </c>
      <c r="ABL33" s="1205" t="s">
        <v>21</v>
      </c>
      <c r="ABM33" s="1206"/>
      <c r="ABN33" s="141">
        <f>ABO5-ABN32</f>
        <v>-22</v>
      </c>
      <c r="ABU33" s="1205" t="s">
        <v>21</v>
      </c>
      <c r="ABV33" s="1206"/>
      <c r="ABW33" s="141">
        <f>ABX5-ABW32</f>
        <v>-22</v>
      </c>
      <c r="ACD33" s="1205" t="s">
        <v>21</v>
      </c>
      <c r="ACE33" s="1206"/>
      <c r="ACF33" s="141">
        <f>ACG5-ACF32</f>
        <v>-22</v>
      </c>
      <c r="ACM33" s="1205" t="s">
        <v>21</v>
      </c>
      <c r="ACN33" s="1206"/>
      <c r="ACO33" s="141">
        <f>ACP5-ACO32</f>
        <v>-22</v>
      </c>
      <c r="ACV33" s="1205" t="s">
        <v>21</v>
      </c>
      <c r="ACW33" s="1206"/>
      <c r="ACX33" s="141">
        <f>ACY5-ACX32</f>
        <v>-22</v>
      </c>
      <c r="ADE33" s="1205" t="s">
        <v>21</v>
      </c>
      <c r="ADF33" s="1206"/>
      <c r="ADG33" s="141">
        <f>ADH5-ADG32</f>
        <v>-22</v>
      </c>
      <c r="ADN33" s="1205" t="s">
        <v>21</v>
      </c>
      <c r="ADO33" s="1206"/>
      <c r="ADP33" s="141">
        <f>ADQ5-ADP32</f>
        <v>-22</v>
      </c>
      <c r="ADW33" s="1205" t="s">
        <v>21</v>
      </c>
      <c r="ADX33" s="1206"/>
      <c r="ADY33" s="141">
        <f>ADZ5-ADY32</f>
        <v>-22</v>
      </c>
      <c r="AEF33" s="1205" t="s">
        <v>21</v>
      </c>
      <c r="AEG33" s="1206"/>
      <c r="AEH33" s="141">
        <f>AEI5-AEH32</f>
        <v>-22</v>
      </c>
      <c r="AEO33" s="1205" t="s">
        <v>21</v>
      </c>
      <c r="AEP33" s="1206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07" t="s">
        <v>4</v>
      </c>
      <c r="RU34" s="1208"/>
      <c r="RV34" s="49"/>
      <c r="SC34" s="1207" t="s">
        <v>4</v>
      </c>
      <c r="SD34" s="1208"/>
      <c r="SE34" s="49"/>
      <c r="SL34" s="1207" t="s">
        <v>4</v>
      </c>
      <c r="SM34" s="1208"/>
      <c r="SN34" s="49"/>
      <c r="SU34" s="1207" t="s">
        <v>4</v>
      </c>
      <c r="SV34" s="1208"/>
      <c r="SW34" s="49"/>
      <c r="TD34" s="1207" t="s">
        <v>4</v>
      </c>
      <c r="TE34" s="1208"/>
      <c r="TF34" s="49"/>
      <c r="TM34" s="1207" t="s">
        <v>4</v>
      </c>
      <c r="TN34" s="1208"/>
      <c r="TO34" s="49"/>
      <c r="TV34" s="1207" t="s">
        <v>4</v>
      </c>
      <c r="TW34" s="1208"/>
      <c r="TX34" s="49"/>
      <c r="UE34" s="1207" t="s">
        <v>4</v>
      </c>
      <c r="UF34" s="1208"/>
      <c r="UG34" s="49"/>
      <c r="UN34" s="1207" t="s">
        <v>4</v>
      </c>
      <c r="UO34" s="1208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07" t="s">
        <v>4</v>
      </c>
      <c r="VP34" s="1208"/>
      <c r="VQ34" s="49"/>
      <c r="VX34" s="1207" t="s">
        <v>4</v>
      </c>
      <c r="VY34" s="1208"/>
      <c r="VZ34" s="49"/>
      <c r="WG34" s="1207" t="s">
        <v>4</v>
      </c>
      <c r="WH34" s="1208"/>
      <c r="WI34" s="49"/>
      <c r="WP34" s="1207" t="s">
        <v>4</v>
      </c>
      <c r="WQ34" s="1208"/>
      <c r="WR34" s="49"/>
      <c r="WY34" s="1207" t="s">
        <v>4</v>
      </c>
      <c r="WZ34" s="1208"/>
      <c r="XA34" s="49"/>
      <c r="XH34" s="1207" t="s">
        <v>4</v>
      </c>
      <c r="XI34" s="1208"/>
      <c r="XJ34" s="49"/>
      <c r="XQ34" s="1207" t="s">
        <v>4</v>
      </c>
      <c r="XR34" s="1208"/>
      <c r="XS34" s="49"/>
      <c r="XZ34" s="1207" t="s">
        <v>4</v>
      </c>
      <c r="YA34" s="1208"/>
      <c r="YB34" s="49"/>
      <c r="YI34" s="1207" t="s">
        <v>4</v>
      </c>
      <c r="YJ34" s="1208"/>
      <c r="YK34" s="49"/>
      <c r="YR34" s="1207" t="s">
        <v>4</v>
      </c>
      <c r="YS34" s="1208"/>
      <c r="YT34" s="49"/>
      <c r="ZA34" s="1207" t="s">
        <v>4</v>
      </c>
      <c r="ZB34" s="1208"/>
      <c r="ZC34" s="49"/>
      <c r="ZJ34" s="1207" t="s">
        <v>4</v>
      </c>
      <c r="ZK34" s="1208"/>
      <c r="ZL34" s="49"/>
      <c r="ZS34" s="1207" t="s">
        <v>4</v>
      </c>
      <c r="ZT34" s="1208"/>
      <c r="ZU34" s="49"/>
      <c r="AAB34" s="1207" t="s">
        <v>4</v>
      </c>
      <c r="AAC34" s="1208"/>
      <c r="AAD34" s="49"/>
      <c r="AAK34" s="1207" t="s">
        <v>4</v>
      </c>
      <c r="AAL34" s="1208"/>
      <c r="AAM34" s="49"/>
      <c r="AAT34" s="1207" t="s">
        <v>4</v>
      </c>
      <c r="AAU34" s="1208"/>
      <c r="AAV34" s="49"/>
      <c r="ABC34" s="1207" t="s">
        <v>4</v>
      </c>
      <c r="ABD34" s="1208"/>
      <c r="ABE34" s="49"/>
      <c r="ABL34" s="1207" t="s">
        <v>4</v>
      </c>
      <c r="ABM34" s="1208"/>
      <c r="ABN34" s="49"/>
      <c r="ABU34" s="1207" t="s">
        <v>4</v>
      </c>
      <c r="ABV34" s="1208"/>
      <c r="ABW34" s="49"/>
      <c r="ACD34" s="1207" t="s">
        <v>4</v>
      </c>
      <c r="ACE34" s="1208"/>
      <c r="ACF34" s="49"/>
      <c r="ACM34" s="1207" t="s">
        <v>4</v>
      </c>
      <c r="ACN34" s="1208"/>
      <c r="ACO34" s="49"/>
      <c r="ACV34" s="1207" t="s">
        <v>4</v>
      </c>
      <c r="ACW34" s="1208"/>
      <c r="ACX34" s="49"/>
      <c r="ADE34" s="1207" t="s">
        <v>4</v>
      </c>
      <c r="ADF34" s="1208"/>
      <c r="ADG34" s="49"/>
      <c r="ADN34" s="1207" t="s">
        <v>4</v>
      </c>
      <c r="ADO34" s="1208"/>
      <c r="ADP34" s="49"/>
      <c r="ADW34" s="1207" t="s">
        <v>4</v>
      </c>
      <c r="ADX34" s="1208"/>
      <c r="ADY34" s="49"/>
      <c r="AEF34" s="1207" t="s">
        <v>4</v>
      </c>
      <c r="AEG34" s="1208"/>
      <c r="AEH34" s="49"/>
      <c r="AEO34" s="1207" t="s">
        <v>4</v>
      </c>
      <c r="AEP34" s="1208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5" t="s">
        <v>21</v>
      </c>
      <c r="E32" s="1206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0" t="s">
        <v>223</v>
      </c>
      <c r="B1" s="1220"/>
      <c r="C1" s="1220"/>
      <c r="D1" s="1220"/>
      <c r="E1" s="1220"/>
      <c r="F1" s="1220"/>
      <c r="G1" s="122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214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214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05" t="s">
        <v>21</v>
      </c>
      <c r="E30" s="1206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pane ySplit="8" topLeftCell="A59" activePane="bottomLeft" state="frozen"/>
      <selection pane="bottomLeft" activeCell="J74" sqref="J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9" t="s">
        <v>224</v>
      </c>
      <c r="B1" s="1239"/>
      <c r="C1" s="1239"/>
      <c r="D1" s="1239"/>
      <c r="E1" s="1239"/>
      <c r="F1" s="1239"/>
      <c r="G1" s="1239"/>
      <c r="H1" s="1239"/>
      <c r="I1" s="1239"/>
      <c r="J1" s="1239"/>
      <c r="K1" s="733">
        <v>1</v>
      </c>
      <c r="M1" s="1240" t="s">
        <v>240</v>
      </c>
      <c r="N1" s="1240"/>
      <c r="O1" s="1240"/>
      <c r="P1" s="1240"/>
      <c r="Q1" s="1240"/>
      <c r="R1" s="1240"/>
      <c r="S1" s="1240"/>
      <c r="T1" s="1240"/>
      <c r="U1" s="1240"/>
      <c r="V1" s="1240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1144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0">
        <f t="shared" si="0"/>
        <v>27.22</v>
      </c>
      <c r="E17" s="1031">
        <v>44683</v>
      </c>
      <c r="F17" s="1032">
        <f t="shared" si="1"/>
        <v>27.22</v>
      </c>
      <c r="G17" s="1033" t="s">
        <v>353</v>
      </c>
      <c r="H17" s="1034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0">
        <f t="shared" si="0"/>
        <v>136.1</v>
      </c>
      <c r="E18" s="1035">
        <v>44683</v>
      </c>
      <c r="F18" s="1032">
        <f t="shared" si="1"/>
        <v>136.1</v>
      </c>
      <c r="G18" s="1033" t="s">
        <v>359</v>
      </c>
      <c r="H18" s="1034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0">
        <f t="shared" si="0"/>
        <v>27.22</v>
      </c>
      <c r="E19" s="1031">
        <v>44684</v>
      </c>
      <c r="F19" s="1032">
        <f t="shared" si="1"/>
        <v>27.22</v>
      </c>
      <c r="G19" s="1033" t="s">
        <v>363</v>
      </c>
      <c r="H19" s="1034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0">
        <f t="shared" si="0"/>
        <v>54.44</v>
      </c>
      <c r="E20" s="1031">
        <v>44684</v>
      </c>
      <c r="F20" s="1032">
        <f t="shared" si="1"/>
        <v>54.44</v>
      </c>
      <c r="G20" s="1033" t="s">
        <v>369</v>
      </c>
      <c r="H20" s="1034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0">
        <f t="shared" si="0"/>
        <v>27.22</v>
      </c>
      <c r="E21" s="1035">
        <v>44685</v>
      </c>
      <c r="F21" s="1032">
        <f t="shared" si="1"/>
        <v>27.22</v>
      </c>
      <c r="G21" s="1033" t="s">
        <v>377</v>
      </c>
      <c r="H21" s="1034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0">
        <f t="shared" si="0"/>
        <v>27.22</v>
      </c>
      <c r="E22" s="1035">
        <v>44685</v>
      </c>
      <c r="F22" s="1032">
        <f t="shared" si="1"/>
        <v>27.22</v>
      </c>
      <c r="G22" s="1033" t="s">
        <v>381</v>
      </c>
      <c r="H22" s="1034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0">
        <f t="shared" si="0"/>
        <v>653.28</v>
      </c>
      <c r="E23" s="1035">
        <v>44685</v>
      </c>
      <c r="F23" s="1032">
        <f t="shared" si="1"/>
        <v>653.28</v>
      </c>
      <c r="G23" s="1033" t="s">
        <v>383</v>
      </c>
      <c r="H23" s="1034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0">
        <f t="shared" si="0"/>
        <v>871.04</v>
      </c>
      <c r="E24" s="1031">
        <v>44686</v>
      </c>
      <c r="F24" s="1032">
        <f t="shared" si="1"/>
        <v>871.04</v>
      </c>
      <c r="G24" s="1033" t="s">
        <v>396</v>
      </c>
      <c r="H24" s="1034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0">
        <f t="shared" si="0"/>
        <v>54.44</v>
      </c>
      <c r="E25" s="1035">
        <v>44687</v>
      </c>
      <c r="F25" s="1032">
        <f t="shared" si="1"/>
        <v>54.44</v>
      </c>
      <c r="G25" s="1033" t="s">
        <v>397</v>
      </c>
      <c r="H25" s="1034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0">
        <f t="shared" si="0"/>
        <v>136.1</v>
      </c>
      <c r="E26" s="1031">
        <v>44687</v>
      </c>
      <c r="F26" s="1032">
        <f t="shared" si="1"/>
        <v>136.1</v>
      </c>
      <c r="G26" s="1033" t="s">
        <v>399</v>
      </c>
      <c r="H26" s="1034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0">
        <f t="shared" si="0"/>
        <v>272.2</v>
      </c>
      <c r="E27" s="1031">
        <v>44687</v>
      </c>
      <c r="F27" s="1032">
        <f t="shared" si="1"/>
        <v>272.2</v>
      </c>
      <c r="G27" s="1033" t="s">
        <v>400</v>
      </c>
      <c r="H27" s="1034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0">
        <f t="shared" si="0"/>
        <v>244.98</v>
      </c>
      <c r="E28" s="1031">
        <v>44688</v>
      </c>
      <c r="F28" s="1032">
        <f t="shared" si="1"/>
        <v>244.98</v>
      </c>
      <c r="G28" s="1033" t="s">
        <v>408</v>
      </c>
      <c r="H28" s="1034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0">
        <f t="shared" si="0"/>
        <v>272.2</v>
      </c>
      <c r="E29" s="1031">
        <v>44688</v>
      </c>
      <c r="F29" s="1032">
        <f t="shared" si="1"/>
        <v>272.2</v>
      </c>
      <c r="G29" s="1033" t="s">
        <v>414</v>
      </c>
      <c r="H29" s="1034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0">
        <f t="shared" si="0"/>
        <v>653.28</v>
      </c>
      <c r="E30" s="1031">
        <v>44688</v>
      </c>
      <c r="F30" s="1032">
        <f t="shared" si="1"/>
        <v>653.28</v>
      </c>
      <c r="G30" s="1036" t="s">
        <v>419</v>
      </c>
      <c r="H30" s="1037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0">
        <f t="shared" si="0"/>
        <v>81.66</v>
      </c>
      <c r="E31" s="1031">
        <v>44690</v>
      </c>
      <c r="F31" s="1032">
        <f t="shared" si="1"/>
        <v>81.66</v>
      </c>
      <c r="G31" s="1036" t="s">
        <v>423</v>
      </c>
      <c r="H31" s="1037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0">
        <f t="shared" si="0"/>
        <v>81.66</v>
      </c>
      <c r="E32" s="1031">
        <v>44690</v>
      </c>
      <c r="F32" s="1032">
        <f t="shared" si="1"/>
        <v>81.66</v>
      </c>
      <c r="G32" s="1036" t="s">
        <v>424</v>
      </c>
      <c r="H32" s="1037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0">
        <f t="shared" si="0"/>
        <v>54.44</v>
      </c>
      <c r="E33" s="1031">
        <v>44690</v>
      </c>
      <c r="F33" s="1032">
        <f t="shared" si="1"/>
        <v>54.44</v>
      </c>
      <c r="G33" s="1036" t="s">
        <v>425</v>
      </c>
      <c r="H33" s="1037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0">
        <f t="shared" si="0"/>
        <v>54.44</v>
      </c>
      <c r="E34" s="1031">
        <v>44690</v>
      </c>
      <c r="F34" s="1032">
        <f t="shared" si="1"/>
        <v>54.44</v>
      </c>
      <c r="G34" s="1033" t="s">
        <v>426</v>
      </c>
      <c r="H34" s="1034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0">
        <f t="shared" ref="D35:D74" si="12">C35*B35</f>
        <v>54.44</v>
      </c>
      <c r="E35" s="1031">
        <v>44690</v>
      </c>
      <c r="F35" s="1032">
        <f t="shared" ref="F35:F74" si="13">D35</f>
        <v>54.44</v>
      </c>
      <c r="G35" s="1033" t="s">
        <v>428</v>
      </c>
      <c r="H35" s="1034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0">
        <f t="shared" si="12"/>
        <v>27.22</v>
      </c>
      <c r="E36" s="1031">
        <v>44690</v>
      </c>
      <c r="F36" s="1032">
        <f t="shared" si="13"/>
        <v>27.22</v>
      </c>
      <c r="G36" s="1033" t="s">
        <v>430</v>
      </c>
      <c r="H36" s="1034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2">
        <f t="shared" si="12"/>
        <v>871.04</v>
      </c>
      <c r="E37" s="1038">
        <v>44691</v>
      </c>
      <c r="F37" s="1032">
        <f t="shared" si="13"/>
        <v>871.04</v>
      </c>
      <c r="G37" s="1033" t="s">
        <v>438</v>
      </c>
      <c r="H37" s="1034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2">
        <f t="shared" si="12"/>
        <v>81.66</v>
      </c>
      <c r="E38" s="1038">
        <v>44692</v>
      </c>
      <c r="F38" s="1032">
        <f t="shared" si="13"/>
        <v>81.66</v>
      </c>
      <c r="G38" s="1033" t="s">
        <v>447</v>
      </c>
      <c r="H38" s="1034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2">
        <f t="shared" si="12"/>
        <v>27.22</v>
      </c>
      <c r="E39" s="1038">
        <v>44692</v>
      </c>
      <c r="F39" s="1032">
        <f t="shared" si="13"/>
        <v>27.22</v>
      </c>
      <c r="G39" s="1033" t="s">
        <v>452</v>
      </c>
      <c r="H39" s="1034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2">
        <f t="shared" si="12"/>
        <v>871.04</v>
      </c>
      <c r="E40" s="1038">
        <v>44692</v>
      </c>
      <c r="F40" s="1032">
        <f t="shared" si="13"/>
        <v>871.04</v>
      </c>
      <c r="G40" s="1033" t="s">
        <v>461</v>
      </c>
      <c r="H40" s="1034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2">
        <f t="shared" si="12"/>
        <v>54.44</v>
      </c>
      <c r="E41" s="1038">
        <v>44693</v>
      </c>
      <c r="F41" s="1032">
        <f t="shared" si="13"/>
        <v>54.44</v>
      </c>
      <c r="G41" s="1033" t="s">
        <v>460</v>
      </c>
      <c r="H41" s="1034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2">
        <f t="shared" si="12"/>
        <v>27.22</v>
      </c>
      <c r="E42" s="1038">
        <v>44693</v>
      </c>
      <c r="F42" s="1032">
        <f t="shared" si="13"/>
        <v>27.22</v>
      </c>
      <c r="G42" s="1033" t="s">
        <v>464</v>
      </c>
      <c r="H42" s="1034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2">
        <f t="shared" si="12"/>
        <v>27.22</v>
      </c>
      <c r="E43" s="1038">
        <v>44693</v>
      </c>
      <c r="F43" s="1032">
        <f t="shared" si="13"/>
        <v>27.22</v>
      </c>
      <c r="G43" s="1033" t="s">
        <v>469</v>
      </c>
      <c r="H43" s="1034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2">
        <f t="shared" si="12"/>
        <v>108.88</v>
      </c>
      <c r="E44" s="1038">
        <v>44694</v>
      </c>
      <c r="F44" s="1032">
        <f t="shared" si="13"/>
        <v>108.88</v>
      </c>
      <c r="G44" s="1033" t="s">
        <v>471</v>
      </c>
      <c r="H44" s="1034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2">
        <f t="shared" si="12"/>
        <v>81.66</v>
      </c>
      <c r="E45" s="1038">
        <v>44694</v>
      </c>
      <c r="F45" s="1032">
        <f t="shared" si="13"/>
        <v>81.66</v>
      </c>
      <c r="G45" s="1033" t="s">
        <v>472</v>
      </c>
      <c r="H45" s="1034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2">
        <f t="shared" si="12"/>
        <v>272.2</v>
      </c>
      <c r="E46" s="1038">
        <v>44694</v>
      </c>
      <c r="F46" s="1032">
        <f t="shared" si="13"/>
        <v>272.2</v>
      </c>
      <c r="G46" s="1033" t="s">
        <v>473</v>
      </c>
      <c r="H46" s="1034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2">
        <f t="shared" si="12"/>
        <v>27.22</v>
      </c>
      <c r="E47" s="1038">
        <v>44694</v>
      </c>
      <c r="F47" s="1032">
        <f t="shared" si="13"/>
        <v>27.22</v>
      </c>
      <c r="G47" s="1033" t="s">
        <v>474</v>
      </c>
      <c r="H47" s="1034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2">
        <f t="shared" si="12"/>
        <v>27.22</v>
      </c>
      <c r="E48" s="1038">
        <v>44695</v>
      </c>
      <c r="F48" s="1032">
        <f t="shared" si="13"/>
        <v>27.22</v>
      </c>
      <c r="G48" s="1033" t="s">
        <v>485</v>
      </c>
      <c r="H48" s="1034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2">
        <f t="shared" si="12"/>
        <v>871.04</v>
      </c>
      <c r="E49" s="1038">
        <v>44695</v>
      </c>
      <c r="F49" s="1032">
        <f t="shared" si="13"/>
        <v>871.04</v>
      </c>
      <c r="G49" s="1033" t="s">
        <v>457</v>
      </c>
      <c r="H49" s="1037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2">
        <f t="shared" si="12"/>
        <v>136.1</v>
      </c>
      <c r="E50" s="1038">
        <v>44695</v>
      </c>
      <c r="F50" s="1032">
        <f t="shared" si="13"/>
        <v>136.1</v>
      </c>
      <c r="G50" s="1033" t="s">
        <v>491</v>
      </c>
      <c r="H50" s="1034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2">
        <f t="shared" si="12"/>
        <v>81.66</v>
      </c>
      <c r="E51" s="1038">
        <v>44697</v>
      </c>
      <c r="F51" s="1032">
        <f t="shared" si="13"/>
        <v>81.66</v>
      </c>
      <c r="G51" s="1033" t="s">
        <v>508</v>
      </c>
      <c r="H51" s="1034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2">
        <f t="shared" si="12"/>
        <v>762.16</v>
      </c>
      <c r="E52" s="1038">
        <v>44697</v>
      </c>
      <c r="F52" s="1032">
        <f t="shared" si="13"/>
        <v>762.16</v>
      </c>
      <c r="G52" s="1033" t="s">
        <v>510</v>
      </c>
      <c r="H52" s="1034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2">
        <f t="shared" si="12"/>
        <v>81.66</v>
      </c>
      <c r="E53" s="1038">
        <v>44698</v>
      </c>
      <c r="F53" s="1032">
        <f t="shared" si="13"/>
        <v>81.66</v>
      </c>
      <c r="G53" s="1033" t="s">
        <v>492</v>
      </c>
      <c r="H53" s="1034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2">
        <f t="shared" si="12"/>
        <v>136.1</v>
      </c>
      <c r="E54" s="1038">
        <v>44698</v>
      </c>
      <c r="F54" s="1032">
        <f t="shared" si="13"/>
        <v>136.1</v>
      </c>
      <c r="G54" s="1033" t="s">
        <v>501</v>
      </c>
      <c r="H54" s="1034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2">
        <f t="shared" si="12"/>
        <v>81.66</v>
      </c>
      <c r="E55" s="1038">
        <v>44699</v>
      </c>
      <c r="F55" s="1032">
        <f t="shared" si="13"/>
        <v>81.66</v>
      </c>
      <c r="G55" s="1033" t="s">
        <v>519</v>
      </c>
      <c r="H55" s="1034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2">
        <f t="shared" si="12"/>
        <v>27.22</v>
      </c>
      <c r="E56" s="1038">
        <v>44699</v>
      </c>
      <c r="F56" s="1032">
        <f t="shared" si="13"/>
        <v>27.22</v>
      </c>
      <c r="G56" s="1033" t="s">
        <v>520</v>
      </c>
      <c r="H56" s="1034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2">
        <f t="shared" si="12"/>
        <v>871.04</v>
      </c>
      <c r="E57" s="1038">
        <v>44699</v>
      </c>
      <c r="F57" s="1032">
        <f t="shared" si="13"/>
        <v>871.04</v>
      </c>
      <c r="G57" s="1033" t="s">
        <v>521</v>
      </c>
      <c r="H57" s="1034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2">
        <f t="shared" si="12"/>
        <v>272.2</v>
      </c>
      <c r="E58" s="1038">
        <v>44699</v>
      </c>
      <c r="F58" s="1032">
        <f t="shared" si="13"/>
        <v>272.2</v>
      </c>
      <c r="G58" s="1033" t="s">
        <v>522</v>
      </c>
      <c r="H58" s="1034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2">
        <f t="shared" si="12"/>
        <v>27.22</v>
      </c>
      <c r="E59" s="1038">
        <v>44699</v>
      </c>
      <c r="F59" s="1032">
        <f t="shared" si="13"/>
        <v>27.22</v>
      </c>
      <c r="G59" s="1033" t="s">
        <v>523</v>
      </c>
      <c r="H59" s="1034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2">
        <f t="shared" si="12"/>
        <v>871.04</v>
      </c>
      <c r="E60" s="1038">
        <v>44699</v>
      </c>
      <c r="F60" s="1032">
        <f t="shared" si="13"/>
        <v>871.04</v>
      </c>
      <c r="G60" s="1033" t="s">
        <v>533</v>
      </c>
      <c r="H60" s="1034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2">
        <f t="shared" si="12"/>
        <v>871.04</v>
      </c>
      <c r="E61" s="1038">
        <v>44701</v>
      </c>
      <c r="F61" s="1032">
        <f t="shared" si="13"/>
        <v>871.04</v>
      </c>
      <c r="G61" s="1033" t="s">
        <v>543</v>
      </c>
      <c r="H61" s="1034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2">
        <f t="shared" si="12"/>
        <v>136.1</v>
      </c>
      <c r="E62" s="1038">
        <v>44702</v>
      </c>
      <c r="F62" s="1032">
        <f t="shared" si="13"/>
        <v>136.1</v>
      </c>
      <c r="G62" s="1033" t="s">
        <v>546</v>
      </c>
      <c r="H62" s="1034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145">
        <f t="shared" si="12"/>
        <v>762.16</v>
      </c>
      <c r="E63" s="1038">
        <v>44702</v>
      </c>
      <c r="F63" s="1032">
        <f t="shared" si="13"/>
        <v>762.16</v>
      </c>
      <c r="G63" s="1033" t="s">
        <v>554</v>
      </c>
      <c r="H63" s="1034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145">
        <f t="shared" si="12"/>
        <v>27.22</v>
      </c>
      <c r="E64" s="1038">
        <v>44704</v>
      </c>
      <c r="F64" s="1032">
        <f t="shared" si="13"/>
        <v>27.22</v>
      </c>
      <c r="G64" s="1033" t="s">
        <v>624</v>
      </c>
      <c r="H64" s="1034">
        <v>59</v>
      </c>
      <c r="I64" s="638">
        <f t="shared" si="6"/>
        <v>4733.5599999999959</v>
      </c>
      <c r="J64" s="639">
        <f t="shared" si="10"/>
        <v>174</v>
      </c>
      <c r="K64" s="640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1032">
        <f t="shared" si="12"/>
        <v>27.22</v>
      </c>
      <c r="E65" s="1038">
        <v>44706</v>
      </c>
      <c r="F65" s="1032">
        <f t="shared" si="13"/>
        <v>27.22</v>
      </c>
      <c r="G65" s="1033" t="s">
        <v>638</v>
      </c>
      <c r="H65" s="1034">
        <v>59</v>
      </c>
      <c r="I65" s="638">
        <f t="shared" si="6"/>
        <v>4706.3399999999956</v>
      </c>
      <c r="J65" s="639">
        <f t="shared" si="10"/>
        <v>173</v>
      </c>
      <c r="K65" s="640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1032">
        <f t="shared" si="12"/>
        <v>272.2</v>
      </c>
      <c r="E66" s="1038">
        <v>44706</v>
      </c>
      <c r="F66" s="1032">
        <f t="shared" si="13"/>
        <v>272.2</v>
      </c>
      <c r="G66" s="1033" t="s">
        <v>642</v>
      </c>
      <c r="H66" s="1034">
        <v>59</v>
      </c>
      <c r="I66" s="638">
        <f t="shared" si="6"/>
        <v>4434.1399999999958</v>
      </c>
      <c r="J66" s="639">
        <f t="shared" si="10"/>
        <v>163</v>
      </c>
      <c r="K66" s="640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1032">
        <f t="shared" si="12"/>
        <v>1088.8</v>
      </c>
      <c r="E67" s="1038">
        <v>44707</v>
      </c>
      <c r="F67" s="1032">
        <f t="shared" si="13"/>
        <v>1088.8</v>
      </c>
      <c r="G67" s="1033" t="s">
        <v>647</v>
      </c>
      <c r="H67" s="1034">
        <v>59</v>
      </c>
      <c r="I67" s="638">
        <f t="shared" si="6"/>
        <v>3345.3399999999956</v>
      </c>
      <c r="J67" s="639">
        <f t="shared" si="10"/>
        <v>123</v>
      </c>
      <c r="K67" s="640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1032">
        <f t="shared" si="12"/>
        <v>136.1</v>
      </c>
      <c r="E68" s="1038">
        <v>44707</v>
      </c>
      <c r="F68" s="1032">
        <f t="shared" si="13"/>
        <v>136.1</v>
      </c>
      <c r="G68" s="1033" t="s">
        <v>656</v>
      </c>
      <c r="H68" s="1034">
        <v>59</v>
      </c>
      <c r="I68" s="638">
        <f t="shared" si="6"/>
        <v>3209.2399999999957</v>
      </c>
      <c r="J68" s="639">
        <f t="shared" si="10"/>
        <v>118</v>
      </c>
      <c r="K68" s="640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1032">
        <f t="shared" si="12"/>
        <v>27.22</v>
      </c>
      <c r="E69" s="1038">
        <v>44708</v>
      </c>
      <c r="F69" s="1032">
        <f t="shared" si="13"/>
        <v>27.22</v>
      </c>
      <c r="G69" s="1033" t="s">
        <v>660</v>
      </c>
      <c r="H69" s="1034">
        <v>59</v>
      </c>
      <c r="I69" s="638">
        <f t="shared" si="6"/>
        <v>3182.0199999999959</v>
      </c>
      <c r="J69" s="639">
        <f t="shared" si="10"/>
        <v>117</v>
      </c>
      <c r="K69" s="640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134">
        <f t="shared" si="12"/>
        <v>27.22</v>
      </c>
      <c r="E70" s="1135">
        <v>44708</v>
      </c>
      <c r="F70" s="1136">
        <f t="shared" si="13"/>
        <v>27.22</v>
      </c>
      <c r="G70" s="1137" t="s">
        <v>661</v>
      </c>
      <c r="H70" s="318">
        <v>59</v>
      </c>
      <c r="I70" s="638">
        <f t="shared" si="6"/>
        <v>3154.7999999999961</v>
      </c>
      <c r="J70" s="641">
        <f t="shared" si="10"/>
        <v>116</v>
      </c>
      <c r="K70" s="640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134">
        <f t="shared" si="12"/>
        <v>979.92</v>
      </c>
      <c r="E71" s="1135">
        <v>44708</v>
      </c>
      <c r="F71" s="1136">
        <f t="shared" si="13"/>
        <v>979.92</v>
      </c>
      <c r="G71" s="1137" t="s">
        <v>672</v>
      </c>
      <c r="H71" s="318">
        <v>59</v>
      </c>
      <c r="I71" s="638">
        <f t="shared" si="6"/>
        <v>2174.879999999996</v>
      </c>
      <c r="J71" s="641">
        <f t="shared" si="10"/>
        <v>80</v>
      </c>
      <c r="K71" s="640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134">
        <f t="shared" si="12"/>
        <v>27.22</v>
      </c>
      <c r="E72" s="1135">
        <v>44709</v>
      </c>
      <c r="F72" s="1136">
        <f t="shared" si="13"/>
        <v>27.22</v>
      </c>
      <c r="G72" s="1137" t="s">
        <v>675</v>
      </c>
      <c r="H72" s="1141">
        <v>65</v>
      </c>
      <c r="I72" s="638">
        <f t="shared" si="6"/>
        <v>2147.6599999999962</v>
      </c>
      <c r="J72" s="641">
        <f t="shared" si="10"/>
        <v>79</v>
      </c>
      <c r="K72" s="640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134">
        <f t="shared" si="12"/>
        <v>979.92</v>
      </c>
      <c r="E73" s="1135">
        <v>44710</v>
      </c>
      <c r="F73" s="1136">
        <f t="shared" si="13"/>
        <v>979.92</v>
      </c>
      <c r="G73" s="1137" t="s">
        <v>682</v>
      </c>
      <c r="H73" s="318">
        <v>65</v>
      </c>
      <c r="I73" s="638">
        <f t="shared" si="6"/>
        <v>1167.7399999999961</v>
      </c>
      <c r="J73" s="641">
        <f t="shared" si="10"/>
        <v>43</v>
      </c>
      <c r="K73" s="640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134">
        <f t="shared" si="12"/>
        <v>27.22</v>
      </c>
      <c r="E74" s="1135">
        <v>44691</v>
      </c>
      <c r="F74" s="1136">
        <f t="shared" si="13"/>
        <v>27.22</v>
      </c>
      <c r="G74" s="1137" t="s">
        <v>684</v>
      </c>
      <c r="H74" s="318">
        <v>59</v>
      </c>
      <c r="I74" s="638">
        <f t="shared" si="6"/>
        <v>1140.5199999999961</v>
      </c>
      <c r="J74" s="641">
        <f t="shared" si="10"/>
        <v>42</v>
      </c>
      <c r="K74" s="640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1134">
        <f t="shared" ref="D75:D114" si="18">C75*B75</f>
        <v>0</v>
      </c>
      <c r="E75" s="1135"/>
      <c r="F75" s="1136">
        <f t="shared" ref="F75:F114" si="19">D75</f>
        <v>0</v>
      </c>
      <c r="G75" s="1137"/>
      <c r="H75" s="318"/>
      <c r="I75" s="638">
        <f t="shared" ref="I75:I113" si="20">I74-F75</f>
        <v>1140.5199999999961</v>
      </c>
      <c r="J75" s="641">
        <f t="shared" si="10"/>
        <v>42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21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1134">
        <f t="shared" si="18"/>
        <v>0</v>
      </c>
      <c r="E76" s="1135"/>
      <c r="F76" s="1134">
        <f t="shared" si="19"/>
        <v>0</v>
      </c>
      <c r="G76" s="1138"/>
      <c r="H76" s="219"/>
      <c r="I76" s="638">
        <f t="shared" si="20"/>
        <v>1140.5199999999961</v>
      </c>
      <c r="J76" s="639">
        <f t="shared" si="10"/>
        <v>42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21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1134">
        <f t="shared" si="18"/>
        <v>0</v>
      </c>
      <c r="E77" s="1135"/>
      <c r="F77" s="1134">
        <f t="shared" si="19"/>
        <v>0</v>
      </c>
      <c r="G77" s="1138"/>
      <c r="H77" s="219"/>
      <c r="I77" s="638">
        <f t="shared" si="20"/>
        <v>1140.5199999999961</v>
      </c>
      <c r="J77" s="639">
        <f t="shared" ref="J77:J113" si="22">J76-C77</f>
        <v>42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21"/>
        <v>16111.6</v>
      </c>
      <c r="V77" s="639">
        <f t="shared" ref="V77:V113" si="23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8"/>
        <v>0</v>
      </c>
      <c r="E78" s="325"/>
      <c r="F78" s="69">
        <f t="shared" si="19"/>
        <v>0</v>
      </c>
      <c r="G78" s="70"/>
      <c r="H78" s="71"/>
      <c r="I78" s="638">
        <f t="shared" si="20"/>
        <v>1140.5199999999961</v>
      </c>
      <c r="J78" s="639">
        <f t="shared" si="22"/>
        <v>42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21"/>
        <v>16111.6</v>
      </c>
      <c r="V78" s="639">
        <f t="shared" si="23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8"/>
        <v>0</v>
      </c>
      <c r="E79" s="325"/>
      <c r="F79" s="69">
        <f t="shared" si="19"/>
        <v>0</v>
      </c>
      <c r="G79" s="70"/>
      <c r="H79" s="71"/>
      <c r="I79" s="638">
        <f t="shared" si="20"/>
        <v>1140.5199999999961</v>
      </c>
      <c r="J79" s="639">
        <f t="shared" si="22"/>
        <v>42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21"/>
        <v>16111.6</v>
      </c>
      <c r="V79" s="639">
        <f t="shared" si="23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8"/>
        <v>0</v>
      </c>
      <c r="E80" s="325"/>
      <c r="F80" s="69">
        <f t="shared" si="19"/>
        <v>0</v>
      </c>
      <c r="G80" s="70"/>
      <c r="H80" s="71"/>
      <c r="I80" s="638">
        <f t="shared" si="20"/>
        <v>1140.5199999999961</v>
      </c>
      <c r="J80" s="639">
        <f t="shared" si="22"/>
        <v>42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21"/>
        <v>16111.6</v>
      </c>
      <c r="V80" s="639">
        <f t="shared" si="23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8"/>
        <v>0</v>
      </c>
      <c r="E81" s="325"/>
      <c r="F81" s="69">
        <f t="shared" si="19"/>
        <v>0</v>
      </c>
      <c r="G81" s="70"/>
      <c r="H81" s="71"/>
      <c r="I81" s="638">
        <f t="shared" si="20"/>
        <v>1140.5199999999961</v>
      </c>
      <c r="J81" s="639">
        <f t="shared" si="22"/>
        <v>42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21"/>
        <v>16111.6</v>
      </c>
      <c r="V81" s="639">
        <f t="shared" si="23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8"/>
        <v>0</v>
      </c>
      <c r="E82" s="325"/>
      <c r="F82" s="69">
        <f t="shared" si="19"/>
        <v>0</v>
      </c>
      <c r="G82" s="70"/>
      <c r="H82" s="71"/>
      <c r="I82" s="638">
        <f t="shared" si="20"/>
        <v>1140.5199999999961</v>
      </c>
      <c r="J82" s="639">
        <f t="shared" si="22"/>
        <v>42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21"/>
        <v>16111.6</v>
      </c>
      <c r="V82" s="639">
        <f t="shared" si="23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8"/>
        <v>0</v>
      </c>
      <c r="E83" s="325"/>
      <c r="F83" s="69">
        <f t="shared" si="19"/>
        <v>0</v>
      </c>
      <c r="G83" s="70"/>
      <c r="H83" s="71"/>
      <c r="I83" s="638">
        <f t="shared" si="20"/>
        <v>1140.5199999999961</v>
      </c>
      <c r="J83" s="639">
        <f t="shared" si="22"/>
        <v>42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21"/>
        <v>16111.6</v>
      </c>
      <c r="V83" s="639">
        <f t="shared" si="23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8"/>
        <v>0</v>
      </c>
      <c r="E84" s="325"/>
      <c r="F84" s="69">
        <f t="shared" si="19"/>
        <v>0</v>
      </c>
      <c r="G84" s="70"/>
      <c r="H84" s="71"/>
      <c r="I84" s="638">
        <f t="shared" si="20"/>
        <v>1140.5199999999961</v>
      </c>
      <c r="J84" s="639">
        <f t="shared" si="22"/>
        <v>42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21"/>
        <v>16111.6</v>
      </c>
      <c r="V84" s="639">
        <f t="shared" si="23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8"/>
        <v>0</v>
      </c>
      <c r="E85" s="325"/>
      <c r="F85" s="69">
        <f t="shared" si="19"/>
        <v>0</v>
      </c>
      <c r="G85" s="70"/>
      <c r="H85" s="71"/>
      <c r="I85" s="638">
        <f t="shared" si="20"/>
        <v>1140.5199999999961</v>
      </c>
      <c r="J85" s="639">
        <f t="shared" si="22"/>
        <v>42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21"/>
        <v>16111.6</v>
      </c>
      <c r="V85" s="639">
        <f t="shared" si="23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8"/>
        <v>0</v>
      </c>
      <c r="E86" s="325"/>
      <c r="F86" s="69">
        <f t="shared" si="19"/>
        <v>0</v>
      </c>
      <c r="G86" s="70"/>
      <c r="H86" s="71"/>
      <c r="I86" s="638">
        <f t="shared" si="20"/>
        <v>1140.5199999999961</v>
      </c>
      <c r="J86" s="639">
        <f t="shared" si="22"/>
        <v>42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21"/>
        <v>16111.6</v>
      </c>
      <c r="V86" s="639">
        <f t="shared" si="23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8"/>
        <v>0</v>
      </c>
      <c r="E87" s="325"/>
      <c r="F87" s="69">
        <f t="shared" si="19"/>
        <v>0</v>
      </c>
      <c r="G87" s="70"/>
      <c r="H87" s="71"/>
      <c r="I87" s="638">
        <f t="shared" si="20"/>
        <v>1140.5199999999961</v>
      </c>
      <c r="J87" s="639">
        <f t="shared" si="22"/>
        <v>42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21"/>
        <v>16111.6</v>
      </c>
      <c r="V87" s="639">
        <f t="shared" si="23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8"/>
        <v>0</v>
      </c>
      <c r="E88" s="325"/>
      <c r="F88" s="69">
        <f t="shared" si="19"/>
        <v>0</v>
      </c>
      <c r="G88" s="70"/>
      <c r="H88" s="71"/>
      <c r="I88" s="638">
        <f t="shared" si="20"/>
        <v>1140.5199999999961</v>
      </c>
      <c r="J88" s="639">
        <f t="shared" si="22"/>
        <v>42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21"/>
        <v>16111.6</v>
      </c>
      <c r="V88" s="639">
        <f t="shared" si="23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8">
        <f t="shared" si="20"/>
        <v>1140.5199999999961</v>
      </c>
      <c r="J89" s="639">
        <f t="shared" si="22"/>
        <v>42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21"/>
        <v>16111.6</v>
      </c>
      <c r="V89" s="639">
        <f t="shared" si="23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8">
        <f t="shared" si="20"/>
        <v>1140.5199999999961</v>
      </c>
      <c r="J90" s="639">
        <f t="shared" si="22"/>
        <v>42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21"/>
        <v>16111.6</v>
      </c>
      <c r="V90" s="639">
        <f t="shared" si="23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8">
        <f t="shared" si="20"/>
        <v>1140.5199999999961</v>
      </c>
      <c r="J91" s="639">
        <f t="shared" si="22"/>
        <v>42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21"/>
        <v>16111.6</v>
      </c>
      <c r="V91" s="639">
        <f t="shared" si="23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8">
        <f t="shared" si="20"/>
        <v>1140.5199999999961</v>
      </c>
      <c r="J92" s="639">
        <f t="shared" si="22"/>
        <v>42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21"/>
        <v>16111.6</v>
      </c>
      <c r="V92" s="639">
        <f t="shared" si="23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8">
        <f t="shared" si="20"/>
        <v>1140.5199999999961</v>
      </c>
      <c r="J93" s="639">
        <f t="shared" si="22"/>
        <v>42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21"/>
        <v>16111.6</v>
      </c>
      <c r="V93" s="639">
        <f t="shared" si="23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8">
        <f t="shared" si="20"/>
        <v>1140.5199999999961</v>
      </c>
      <c r="J94" s="639">
        <f t="shared" si="22"/>
        <v>42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21"/>
        <v>16111.6</v>
      </c>
      <c r="V94" s="639">
        <f t="shared" si="23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8">
        <f t="shared" si="20"/>
        <v>1140.5199999999961</v>
      </c>
      <c r="J95" s="639">
        <f t="shared" si="22"/>
        <v>42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21"/>
        <v>16111.6</v>
      </c>
      <c r="V95" s="639">
        <f t="shared" si="23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8">
        <f t="shared" si="20"/>
        <v>1140.5199999999961</v>
      </c>
      <c r="J96" s="639">
        <f t="shared" si="22"/>
        <v>42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21"/>
        <v>16111.6</v>
      </c>
      <c r="V96" s="639">
        <f t="shared" si="23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8">
        <f t="shared" si="20"/>
        <v>1140.5199999999961</v>
      </c>
      <c r="J97" s="639">
        <f t="shared" si="22"/>
        <v>42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21"/>
        <v>16111.6</v>
      </c>
      <c r="V97" s="639">
        <f t="shared" si="23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8">
        <f t="shared" si="20"/>
        <v>1140.5199999999961</v>
      </c>
      <c r="J98" s="639">
        <f t="shared" si="22"/>
        <v>42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21"/>
        <v>16111.6</v>
      </c>
      <c r="V98" s="639">
        <f t="shared" si="23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8">
        <f t="shared" si="20"/>
        <v>1140.5199999999961</v>
      </c>
      <c r="J99" s="639">
        <f t="shared" si="22"/>
        <v>42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21"/>
        <v>16111.6</v>
      </c>
      <c r="V99" s="639">
        <f t="shared" si="23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8">
        <f t="shared" si="20"/>
        <v>1140.5199999999961</v>
      </c>
      <c r="J100" s="639">
        <f t="shared" si="22"/>
        <v>42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21"/>
        <v>16111.6</v>
      </c>
      <c r="V100" s="639">
        <f t="shared" si="23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8">
        <f t="shared" si="20"/>
        <v>1140.5199999999961</v>
      </c>
      <c r="J101" s="639">
        <f t="shared" si="22"/>
        <v>42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21"/>
        <v>16111.6</v>
      </c>
      <c r="V101" s="639">
        <f t="shared" si="23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8">
        <f t="shared" si="20"/>
        <v>1140.5199999999961</v>
      </c>
      <c r="J102" s="639">
        <f t="shared" si="22"/>
        <v>42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21"/>
        <v>16111.6</v>
      </c>
      <c r="V102" s="639">
        <f t="shared" si="23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8">
        <f t="shared" si="20"/>
        <v>1140.5199999999961</v>
      </c>
      <c r="J103" s="639">
        <f t="shared" si="22"/>
        <v>42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21"/>
        <v>16111.6</v>
      </c>
      <c r="V103" s="639">
        <f t="shared" si="23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8">
        <f t="shared" si="20"/>
        <v>1140.5199999999961</v>
      </c>
      <c r="J104" s="639">
        <f t="shared" si="22"/>
        <v>42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21"/>
        <v>16111.6</v>
      </c>
      <c r="V104" s="639">
        <f t="shared" si="23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8">
        <f t="shared" si="20"/>
        <v>1140.5199999999961</v>
      </c>
      <c r="J105" s="639">
        <f t="shared" si="22"/>
        <v>42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21"/>
        <v>16111.6</v>
      </c>
      <c r="V105" s="639">
        <f t="shared" si="23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8">
        <f t="shared" si="20"/>
        <v>1140.5199999999961</v>
      </c>
      <c r="J106" s="639">
        <f t="shared" si="22"/>
        <v>42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21"/>
        <v>16111.6</v>
      </c>
      <c r="V106" s="639">
        <f t="shared" si="23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8">
        <f t="shared" si="20"/>
        <v>1140.5199999999961</v>
      </c>
      <c r="J107" s="639">
        <f t="shared" si="22"/>
        <v>42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21"/>
        <v>16111.6</v>
      </c>
      <c r="V107" s="639">
        <f t="shared" si="23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8">
        <f t="shared" si="20"/>
        <v>1140.5199999999961</v>
      </c>
      <c r="J108" s="639">
        <f t="shared" si="22"/>
        <v>42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21"/>
        <v>16111.6</v>
      </c>
      <c r="V108" s="639">
        <f t="shared" si="23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8">
        <f t="shared" si="20"/>
        <v>1140.5199999999961</v>
      </c>
      <c r="J109" s="639">
        <f t="shared" si="22"/>
        <v>42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21"/>
        <v>16111.6</v>
      </c>
      <c r="V109" s="639">
        <f t="shared" si="23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8">
        <f t="shared" si="20"/>
        <v>1140.5199999999961</v>
      </c>
      <c r="J110" s="639">
        <f t="shared" si="22"/>
        <v>42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21"/>
        <v>16111.6</v>
      </c>
      <c r="V110" s="639">
        <f t="shared" si="23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8">
        <f t="shared" si="20"/>
        <v>1140.5199999999961</v>
      </c>
      <c r="J111" s="639">
        <f t="shared" si="22"/>
        <v>42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21"/>
        <v>16111.6</v>
      </c>
      <c r="V111" s="639">
        <f t="shared" si="23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8">
        <f t="shared" si="20"/>
        <v>1140.5199999999961</v>
      </c>
      <c r="J112" s="639">
        <f t="shared" si="22"/>
        <v>42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21"/>
        <v>16111.6</v>
      </c>
      <c r="V112" s="639">
        <f t="shared" si="23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8">
        <f t="shared" si="20"/>
        <v>1140.5199999999961</v>
      </c>
      <c r="J113" s="639">
        <f t="shared" si="22"/>
        <v>42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21"/>
        <v>16111.6</v>
      </c>
      <c r="V113" s="639">
        <f t="shared" si="23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18" t="s">
        <v>11</v>
      </c>
      <c r="D120" s="1219"/>
      <c r="E120" s="57">
        <f>E4+E5+E6-F115</f>
        <v>1140.5200000000077</v>
      </c>
      <c r="G120" s="47"/>
      <c r="H120" s="91"/>
      <c r="O120" s="1218" t="s">
        <v>11</v>
      </c>
      <c r="P120" s="1219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0" activePane="bottomLeft" state="frozen"/>
      <selection activeCell="B1" sqref="B1"/>
      <selection pane="bottomLeft" activeCell="E19" sqref="E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6" t="s">
        <v>240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214" t="s">
        <v>557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813</v>
      </c>
      <c r="H5" s="7">
        <f>E5-G5+E4+E6+E7</f>
        <v>191.21000000000004</v>
      </c>
    </row>
    <row r="6" spans="1:9" ht="15" customHeight="1" x14ac:dyDescent="0.25">
      <c r="A6" s="1214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9">
        <v>44698</v>
      </c>
      <c r="F9" s="264">
        <f t="shared" ref="F9:F54" si="0">D9</f>
        <v>177.64</v>
      </c>
      <c r="G9" s="265" t="s">
        <v>515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9">
        <v>44698</v>
      </c>
      <c r="F10" s="264">
        <f t="shared" si="0"/>
        <v>164.5</v>
      </c>
      <c r="G10" s="265" t="s">
        <v>480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9">
        <v>44701</v>
      </c>
      <c r="F11" s="264">
        <f t="shared" si="0"/>
        <v>29.31</v>
      </c>
      <c r="G11" s="265" t="s">
        <v>512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9">
        <v>44701</v>
      </c>
      <c r="F12" s="264">
        <f t="shared" si="0"/>
        <v>90.81</v>
      </c>
      <c r="G12" s="265" t="s">
        <v>542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9">
        <v>44701</v>
      </c>
      <c r="F13" s="264">
        <f t="shared" si="0"/>
        <v>73.62</v>
      </c>
      <c r="G13" s="265" t="s">
        <v>619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22</v>
      </c>
      <c r="C14" s="53">
        <v>10</v>
      </c>
      <c r="D14" s="264">
        <v>149.38</v>
      </c>
      <c r="E14" s="739">
        <v>44704</v>
      </c>
      <c r="F14" s="264">
        <f t="shared" si="0"/>
        <v>149.38</v>
      </c>
      <c r="G14" s="265" t="s">
        <v>625</v>
      </c>
      <c r="H14" s="266">
        <v>148</v>
      </c>
      <c r="I14" s="259">
        <f t="shared" si="2"/>
        <v>318.95000000000005</v>
      </c>
    </row>
    <row r="15" spans="1:9" x14ac:dyDescent="0.25">
      <c r="B15" s="195">
        <f t="shared" si="1"/>
        <v>20</v>
      </c>
      <c r="C15" s="53">
        <v>2</v>
      </c>
      <c r="D15" s="264">
        <v>25.87</v>
      </c>
      <c r="E15" s="739">
        <v>44705</v>
      </c>
      <c r="F15" s="264">
        <f t="shared" si="0"/>
        <v>25.87</v>
      </c>
      <c r="G15" s="265" t="s">
        <v>633</v>
      </c>
      <c r="H15" s="266">
        <v>148</v>
      </c>
      <c r="I15" s="259">
        <f t="shared" si="2"/>
        <v>293.08000000000004</v>
      </c>
    </row>
    <row r="16" spans="1:9" x14ac:dyDescent="0.25">
      <c r="B16" s="195">
        <f t="shared" si="1"/>
        <v>16</v>
      </c>
      <c r="C16" s="53">
        <v>4</v>
      </c>
      <c r="D16" s="264">
        <v>60.86</v>
      </c>
      <c r="E16" s="739">
        <v>44706</v>
      </c>
      <c r="F16" s="264">
        <f t="shared" si="0"/>
        <v>60.86</v>
      </c>
      <c r="G16" s="265" t="s">
        <v>638</v>
      </c>
      <c r="H16" s="266">
        <v>148</v>
      </c>
      <c r="I16" s="259">
        <f t="shared" si="2"/>
        <v>232.22000000000003</v>
      </c>
    </row>
    <row r="17" spans="2:9" x14ac:dyDescent="0.25">
      <c r="B17" s="195">
        <f t="shared" si="1"/>
        <v>15</v>
      </c>
      <c r="C17" s="53">
        <v>1</v>
      </c>
      <c r="D17" s="264">
        <v>14.3</v>
      </c>
      <c r="E17" s="739">
        <v>44707</v>
      </c>
      <c r="F17" s="264">
        <f t="shared" si="0"/>
        <v>14.3</v>
      </c>
      <c r="G17" s="265" t="s">
        <v>659</v>
      </c>
      <c r="H17" s="266">
        <v>148</v>
      </c>
      <c r="I17" s="259">
        <f t="shared" si="2"/>
        <v>217.92000000000002</v>
      </c>
    </row>
    <row r="18" spans="2:9" x14ac:dyDescent="0.25">
      <c r="B18" s="195">
        <f t="shared" si="1"/>
        <v>13</v>
      </c>
      <c r="C18" s="53">
        <v>2</v>
      </c>
      <c r="D18" s="264">
        <v>26.71</v>
      </c>
      <c r="E18" s="739">
        <v>44709</v>
      </c>
      <c r="F18" s="264">
        <f t="shared" si="0"/>
        <v>26.71</v>
      </c>
      <c r="G18" s="265" t="s">
        <v>676</v>
      </c>
      <c r="H18" s="266">
        <v>148</v>
      </c>
      <c r="I18" s="259">
        <f t="shared" si="2"/>
        <v>191.21</v>
      </c>
    </row>
    <row r="19" spans="2:9" x14ac:dyDescent="0.25">
      <c r="B19" s="195">
        <f t="shared" si="1"/>
        <v>13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191.21</v>
      </c>
    </row>
    <row r="20" spans="2:9" x14ac:dyDescent="0.25">
      <c r="B20" s="195">
        <f t="shared" si="1"/>
        <v>13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191.21</v>
      </c>
    </row>
    <row r="21" spans="2:9" x14ac:dyDescent="0.25">
      <c r="B21" s="195">
        <f t="shared" si="1"/>
        <v>13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191.21</v>
      </c>
    </row>
    <row r="22" spans="2:9" x14ac:dyDescent="0.25">
      <c r="B22" s="195">
        <f t="shared" si="1"/>
        <v>13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191.21</v>
      </c>
    </row>
    <row r="23" spans="2:9" x14ac:dyDescent="0.25">
      <c r="B23" s="195">
        <f t="shared" si="1"/>
        <v>13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191.21</v>
      </c>
    </row>
    <row r="24" spans="2:9" x14ac:dyDescent="0.25">
      <c r="B24" s="195">
        <f t="shared" si="1"/>
        <v>13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191.21</v>
      </c>
    </row>
    <row r="25" spans="2:9" x14ac:dyDescent="0.25">
      <c r="B25" s="195">
        <f t="shared" si="1"/>
        <v>13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191.21</v>
      </c>
    </row>
    <row r="26" spans="2:9" x14ac:dyDescent="0.25">
      <c r="B26" s="195">
        <f t="shared" si="1"/>
        <v>13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191.21</v>
      </c>
    </row>
    <row r="27" spans="2:9" x14ac:dyDescent="0.25">
      <c r="B27" s="195">
        <f t="shared" si="1"/>
        <v>13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191.21</v>
      </c>
    </row>
    <row r="28" spans="2:9" x14ac:dyDescent="0.25">
      <c r="B28" s="195">
        <f t="shared" si="1"/>
        <v>13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191.21</v>
      </c>
    </row>
    <row r="29" spans="2:9" x14ac:dyDescent="0.25">
      <c r="B29" s="195">
        <f t="shared" si="1"/>
        <v>13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191.21</v>
      </c>
    </row>
    <row r="30" spans="2:9" x14ac:dyDescent="0.25">
      <c r="B30" s="195">
        <f t="shared" si="1"/>
        <v>13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191.21</v>
      </c>
    </row>
    <row r="31" spans="2:9" x14ac:dyDescent="0.25">
      <c r="B31" s="195">
        <f t="shared" si="1"/>
        <v>13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191.21</v>
      </c>
    </row>
    <row r="32" spans="2:9" x14ac:dyDescent="0.25">
      <c r="B32" s="195">
        <f t="shared" si="1"/>
        <v>13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191.21</v>
      </c>
    </row>
    <row r="33" spans="2:9" x14ac:dyDescent="0.25">
      <c r="B33" s="195">
        <f t="shared" si="1"/>
        <v>13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191.21</v>
      </c>
    </row>
    <row r="34" spans="2:9" x14ac:dyDescent="0.25">
      <c r="B34" s="195">
        <f t="shared" si="1"/>
        <v>13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191.21</v>
      </c>
    </row>
    <row r="35" spans="2:9" x14ac:dyDescent="0.25">
      <c r="B35" s="195">
        <f t="shared" si="1"/>
        <v>13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191.21</v>
      </c>
    </row>
    <row r="36" spans="2:9" x14ac:dyDescent="0.25">
      <c r="B36" s="195">
        <f t="shared" si="1"/>
        <v>13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191.21</v>
      </c>
    </row>
    <row r="37" spans="2:9" x14ac:dyDescent="0.25">
      <c r="B37" s="195">
        <f t="shared" si="1"/>
        <v>13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191.21</v>
      </c>
    </row>
    <row r="38" spans="2:9" x14ac:dyDescent="0.25">
      <c r="B38" s="195">
        <f t="shared" si="1"/>
        <v>13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191.21</v>
      </c>
    </row>
    <row r="39" spans="2:9" x14ac:dyDescent="0.25">
      <c r="B39" s="195">
        <f t="shared" si="1"/>
        <v>13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191.21</v>
      </c>
    </row>
    <row r="40" spans="2:9" x14ac:dyDescent="0.25">
      <c r="B40" s="195">
        <f t="shared" si="1"/>
        <v>13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191.21</v>
      </c>
    </row>
    <row r="41" spans="2:9" x14ac:dyDescent="0.25">
      <c r="B41" s="195">
        <f t="shared" si="1"/>
        <v>13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191.21</v>
      </c>
    </row>
    <row r="42" spans="2:9" x14ac:dyDescent="0.25">
      <c r="B42" s="195">
        <f t="shared" si="1"/>
        <v>13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191.21</v>
      </c>
    </row>
    <row r="43" spans="2:9" x14ac:dyDescent="0.25">
      <c r="B43" s="195">
        <f t="shared" si="1"/>
        <v>13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191.21</v>
      </c>
    </row>
    <row r="44" spans="2:9" x14ac:dyDescent="0.25">
      <c r="B44" s="195">
        <f t="shared" si="1"/>
        <v>13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191.21</v>
      </c>
    </row>
    <row r="45" spans="2:9" x14ac:dyDescent="0.25">
      <c r="B45" s="195">
        <f t="shared" si="1"/>
        <v>13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191.21</v>
      </c>
    </row>
    <row r="46" spans="2:9" x14ac:dyDescent="0.25">
      <c r="B46" s="195">
        <f t="shared" si="1"/>
        <v>13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191.21</v>
      </c>
    </row>
    <row r="47" spans="2:9" x14ac:dyDescent="0.25">
      <c r="B47" s="195">
        <f t="shared" si="1"/>
        <v>13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191.21</v>
      </c>
    </row>
    <row r="48" spans="2:9" x14ac:dyDescent="0.25">
      <c r="B48" s="195">
        <f t="shared" si="1"/>
        <v>13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191.21</v>
      </c>
    </row>
    <row r="49" spans="2:9" x14ac:dyDescent="0.25">
      <c r="B49" s="195">
        <f t="shared" si="1"/>
        <v>13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191.21</v>
      </c>
    </row>
    <row r="50" spans="2:9" x14ac:dyDescent="0.25">
      <c r="B50" s="195">
        <f t="shared" si="1"/>
        <v>13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191.21</v>
      </c>
    </row>
    <row r="51" spans="2:9" x14ac:dyDescent="0.25">
      <c r="B51" s="195">
        <f t="shared" si="1"/>
        <v>13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191.21</v>
      </c>
    </row>
    <row r="52" spans="2:9" x14ac:dyDescent="0.25">
      <c r="B52" s="195">
        <f t="shared" si="1"/>
        <v>13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191.21</v>
      </c>
    </row>
    <row r="53" spans="2:9" x14ac:dyDescent="0.25">
      <c r="B53" s="195">
        <f t="shared" si="1"/>
        <v>13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191.21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191.21</v>
      </c>
    </row>
    <row r="55" spans="2:9" x14ac:dyDescent="0.25">
      <c r="C55" s="53">
        <f>SUM(C9:C54)</f>
        <v>54</v>
      </c>
      <c r="D55" s="124">
        <f>SUM(D9:D54)</f>
        <v>813</v>
      </c>
      <c r="E55" s="171"/>
      <c r="F55" s="124">
        <f>SUM(F9:F54)</f>
        <v>813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5"/>
    </row>
    <row r="60" spans="2:9" ht="15.75" thickBot="1" x14ac:dyDescent="0.3">
      <c r="B60" s="91"/>
      <c r="C60" s="1218" t="s">
        <v>11</v>
      </c>
      <c r="D60" s="1219"/>
      <c r="E60" s="57">
        <f>E5-F55+E4+E6+E7</f>
        <v>191.21000000000004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14"/>
      <c r="B5" s="1241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14"/>
      <c r="B6" s="1241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18" t="s">
        <v>11</v>
      </c>
      <c r="D60" s="121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9" activePane="bottomLeft" state="frozen"/>
      <selection pane="bottomLeft" activeCell="N35" sqref="N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20" t="s">
        <v>225</v>
      </c>
      <c r="B1" s="1220"/>
      <c r="C1" s="1220"/>
      <c r="D1" s="1220"/>
      <c r="E1" s="1220"/>
      <c r="F1" s="1220"/>
      <c r="G1" s="1220"/>
      <c r="H1" s="11">
        <v>1</v>
      </c>
      <c r="K1" s="1216" t="s">
        <v>240</v>
      </c>
      <c r="L1" s="1216"/>
      <c r="M1" s="1216"/>
      <c r="N1" s="1216"/>
      <c r="O1" s="1216"/>
      <c r="P1" s="1216"/>
      <c r="Q1" s="12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214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214" t="s">
        <v>52</v>
      </c>
      <c r="L4" s="1242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5550.07</v>
      </c>
      <c r="R4" s="7">
        <f>O4-Q4+O5+O6+O7+O8</f>
        <v>1595.3300000000004</v>
      </c>
    </row>
    <row r="5" spans="1:19" ht="15.75" x14ac:dyDescent="0.25">
      <c r="A5" s="1214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214"/>
      <c r="L5" s="1243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4"/>
      <c r="B6" s="462"/>
      <c r="C6" s="249"/>
      <c r="D6" s="274"/>
      <c r="E6" s="259"/>
      <c r="F6" s="253"/>
      <c r="G6" s="240"/>
      <c r="K6" s="1094"/>
      <c r="L6" s="1243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4"/>
      <c r="B7" s="462"/>
      <c r="C7" s="249"/>
      <c r="D7" s="274"/>
      <c r="E7" s="259"/>
      <c r="F7" s="253"/>
      <c r="G7" s="240"/>
      <c r="K7" s="1094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4"/>
      <c r="B8" s="462"/>
      <c r="C8" s="249"/>
      <c r="D8" s="274"/>
      <c r="E8" s="259"/>
      <c r="F8" s="253"/>
      <c r="G8" s="240"/>
      <c r="K8" s="1094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2">
        <v>233.55</v>
      </c>
      <c r="E14" s="1052">
        <v>44684</v>
      </c>
      <c r="F14" s="1042">
        <f t="shared" si="4"/>
        <v>233.55</v>
      </c>
      <c r="G14" s="1036" t="s">
        <v>366</v>
      </c>
      <c r="H14" s="1037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2">
        <v>201.87</v>
      </c>
      <c r="E15" s="1052">
        <v>44686</v>
      </c>
      <c r="F15" s="1042">
        <f t="shared" si="4"/>
        <v>201.87</v>
      </c>
      <c r="G15" s="1036" t="s">
        <v>386</v>
      </c>
      <c r="H15" s="1037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2">
        <v>404.93</v>
      </c>
      <c r="E16" s="1052">
        <v>44686</v>
      </c>
      <c r="F16" s="1042">
        <f t="shared" si="4"/>
        <v>404.93</v>
      </c>
      <c r="G16" s="1036" t="s">
        <v>396</v>
      </c>
      <c r="H16" s="1037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2"/>
      <c r="E17" s="1052"/>
      <c r="F17" s="1042">
        <f t="shared" ref="F17:F55" si="7">D17</f>
        <v>0</v>
      </c>
      <c r="G17" s="1061"/>
      <c r="H17" s="1062"/>
      <c r="I17" s="1070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2"/>
      <c r="E18" s="1052"/>
      <c r="F18" s="1042">
        <f t="shared" si="7"/>
        <v>0</v>
      </c>
      <c r="G18" s="1061"/>
      <c r="H18" s="1062"/>
      <c r="I18" s="1070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2"/>
      <c r="E19" s="1052"/>
      <c r="F19" s="1042">
        <f t="shared" si="7"/>
        <v>0</v>
      </c>
      <c r="G19" s="1061"/>
      <c r="H19" s="1062"/>
      <c r="I19" s="1070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2"/>
      <c r="E20" s="1052"/>
      <c r="F20" s="1042">
        <v>141.44</v>
      </c>
      <c r="G20" s="1061"/>
      <c r="H20" s="1062"/>
      <c r="I20" s="1070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9">
        <v>44695</v>
      </c>
      <c r="P20" s="264">
        <f t="shared" si="1"/>
        <v>414.14</v>
      </c>
      <c r="Q20" s="265" t="s">
        <v>614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42"/>
      <c r="E21" s="1052"/>
      <c r="F21" s="1042">
        <f t="shared" si="7"/>
        <v>0</v>
      </c>
      <c r="G21" s="1061"/>
      <c r="H21" s="1062"/>
      <c r="I21" s="1070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9">
        <v>44695</v>
      </c>
      <c r="P21" s="264">
        <f t="shared" si="1"/>
        <v>296.16000000000003</v>
      </c>
      <c r="Q21" s="265" t="s">
        <v>497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42"/>
      <c r="E22" s="1052"/>
      <c r="F22" s="1042">
        <f t="shared" si="7"/>
        <v>0</v>
      </c>
      <c r="G22" s="1061"/>
      <c r="H22" s="1062"/>
      <c r="I22" s="1070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9">
        <v>44695</v>
      </c>
      <c r="P22" s="264">
        <f t="shared" si="1"/>
        <v>210.4</v>
      </c>
      <c r="Q22" s="265" t="s">
        <v>615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42"/>
      <c r="E23" s="1052"/>
      <c r="F23" s="1042">
        <f t="shared" si="7"/>
        <v>0</v>
      </c>
      <c r="G23" s="1061"/>
      <c r="H23" s="1062"/>
      <c r="I23" s="1070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9">
        <v>44697</v>
      </c>
      <c r="P23" s="264">
        <f t="shared" si="1"/>
        <v>237.46</v>
      </c>
      <c r="Q23" s="265" t="s">
        <v>616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42"/>
      <c r="E24" s="1052"/>
      <c r="F24" s="1042">
        <f t="shared" si="7"/>
        <v>0</v>
      </c>
      <c r="G24" s="1061"/>
      <c r="H24" s="1062"/>
      <c r="I24" s="1070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9">
        <v>44698</v>
      </c>
      <c r="P24" s="264">
        <f t="shared" si="1"/>
        <v>101.09</v>
      </c>
      <c r="Q24" s="265" t="s">
        <v>617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42"/>
      <c r="E25" s="1052"/>
      <c r="F25" s="1042">
        <f t="shared" si="7"/>
        <v>0</v>
      </c>
      <c r="G25" s="1061"/>
      <c r="H25" s="1062"/>
      <c r="I25" s="1070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9">
        <v>44698</v>
      </c>
      <c r="P25" s="264">
        <f t="shared" si="1"/>
        <v>102.73</v>
      </c>
      <c r="Q25" s="265" t="s">
        <v>618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42"/>
      <c r="E26" s="1052"/>
      <c r="F26" s="1042">
        <f t="shared" si="7"/>
        <v>0</v>
      </c>
      <c r="G26" s="1061"/>
      <c r="H26" s="1062"/>
      <c r="I26" s="1070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9">
        <v>44699</v>
      </c>
      <c r="P26" s="264">
        <f t="shared" si="1"/>
        <v>308.55</v>
      </c>
      <c r="Q26" s="265" t="s">
        <v>523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42"/>
      <c r="E27" s="1052"/>
      <c r="F27" s="1042">
        <f t="shared" si="7"/>
        <v>0</v>
      </c>
      <c r="G27" s="1036"/>
      <c r="H27" s="1037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9">
        <v>44699</v>
      </c>
      <c r="P27" s="264">
        <f t="shared" si="1"/>
        <v>199.83</v>
      </c>
      <c r="Q27" s="265" t="s">
        <v>481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42"/>
      <c r="E28" s="1052"/>
      <c r="F28" s="1042">
        <f t="shared" si="7"/>
        <v>0</v>
      </c>
      <c r="G28" s="1036"/>
      <c r="H28" s="1037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9">
        <v>44702</v>
      </c>
      <c r="P28" s="264">
        <f t="shared" si="1"/>
        <v>99.71</v>
      </c>
      <c r="Q28" s="265" t="s">
        <v>621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42"/>
      <c r="E29" s="1052"/>
      <c r="F29" s="1042">
        <f t="shared" si="7"/>
        <v>0</v>
      </c>
      <c r="G29" s="1036"/>
      <c r="H29" s="1037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9">
        <v>44702</v>
      </c>
      <c r="P29" s="264">
        <f t="shared" si="1"/>
        <v>25.21</v>
      </c>
      <c r="Q29" s="265" t="s">
        <v>622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42"/>
      <c r="E30" s="1052"/>
      <c r="F30" s="1042">
        <f t="shared" si="7"/>
        <v>0</v>
      </c>
      <c r="G30" s="1036"/>
      <c r="H30" s="1037"/>
      <c r="I30" s="259">
        <f t="shared" si="5"/>
        <v>-2.2737367544323206E-13</v>
      </c>
      <c r="L30" s="195">
        <f t="shared" si="3"/>
        <v>113</v>
      </c>
      <c r="M30" s="15">
        <v>9</v>
      </c>
      <c r="N30" s="264">
        <v>215.94</v>
      </c>
      <c r="O30" s="739">
        <v>44704</v>
      </c>
      <c r="P30" s="264">
        <f t="shared" si="1"/>
        <v>215.94</v>
      </c>
      <c r="Q30" s="265" t="s">
        <v>625</v>
      </c>
      <c r="R30" s="266">
        <v>56</v>
      </c>
      <c r="S30" s="259">
        <f t="shared" si="6"/>
        <v>2778.4399999999973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101</v>
      </c>
      <c r="M31" s="15">
        <v>12</v>
      </c>
      <c r="N31" s="264">
        <v>301.39</v>
      </c>
      <c r="O31" s="739">
        <v>44706</v>
      </c>
      <c r="P31" s="264">
        <f t="shared" si="1"/>
        <v>301.39</v>
      </c>
      <c r="Q31" s="265" t="s">
        <v>638</v>
      </c>
      <c r="R31" s="266">
        <v>56</v>
      </c>
      <c r="S31" s="259">
        <f t="shared" si="6"/>
        <v>2477.0499999999975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85</v>
      </c>
      <c r="M32" s="15">
        <v>16</v>
      </c>
      <c r="N32" s="264">
        <v>408</v>
      </c>
      <c r="O32" s="739">
        <v>44707</v>
      </c>
      <c r="P32" s="264">
        <f t="shared" si="1"/>
        <v>408</v>
      </c>
      <c r="Q32" s="265" t="s">
        <v>636</v>
      </c>
      <c r="R32" s="266">
        <v>56</v>
      </c>
      <c r="S32" s="259">
        <f t="shared" si="6"/>
        <v>2069.0499999999975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73</v>
      </c>
      <c r="M33" s="15">
        <v>12</v>
      </c>
      <c r="N33" s="264">
        <v>311.58999999999997</v>
      </c>
      <c r="O33" s="739">
        <v>44708</v>
      </c>
      <c r="P33" s="264">
        <f t="shared" si="1"/>
        <v>311.58999999999997</v>
      </c>
      <c r="Q33" s="265" t="s">
        <v>665</v>
      </c>
      <c r="R33" s="266">
        <v>56</v>
      </c>
      <c r="S33" s="259">
        <f t="shared" si="6"/>
        <v>1757.4599999999975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66</v>
      </c>
      <c r="M34" s="15">
        <v>7</v>
      </c>
      <c r="N34" s="264">
        <v>162.13</v>
      </c>
      <c r="O34" s="739">
        <v>44709</v>
      </c>
      <c r="P34" s="264">
        <f t="shared" si="1"/>
        <v>162.13</v>
      </c>
      <c r="Q34" s="265" t="s">
        <v>680</v>
      </c>
      <c r="R34" s="266">
        <v>56</v>
      </c>
      <c r="S34" s="259">
        <f t="shared" si="6"/>
        <v>1595.3299999999977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66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1595.3299999999977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66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1595.3299999999977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66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1595.3299999999977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66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1595.3299999999977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66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1595.3299999999977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66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1595.3299999999977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66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1595.3299999999977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66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1595.3299999999977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66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1595.3299999999977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66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1595.3299999999977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66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1595.3299999999977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66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1595.3299999999977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66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1595.3299999999977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66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1595.3299999999977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66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1595.3299999999977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66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1595.3299999999977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66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1595.3299999999977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66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1595.3299999999977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66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1595.3299999999977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66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1595.3299999999977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1595.3299999999977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221</v>
      </c>
      <c r="N56" s="124">
        <f>SUM(N10:N55)</f>
        <v>5550.07</v>
      </c>
      <c r="O56" s="171"/>
      <c r="P56" s="124">
        <f>SUM(P10:P55)</f>
        <v>5550.07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18" t="s">
        <v>11</v>
      </c>
      <c r="D61" s="1219"/>
      <c r="E61" s="57" t="e">
        <f>E4-F56+#REF!+E5+#REF!</f>
        <v>#REF!</v>
      </c>
      <c r="L61" s="91"/>
      <c r="M61" s="1218" t="s">
        <v>11</v>
      </c>
      <c r="N61" s="1219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16"/>
      <c r="B1" s="1216"/>
      <c r="C1" s="1216"/>
      <c r="D1" s="1216"/>
      <c r="E1" s="1216"/>
      <c r="F1" s="1216"/>
      <c r="G1" s="121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44"/>
      <c r="B5" s="1246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45"/>
      <c r="B6" s="1247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48" t="s">
        <v>11</v>
      </c>
      <c r="D56" s="1249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9"/>
      <c r="B1" s="1209"/>
      <c r="C1" s="1209"/>
      <c r="D1" s="1209"/>
      <c r="E1" s="1209"/>
      <c r="F1" s="1209"/>
      <c r="G1" s="12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50"/>
      <c r="C4" s="453"/>
      <c r="D4" s="262"/>
      <c r="E4" s="337"/>
      <c r="F4" s="313"/>
      <c r="G4" s="240"/>
    </row>
    <row r="5" spans="1:10" ht="15" customHeight="1" x14ac:dyDescent="0.25">
      <c r="A5" s="1244"/>
      <c r="B5" s="1251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45"/>
      <c r="B6" s="1252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48" t="s">
        <v>11</v>
      </c>
      <c r="D55" s="1249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pane ySplit="8" topLeftCell="A21" activePane="bottomLeft" state="frozen"/>
      <selection pane="bottomLeft" activeCell="Y32" sqref="Y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0" t="s">
        <v>226</v>
      </c>
      <c r="B1" s="1220"/>
      <c r="C1" s="1220"/>
      <c r="D1" s="1220"/>
      <c r="E1" s="1220"/>
      <c r="F1" s="1220"/>
      <c r="G1" s="1220"/>
      <c r="H1" s="11">
        <v>1</v>
      </c>
      <c r="I1" s="132"/>
      <c r="J1" s="73"/>
      <c r="M1" s="1216" t="s">
        <v>265</v>
      </c>
      <c r="N1" s="1216"/>
      <c r="O1" s="1216"/>
      <c r="P1" s="1216"/>
      <c r="Q1" s="1216"/>
      <c r="R1" s="1216"/>
      <c r="S1" s="1216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53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53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1543.6000000000001</v>
      </c>
      <c r="T5" s="7">
        <f>Q4+Q5-S5+Q6+Q7</f>
        <v>985.18</v>
      </c>
      <c r="U5" s="203"/>
      <c r="V5" s="73"/>
    </row>
    <row r="6" spans="1:23" x14ac:dyDescent="0.25">
      <c r="B6" s="1253"/>
      <c r="C6" s="212"/>
      <c r="D6" s="154"/>
      <c r="E6" s="105"/>
      <c r="F6" s="73"/>
      <c r="I6" s="204"/>
      <c r="J6" s="73"/>
      <c r="N6" s="1253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>
        <v>30</v>
      </c>
      <c r="P20" s="69">
        <f t="shared" si="2"/>
        <v>136.19999999999999</v>
      </c>
      <c r="Q20" s="208">
        <v>44704</v>
      </c>
      <c r="R20" s="69">
        <f t="shared" si="3"/>
        <v>136.19999999999999</v>
      </c>
      <c r="S20" s="70" t="s">
        <v>625</v>
      </c>
      <c r="T20" s="71">
        <v>62</v>
      </c>
      <c r="U20" s="203">
        <f t="shared" si="8"/>
        <v>1570.8399999999997</v>
      </c>
      <c r="V20" s="73">
        <f t="shared" si="9"/>
        <v>346</v>
      </c>
      <c r="W20" s="60">
        <f t="shared" si="5"/>
        <v>8444.4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>
        <v>12</v>
      </c>
      <c r="P21" s="69">
        <f t="shared" si="2"/>
        <v>54.480000000000004</v>
      </c>
      <c r="Q21" s="208">
        <v>44705</v>
      </c>
      <c r="R21" s="69">
        <f t="shared" si="3"/>
        <v>54.480000000000004</v>
      </c>
      <c r="S21" s="70" t="s">
        <v>632</v>
      </c>
      <c r="T21" s="71">
        <v>62</v>
      </c>
      <c r="U21" s="203">
        <f t="shared" si="8"/>
        <v>1516.3599999999997</v>
      </c>
      <c r="V21" s="73">
        <f t="shared" si="9"/>
        <v>334</v>
      </c>
      <c r="W21" s="60">
        <f t="shared" si="5"/>
        <v>3377.76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>
        <v>4</v>
      </c>
      <c r="P22" s="69">
        <f t="shared" si="2"/>
        <v>18.16</v>
      </c>
      <c r="Q22" s="208">
        <v>44705</v>
      </c>
      <c r="R22" s="69">
        <f t="shared" si="3"/>
        <v>18.16</v>
      </c>
      <c r="S22" s="70" t="s">
        <v>632</v>
      </c>
      <c r="T22" s="71">
        <v>62</v>
      </c>
      <c r="U22" s="203">
        <f t="shared" si="8"/>
        <v>1498.1999999999996</v>
      </c>
      <c r="V22" s="73">
        <f t="shared" si="9"/>
        <v>330</v>
      </c>
      <c r="W22" s="60">
        <f t="shared" si="5"/>
        <v>1125.92</v>
      </c>
    </row>
    <row r="23" spans="2:23" x14ac:dyDescent="0.25">
      <c r="B23" s="133">
        <v>4.54</v>
      </c>
      <c r="C23" s="15">
        <v>1</v>
      </c>
      <c r="D23" s="1032">
        <f t="shared" si="0"/>
        <v>4.54</v>
      </c>
      <c r="E23" s="1039">
        <v>44683</v>
      </c>
      <c r="F23" s="1032">
        <f t="shared" si="1"/>
        <v>4.54</v>
      </c>
      <c r="G23" s="1033" t="s">
        <v>354</v>
      </c>
      <c r="H23" s="1034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>
        <v>10</v>
      </c>
      <c r="P23" s="69">
        <f t="shared" si="2"/>
        <v>45.4</v>
      </c>
      <c r="Q23" s="208">
        <v>44705</v>
      </c>
      <c r="R23" s="69">
        <f t="shared" si="3"/>
        <v>45.4</v>
      </c>
      <c r="S23" s="70" t="s">
        <v>633</v>
      </c>
      <c r="T23" s="71">
        <v>62</v>
      </c>
      <c r="U23" s="203">
        <f t="shared" si="8"/>
        <v>1452.7999999999995</v>
      </c>
      <c r="V23" s="73">
        <f t="shared" si="9"/>
        <v>320</v>
      </c>
      <c r="W23" s="60">
        <f t="shared" si="5"/>
        <v>2814.7999999999997</v>
      </c>
    </row>
    <row r="24" spans="2:23" x14ac:dyDescent="0.25">
      <c r="B24" s="133">
        <v>4.54</v>
      </c>
      <c r="C24" s="15">
        <v>20</v>
      </c>
      <c r="D24" s="1032">
        <f t="shared" si="0"/>
        <v>90.8</v>
      </c>
      <c r="E24" s="1039">
        <v>44683</v>
      </c>
      <c r="F24" s="1032">
        <f t="shared" si="1"/>
        <v>90.8</v>
      </c>
      <c r="G24" s="1033" t="s">
        <v>355</v>
      </c>
      <c r="H24" s="1034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>
        <v>3</v>
      </c>
      <c r="P24" s="69">
        <f t="shared" si="2"/>
        <v>13.620000000000001</v>
      </c>
      <c r="Q24" s="208">
        <v>44706</v>
      </c>
      <c r="R24" s="69">
        <f t="shared" si="3"/>
        <v>13.620000000000001</v>
      </c>
      <c r="S24" s="70" t="s">
        <v>643</v>
      </c>
      <c r="T24" s="71">
        <v>62</v>
      </c>
      <c r="U24" s="203">
        <f t="shared" si="8"/>
        <v>1439.1799999999996</v>
      </c>
      <c r="V24" s="73">
        <f t="shared" si="9"/>
        <v>317</v>
      </c>
      <c r="W24" s="60">
        <f t="shared" si="5"/>
        <v>844.44</v>
      </c>
    </row>
    <row r="25" spans="2:23" x14ac:dyDescent="0.25">
      <c r="B25" s="133">
        <v>4.54</v>
      </c>
      <c r="C25" s="15">
        <v>1</v>
      </c>
      <c r="D25" s="1032">
        <f t="shared" si="0"/>
        <v>4.54</v>
      </c>
      <c r="E25" s="1039">
        <v>44683</v>
      </c>
      <c r="F25" s="1032">
        <f t="shared" si="1"/>
        <v>4.54</v>
      </c>
      <c r="G25" s="1033" t="s">
        <v>356</v>
      </c>
      <c r="H25" s="1034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>
        <v>40</v>
      </c>
      <c r="P25" s="69">
        <f t="shared" si="2"/>
        <v>181.6</v>
      </c>
      <c r="Q25" s="208">
        <v>44707</v>
      </c>
      <c r="R25" s="69">
        <f t="shared" si="3"/>
        <v>181.6</v>
      </c>
      <c r="S25" s="70" t="s">
        <v>647</v>
      </c>
      <c r="T25" s="71">
        <v>62</v>
      </c>
      <c r="U25" s="203">
        <f t="shared" si="8"/>
        <v>1257.5799999999997</v>
      </c>
      <c r="V25" s="73">
        <f t="shared" si="9"/>
        <v>277</v>
      </c>
      <c r="W25" s="60">
        <f t="shared" si="5"/>
        <v>11259.199999999999</v>
      </c>
    </row>
    <row r="26" spans="2:23" x14ac:dyDescent="0.25">
      <c r="B26" s="133">
        <v>4.54</v>
      </c>
      <c r="C26" s="15">
        <v>4</v>
      </c>
      <c r="D26" s="1032">
        <f t="shared" si="0"/>
        <v>18.16</v>
      </c>
      <c r="E26" s="1039">
        <v>44683</v>
      </c>
      <c r="F26" s="1032">
        <f t="shared" si="1"/>
        <v>18.16</v>
      </c>
      <c r="G26" s="1033" t="s">
        <v>357</v>
      </c>
      <c r="H26" s="1034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>
        <v>1</v>
      </c>
      <c r="P26" s="69">
        <f t="shared" si="2"/>
        <v>4.54</v>
      </c>
      <c r="Q26" s="208">
        <v>44707</v>
      </c>
      <c r="R26" s="69">
        <f t="shared" si="3"/>
        <v>4.54</v>
      </c>
      <c r="S26" s="70" t="s">
        <v>654</v>
      </c>
      <c r="T26" s="71">
        <v>62</v>
      </c>
      <c r="U26" s="203">
        <f t="shared" si="8"/>
        <v>1253.0399999999997</v>
      </c>
      <c r="V26" s="73">
        <f t="shared" si="9"/>
        <v>276</v>
      </c>
      <c r="W26" s="60">
        <f t="shared" si="5"/>
        <v>281.48</v>
      </c>
    </row>
    <row r="27" spans="2:23" x14ac:dyDescent="0.25">
      <c r="B27" s="133">
        <v>4.54</v>
      </c>
      <c r="C27" s="15">
        <v>10</v>
      </c>
      <c r="D27" s="1032">
        <f t="shared" si="0"/>
        <v>45.4</v>
      </c>
      <c r="E27" s="1039">
        <v>44683</v>
      </c>
      <c r="F27" s="1032">
        <f t="shared" si="1"/>
        <v>45.4</v>
      </c>
      <c r="G27" s="1033" t="s">
        <v>359</v>
      </c>
      <c r="H27" s="1034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>
        <v>8</v>
      </c>
      <c r="P27" s="69">
        <f t="shared" si="2"/>
        <v>36.32</v>
      </c>
      <c r="Q27" s="208">
        <v>44707</v>
      </c>
      <c r="R27" s="69">
        <f t="shared" si="3"/>
        <v>36.32</v>
      </c>
      <c r="S27" s="70" t="s">
        <v>656</v>
      </c>
      <c r="T27" s="71">
        <v>58</v>
      </c>
      <c r="U27" s="203">
        <f t="shared" si="8"/>
        <v>1216.7199999999998</v>
      </c>
      <c r="V27" s="73">
        <f t="shared" si="9"/>
        <v>268</v>
      </c>
      <c r="W27" s="60">
        <f t="shared" si="5"/>
        <v>2106.56</v>
      </c>
    </row>
    <row r="28" spans="2:23" x14ac:dyDescent="0.25">
      <c r="B28" s="133">
        <v>4.54</v>
      </c>
      <c r="C28" s="15">
        <v>30</v>
      </c>
      <c r="D28" s="1032">
        <f t="shared" si="0"/>
        <v>136.19999999999999</v>
      </c>
      <c r="E28" s="1039">
        <v>44685</v>
      </c>
      <c r="F28" s="1032">
        <f t="shared" si="1"/>
        <v>136.19999999999999</v>
      </c>
      <c r="G28" s="1033" t="s">
        <v>383</v>
      </c>
      <c r="H28" s="1034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>
        <v>1</v>
      </c>
      <c r="P28" s="69">
        <f t="shared" si="2"/>
        <v>4.54</v>
      </c>
      <c r="Q28" s="208">
        <v>44708</v>
      </c>
      <c r="R28" s="69">
        <f t="shared" si="3"/>
        <v>4.54</v>
      </c>
      <c r="S28" s="70" t="s">
        <v>662</v>
      </c>
      <c r="T28" s="71">
        <v>58</v>
      </c>
      <c r="U28" s="203">
        <f t="shared" si="8"/>
        <v>1212.1799999999998</v>
      </c>
      <c r="V28" s="73">
        <f t="shared" si="9"/>
        <v>267</v>
      </c>
      <c r="W28" s="60">
        <f t="shared" si="5"/>
        <v>263.32</v>
      </c>
    </row>
    <row r="29" spans="2:23" x14ac:dyDescent="0.25">
      <c r="B29" s="133">
        <v>4.54</v>
      </c>
      <c r="C29" s="15">
        <v>3</v>
      </c>
      <c r="D29" s="1032">
        <f t="shared" si="0"/>
        <v>13.620000000000001</v>
      </c>
      <c r="E29" s="1039">
        <v>44687</v>
      </c>
      <c r="F29" s="1032">
        <f t="shared" si="1"/>
        <v>13.620000000000001</v>
      </c>
      <c r="G29" s="1033" t="s">
        <v>397</v>
      </c>
      <c r="H29" s="1034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>
        <v>10</v>
      </c>
      <c r="P29" s="69">
        <f t="shared" si="2"/>
        <v>45.4</v>
      </c>
      <c r="Q29" s="208">
        <v>44708</v>
      </c>
      <c r="R29" s="69">
        <f t="shared" si="3"/>
        <v>45.4</v>
      </c>
      <c r="S29" s="70" t="s">
        <v>663</v>
      </c>
      <c r="T29" s="71">
        <v>58</v>
      </c>
      <c r="U29" s="203">
        <f t="shared" si="8"/>
        <v>1166.7799999999997</v>
      </c>
      <c r="V29" s="73">
        <f t="shared" si="9"/>
        <v>257</v>
      </c>
      <c r="W29" s="60">
        <f t="shared" si="5"/>
        <v>2633.2</v>
      </c>
    </row>
    <row r="30" spans="2:23" x14ac:dyDescent="0.25">
      <c r="B30" s="133">
        <v>4.54</v>
      </c>
      <c r="C30" s="15">
        <v>2</v>
      </c>
      <c r="D30" s="1032">
        <f t="shared" si="0"/>
        <v>9.08</v>
      </c>
      <c r="E30" s="1039">
        <v>44687</v>
      </c>
      <c r="F30" s="1032">
        <f t="shared" si="1"/>
        <v>9.08</v>
      </c>
      <c r="G30" s="1033" t="s">
        <v>395</v>
      </c>
      <c r="H30" s="1034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>
        <v>30</v>
      </c>
      <c r="P30" s="69">
        <f t="shared" si="2"/>
        <v>136.19999999999999</v>
      </c>
      <c r="Q30" s="208">
        <v>44708</v>
      </c>
      <c r="R30" s="69">
        <f t="shared" si="3"/>
        <v>136.19999999999999</v>
      </c>
      <c r="S30" s="70" t="s">
        <v>664</v>
      </c>
      <c r="T30" s="71">
        <v>58</v>
      </c>
      <c r="U30" s="203">
        <f t="shared" si="8"/>
        <v>1030.5799999999997</v>
      </c>
      <c r="V30" s="73">
        <f t="shared" si="9"/>
        <v>227</v>
      </c>
      <c r="W30" s="60">
        <f t="shared" si="5"/>
        <v>7899.5999999999995</v>
      </c>
    </row>
    <row r="31" spans="2:23" x14ac:dyDescent="0.25">
      <c r="B31" s="133">
        <v>4.54</v>
      </c>
      <c r="C31" s="15">
        <v>30</v>
      </c>
      <c r="D31" s="1032">
        <f t="shared" si="0"/>
        <v>136.19999999999999</v>
      </c>
      <c r="E31" s="1039">
        <v>44687</v>
      </c>
      <c r="F31" s="1032">
        <f t="shared" si="1"/>
        <v>136.19999999999999</v>
      </c>
      <c r="G31" s="1033" t="s">
        <v>401</v>
      </c>
      <c r="H31" s="1034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>
        <v>10</v>
      </c>
      <c r="P31" s="69">
        <f t="shared" si="2"/>
        <v>45.4</v>
      </c>
      <c r="Q31" s="208">
        <v>44709</v>
      </c>
      <c r="R31" s="69">
        <f t="shared" si="3"/>
        <v>45.4</v>
      </c>
      <c r="S31" s="70" t="s">
        <v>678</v>
      </c>
      <c r="T31" s="71">
        <v>58</v>
      </c>
      <c r="U31" s="203">
        <f t="shared" si="8"/>
        <v>985.17999999999972</v>
      </c>
      <c r="V31" s="73">
        <f t="shared" si="9"/>
        <v>217</v>
      </c>
      <c r="W31" s="60">
        <f t="shared" si="5"/>
        <v>2633.2</v>
      </c>
    </row>
    <row r="32" spans="2:23" x14ac:dyDescent="0.25">
      <c r="B32" s="133">
        <v>4.54</v>
      </c>
      <c r="C32" s="15">
        <v>3</v>
      </c>
      <c r="D32" s="1032">
        <f t="shared" si="0"/>
        <v>13.620000000000001</v>
      </c>
      <c r="E32" s="1039">
        <v>44688</v>
      </c>
      <c r="F32" s="1032">
        <f>D32</f>
        <v>13.620000000000001</v>
      </c>
      <c r="G32" s="1033" t="s">
        <v>418</v>
      </c>
      <c r="H32" s="1034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985.17999999999972</v>
      </c>
      <c r="V32" s="73">
        <f t="shared" si="9"/>
        <v>217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2">
        <f t="shared" si="0"/>
        <v>136.19999999999999</v>
      </c>
      <c r="E33" s="1040">
        <v>44688</v>
      </c>
      <c r="F33" s="1032">
        <f>D33</f>
        <v>136.19999999999999</v>
      </c>
      <c r="G33" s="1033" t="s">
        <v>421</v>
      </c>
      <c r="H33" s="1034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985.17999999999972</v>
      </c>
      <c r="V33" s="73">
        <f t="shared" si="9"/>
        <v>217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2">
        <f t="shared" si="0"/>
        <v>90.8</v>
      </c>
      <c r="E34" s="1041">
        <v>44690</v>
      </c>
      <c r="F34" s="1032">
        <f t="shared" ref="F34:F108" si="10">D34</f>
        <v>90.8</v>
      </c>
      <c r="G34" s="1033" t="s">
        <v>423</v>
      </c>
      <c r="H34" s="1034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985.17999999999972</v>
      </c>
      <c r="V34" s="73">
        <f t="shared" si="9"/>
        <v>217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2">
        <f t="shared" si="0"/>
        <v>36.32</v>
      </c>
      <c r="E35" s="1041">
        <v>44691</v>
      </c>
      <c r="F35" s="1032">
        <f t="shared" si="10"/>
        <v>36.32</v>
      </c>
      <c r="G35" s="1033" t="s">
        <v>434</v>
      </c>
      <c r="H35" s="1034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985.17999999999972</v>
      </c>
      <c r="V35" s="73">
        <f t="shared" si="9"/>
        <v>217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2">
        <f t="shared" si="0"/>
        <v>27.240000000000002</v>
      </c>
      <c r="E36" s="1041">
        <v>44692</v>
      </c>
      <c r="F36" s="1032">
        <f t="shared" si="10"/>
        <v>27.240000000000002</v>
      </c>
      <c r="G36" s="1033" t="s">
        <v>448</v>
      </c>
      <c r="H36" s="1034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985.17999999999972</v>
      </c>
      <c r="V36" s="73">
        <f t="shared" si="9"/>
        <v>217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2">
        <f t="shared" si="0"/>
        <v>136.19999999999999</v>
      </c>
      <c r="E37" s="1041">
        <v>44692</v>
      </c>
      <c r="F37" s="1032">
        <f t="shared" si="10"/>
        <v>136.19999999999999</v>
      </c>
      <c r="G37" s="1033" t="s">
        <v>461</v>
      </c>
      <c r="H37" s="1034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985.17999999999972</v>
      </c>
      <c r="V37" s="73">
        <f t="shared" si="9"/>
        <v>217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2">
        <f t="shared" si="0"/>
        <v>45.4</v>
      </c>
      <c r="E38" s="1039">
        <v>44693</v>
      </c>
      <c r="F38" s="1032">
        <f t="shared" si="10"/>
        <v>45.4</v>
      </c>
      <c r="G38" s="1033" t="s">
        <v>442</v>
      </c>
      <c r="H38" s="1034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985.17999999999972</v>
      </c>
      <c r="V38" s="73">
        <f t="shared" si="9"/>
        <v>217</v>
      </c>
      <c r="W38" s="60">
        <f t="shared" si="5"/>
        <v>0</v>
      </c>
    </row>
    <row r="39" spans="1:23" x14ac:dyDescent="0.25">
      <c r="B39" s="133">
        <v>4.54</v>
      </c>
      <c r="C39" s="15"/>
      <c r="D39" s="1032">
        <f t="shared" si="0"/>
        <v>0</v>
      </c>
      <c r="E39" s="1039"/>
      <c r="F39" s="1032">
        <f t="shared" si="10"/>
        <v>0</v>
      </c>
      <c r="G39" s="1061"/>
      <c r="H39" s="1062"/>
      <c r="I39" s="1082">
        <f t="shared" si="6"/>
        <v>22.699999999999626</v>
      </c>
      <c r="J39" s="1083">
        <f t="shared" si="7"/>
        <v>5</v>
      </c>
      <c r="K39" s="1063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985.17999999999972</v>
      </c>
      <c r="V39" s="73">
        <f t="shared" si="9"/>
        <v>217</v>
      </c>
      <c r="W39" s="60">
        <f t="shared" si="5"/>
        <v>0</v>
      </c>
    </row>
    <row r="40" spans="1:23" x14ac:dyDescent="0.25">
      <c r="B40" s="133">
        <v>4.54</v>
      </c>
      <c r="C40" s="15"/>
      <c r="D40" s="1032">
        <f t="shared" si="0"/>
        <v>0</v>
      </c>
      <c r="E40" s="1039"/>
      <c r="F40" s="1032">
        <f t="shared" si="10"/>
        <v>0</v>
      </c>
      <c r="G40" s="1061"/>
      <c r="H40" s="1062"/>
      <c r="I40" s="1082">
        <f t="shared" si="6"/>
        <v>22.699999999999626</v>
      </c>
      <c r="J40" s="1083">
        <f t="shared" si="7"/>
        <v>5</v>
      </c>
      <c r="K40" s="1063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985.17999999999972</v>
      </c>
      <c r="V40" s="73">
        <f t="shared" si="9"/>
        <v>217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2">
        <f t="shared" si="0"/>
        <v>22.7</v>
      </c>
      <c r="E41" s="1039"/>
      <c r="F41" s="1032">
        <f t="shared" si="10"/>
        <v>22.7</v>
      </c>
      <c r="G41" s="1061"/>
      <c r="H41" s="1062"/>
      <c r="I41" s="1082">
        <f t="shared" si="6"/>
        <v>-3.730349362740526E-13</v>
      </c>
      <c r="J41" s="1083">
        <f t="shared" si="7"/>
        <v>0</v>
      </c>
      <c r="K41" s="1063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985.17999999999972</v>
      </c>
      <c r="V41" s="73">
        <f t="shared" si="9"/>
        <v>217</v>
      </c>
      <c r="W41" s="60">
        <f t="shared" si="5"/>
        <v>0</v>
      </c>
    </row>
    <row r="42" spans="1:23" x14ac:dyDescent="0.25">
      <c r="B42" s="133">
        <v>4.54</v>
      </c>
      <c r="C42" s="15"/>
      <c r="D42" s="1032">
        <f t="shared" si="0"/>
        <v>0</v>
      </c>
      <c r="E42" s="1039"/>
      <c r="F42" s="1032">
        <f t="shared" si="10"/>
        <v>0</v>
      </c>
      <c r="G42" s="1061"/>
      <c r="H42" s="1062"/>
      <c r="I42" s="1082">
        <f t="shared" si="6"/>
        <v>-3.730349362740526E-13</v>
      </c>
      <c r="J42" s="1083">
        <f t="shared" si="7"/>
        <v>0</v>
      </c>
      <c r="K42" s="1063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985.17999999999972</v>
      </c>
      <c r="V42" s="73">
        <f t="shared" si="9"/>
        <v>217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985.17999999999972</v>
      </c>
      <c r="V43" s="73">
        <f t="shared" si="9"/>
        <v>217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985.17999999999972</v>
      </c>
      <c r="V44" s="73">
        <f t="shared" si="9"/>
        <v>217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985.17999999999972</v>
      </c>
      <c r="V45" s="73">
        <f t="shared" si="9"/>
        <v>217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985.17999999999972</v>
      </c>
      <c r="V46" s="73">
        <f t="shared" si="9"/>
        <v>217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985.17999999999972</v>
      </c>
      <c r="V47" s="73">
        <f t="shared" si="9"/>
        <v>217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985.17999999999972</v>
      </c>
      <c r="V48" s="73">
        <f t="shared" si="9"/>
        <v>217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985.17999999999972</v>
      </c>
      <c r="V49" s="73">
        <f t="shared" si="9"/>
        <v>217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985.17999999999972</v>
      </c>
      <c r="V50" s="73">
        <f t="shared" si="9"/>
        <v>217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985.17999999999972</v>
      </c>
      <c r="V51" s="73">
        <f t="shared" si="9"/>
        <v>217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985.17999999999972</v>
      </c>
      <c r="V52" s="73">
        <f t="shared" si="9"/>
        <v>217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985.17999999999972</v>
      </c>
      <c r="V53" s="73">
        <f t="shared" si="9"/>
        <v>217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985.17999999999972</v>
      </c>
      <c r="V54" s="73">
        <f t="shared" si="9"/>
        <v>217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985.17999999999972</v>
      </c>
      <c r="V55" s="73">
        <f t="shared" si="9"/>
        <v>217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985.17999999999972</v>
      </c>
      <c r="V56" s="73">
        <f t="shared" si="9"/>
        <v>217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985.17999999999972</v>
      </c>
      <c r="V57" s="73">
        <f t="shared" si="9"/>
        <v>217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985.17999999999972</v>
      </c>
      <c r="V58" s="73">
        <f t="shared" si="9"/>
        <v>217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985.17999999999972</v>
      </c>
      <c r="V59" s="73">
        <f t="shared" si="9"/>
        <v>217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985.17999999999972</v>
      </c>
      <c r="V60" s="73">
        <f t="shared" si="9"/>
        <v>217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985.17999999999972</v>
      </c>
      <c r="V61" s="73">
        <f t="shared" si="9"/>
        <v>217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985.17999999999972</v>
      </c>
      <c r="V62" s="73">
        <f t="shared" si="9"/>
        <v>217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985.17999999999972</v>
      </c>
      <c r="V63" s="73">
        <f t="shared" si="9"/>
        <v>217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985.17999999999972</v>
      </c>
      <c r="V64" s="73">
        <f t="shared" si="9"/>
        <v>217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985.17999999999972</v>
      </c>
      <c r="V65" s="73">
        <f t="shared" si="9"/>
        <v>217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985.17999999999972</v>
      </c>
      <c r="V66" s="73">
        <f t="shared" si="9"/>
        <v>217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985.17999999999972</v>
      </c>
      <c r="V67" s="73">
        <f t="shared" si="9"/>
        <v>217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985.17999999999972</v>
      </c>
      <c r="V68" s="73">
        <f t="shared" si="9"/>
        <v>217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985.17999999999972</v>
      </c>
      <c r="V69" s="73">
        <f t="shared" si="9"/>
        <v>217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985.17999999999972</v>
      </c>
      <c r="V70" s="73">
        <f t="shared" si="9"/>
        <v>217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985.17999999999972</v>
      </c>
      <c r="V71" s="73">
        <f t="shared" si="9"/>
        <v>217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985.17999999999972</v>
      </c>
      <c r="V72" s="73">
        <f t="shared" si="9"/>
        <v>217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985.17999999999972</v>
      </c>
      <c r="V73" s="73">
        <f t="shared" si="9"/>
        <v>217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985.17999999999972</v>
      </c>
      <c r="V74" s="73">
        <f t="shared" si="9"/>
        <v>217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985.17999999999972</v>
      </c>
      <c r="V75" s="73">
        <f t="shared" ref="V75:V106" si="15">V74-O75</f>
        <v>217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985.17999999999972</v>
      </c>
      <c r="V76" s="73">
        <f t="shared" si="15"/>
        <v>217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985.17999999999972</v>
      </c>
      <c r="V77" s="73">
        <f t="shared" si="15"/>
        <v>217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985.17999999999972</v>
      </c>
      <c r="V78" s="73">
        <f t="shared" si="15"/>
        <v>217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985.17999999999972</v>
      </c>
      <c r="V79" s="73">
        <f t="shared" si="15"/>
        <v>217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985.17999999999972</v>
      </c>
      <c r="V80" s="73">
        <f t="shared" si="15"/>
        <v>217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985.17999999999972</v>
      </c>
      <c r="V81" s="73">
        <f t="shared" si="15"/>
        <v>217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985.17999999999972</v>
      </c>
      <c r="V82" s="73">
        <f t="shared" si="15"/>
        <v>217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985.17999999999972</v>
      </c>
      <c r="V83" s="73">
        <f t="shared" si="15"/>
        <v>217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985.17999999999972</v>
      </c>
      <c r="V84" s="73">
        <f t="shared" si="15"/>
        <v>217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985.17999999999972</v>
      </c>
      <c r="V85" s="73">
        <f t="shared" si="15"/>
        <v>217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985.17999999999972</v>
      </c>
      <c r="V86" s="73">
        <f t="shared" si="15"/>
        <v>217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985.17999999999972</v>
      </c>
      <c r="V87" s="73">
        <f t="shared" si="15"/>
        <v>217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985.17999999999972</v>
      </c>
      <c r="V88" s="73">
        <f t="shared" si="15"/>
        <v>217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985.17999999999972</v>
      </c>
      <c r="V89" s="73">
        <f t="shared" si="15"/>
        <v>217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985.17999999999972</v>
      </c>
      <c r="V90" s="73">
        <f t="shared" si="15"/>
        <v>217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985.17999999999972</v>
      </c>
      <c r="V91" s="73">
        <f t="shared" si="15"/>
        <v>217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985.17999999999972</v>
      </c>
      <c r="V92" s="73">
        <f t="shared" si="15"/>
        <v>217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985.17999999999972</v>
      </c>
      <c r="V93" s="73">
        <f t="shared" si="15"/>
        <v>217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985.17999999999972</v>
      </c>
      <c r="V94" s="73">
        <f t="shared" si="15"/>
        <v>217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985.17999999999972</v>
      </c>
      <c r="V95" s="73">
        <f t="shared" si="15"/>
        <v>217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985.17999999999972</v>
      </c>
      <c r="V96" s="73">
        <f t="shared" si="15"/>
        <v>217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985.17999999999972</v>
      </c>
      <c r="V97" s="73">
        <f t="shared" si="15"/>
        <v>217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985.17999999999972</v>
      </c>
      <c r="V98" s="73">
        <f t="shared" si="15"/>
        <v>217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985.17999999999972</v>
      </c>
      <c r="V99" s="73">
        <f t="shared" si="15"/>
        <v>217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985.17999999999972</v>
      </c>
      <c r="V100" s="73">
        <f t="shared" si="15"/>
        <v>217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985.17999999999972</v>
      </c>
      <c r="V101" s="73">
        <f t="shared" si="15"/>
        <v>217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985.17999999999972</v>
      </c>
      <c r="V102" s="73">
        <f t="shared" si="15"/>
        <v>217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985.17999999999972</v>
      </c>
      <c r="V103" s="73">
        <f t="shared" si="15"/>
        <v>217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985.17999999999972</v>
      </c>
      <c r="V104" s="73">
        <f t="shared" si="15"/>
        <v>217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985.17999999999972</v>
      </c>
      <c r="V105" s="73">
        <f t="shared" si="15"/>
        <v>217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985.17999999999972</v>
      </c>
      <c r="V106" s="73">
        <f t="shared" si="15"/>
        <v>217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985.17999999999972</v>
      </c>
      <c r="V107" s="73">
        <f>V83-O107</f>
        <v>217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340</v>
      </c>
      <c r="P109" s="6">
        <f>SUM(P9:P108)</f>
        <v>1543.6000000000001</v>
      </c>
      <c r="Q109" s="13"/>
      <c r="R109" s="6">
        <f>SUM(R9:R108)</f>
        <v>1543.6000000000001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217</v>
      </c>
      <c r="Q111" s="40"/>
      <c r="R111" s="6"/>
      <c r="S111" s="31"/>
      <c r="T111" s="17"/>
      <c r="U111" s="132"/>
      <c r="V111" s="73"/>
    </row>
    <row r="112" spans="2:23" x14ac:dyDescent="0.25">
      <c r="C112" s="1254" t="s">
        <v>19</v>
      </c>
      <c r="D112" s="1255"/>
      <c r="E112" s="39">
        <f>E4+E5-F109+E6+E7</f>
        <v>4.5474735088646412E-13</v>
      </c>
      <c r="F112" s="6"/>
      <c r="G112" s="6"/>
      <c r="H112" s="17"/>
      <c r="I112" s="132"/>
      <c r="J112" s="73"/>
      <c r="O112" s="1254" t="s">
        <v>19</v>
      </c>
      <c r="P112" s="1255"/>
      <c r="Q112" s="39">
        <f>Q4+Q5-R109+Q6+Q7</f>
        <v>985.18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16" t="s">
        <v>325</v>
      </c>
      <c r="B1" s="1216"/>
      <c r="C1" s="1216"/>
      <c r="D1" s="1216"/>
      <c r="E1" s="1216"/>
      <c r="F1" s="1216"/>
      <c r="G1" s="1216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33" t="s">
        <v>323</v>
      </c>
      <c r="B5" s="1256" t="s">
        <v>324</v>
      </c>
      <c r="C5" s="212"/>
      <c r="D5" s="154">
        <v>44695</v>
      </c>
      <c r="E5" s="132">
        <v>18534.28</v>
      </c>
      <c r="F5" s="1083">
        <v>21</v>
      </c>
      <c r="G5" s="1079">
        <v>19051.400000000001</v>
      </c>
      <c r="H5" s="138">
        <f>E4+E5-G5+E6+E7</f>
        <v>-517.12000000000262</v>
      </c>
    </row>
    <row r="6" spans="1:8" x14ac:dyDescent="0.25">
      <c r="A6" s="1233"/>
      <c r="B6" s="1256"/>
      <c r="C6" s="212"/>
      <c r="D6" s="154"/>
      <c r="E6" s="105"/>
      <c r="F6" s="1083"/>
      <c r="G6" s="1093"/>
    </row>
    <row r="7" spans="1:8" ht="15.75" customHeight="1" thickBot="1" x14ac:dyDescent="0.3">
      <c r="B7" s="12"/>
      <c r="C7" s="212"/>
      <c r="D7" s="154"/>
      <c r="E7" s="105"/>
      <c r="F7" s="1083"/>
      <c r="G7" s="1093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6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6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6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6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6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6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6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6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6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6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6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6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6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6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6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6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6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6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6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6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6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54" t="s">
        <v>19</v>
      </c>
      <c r="D34" s="125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6" t="s">
        <v>251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610</v>
      </c>
      <c r="B5" s="1217" t="s">
        <v>612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611</v>
      </c>
      <c r="B6" s="1217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218" t="s">
        <v>11</v>
      </c>
      <c r="D83" s="1219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I31" sqref="AI30:AI3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20" t="s">
        <v>227</v>
      </c>
      <c r="B1" s="1220"/>
      <c r="C1" s="1220"/>
      <c r="D1" s="1220"/>
      <c r="E1" s="1220"/>
      <c r="F1" s="1220"/>
      <c r="G1" s="1220"/>
      <c r="H1" s="11">
        <v>1</v>
      </c>
      <c r="K1" s="1220" t="str">
        <f>A1</f>
        <v>INVENTARIO DEL MES DE ABRIL   2022</v>
      </c>
      <c r="L1" s="1220"/>
      <c r="M1" s="1220"/>
      <c r="N1" s="1220"/>
      <c r="O1" s="1220"/>
      <c r="P1" s="1220"/>
      <c r="Q1" s="1220"/>
      <c r="R1" s="11">
        <v>2</v>
      </c>
      <c r="U1" s="1216" t="s">
        <v>240</v>
      </c>
      <c r="V1" s="1216"/>
      <c r="W1" s="1216"/>
      <c r="X1" s="1216"/>
      <c r="Y1" s="1216"/>
      <c r="Z1" s="1216"/>
      <c r="AA1" s="1216"/>
      <c r="AB1" s="11">
        <v>3</v>
      </c>
      <c r="AE1" s="1216" t="str">
        <f>U1</f>
        <v>ENTRADA DEL MES DE MAYO 2022</v>
      </c>
      <c r="AF1" s="1216"/>
      <c r="AG1" s="1216"/>
      <c r="AH1" s="1216"/>
      <c r="AI1" s="1216"/>
      <c r="AJ1" s="1216"/>
      <c r="AK1" s="121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1133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57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46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57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58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57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47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410</v>
      </c>
      <c r="R6" s="7">
        <f>O6-Q6+O7+O5-Q5+O4</f>
        <v>0</v>
      </c>
      <c r="U6" s="250"/>
      <c r="V6" s="1257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59"/>
      <c r="AG6" s="566"/>
      <c r="AH6" s="248"/>
      <c r="AI6" s="267">
        <v>10</v>
      </c>
      <c r="AJ6" s="62">
        <v>1</v>
      </c>
      <c r="AK6" s="262">
        <f>AJ78</f>
        <v>50</v>
      </c>
      <c r="AL6" s="7">
        <f>AI6-AK6+AI7+AI5-AK5+AI4</f>
        <v>60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6</v>
      </c>
      <c r="AG9" s="15">
        <v>5</v>
      </c>
      <c r="AH9" s="264">
        <v>50</v>
      </c>
      <c r="AI9" s="293">
        <v>44706</v>
      </c>
      <c r="AJ9" s="264">
        <f>AH9</f>
        <v>50</v>
      </c>
      <c r="AK9" s="265" t="s">
        <v>638</v>
      </c>
      <c r="AL9" s="266">
        <v>115</v>
      </c>
      <c r="AM9" s="275">
        <f>AI6-AJ9+AI5+AI7+AI4</f>
        <v>60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6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60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6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60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6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60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6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60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6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60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6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60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6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60</v>
      </c>
    </row>
    <row r="17" spans="1:39" x14ac:dyDescent="0.25">
      <c r="B17" s="83">
        <f t="shared" si="0"/>
        <v>2</v>
      </c>
      <c r="C17" s="73">
        <v>5</v>
      </c>
      <c r="D17" s="1042">
        <v>50</v>
      </c>
      <c r="E17" s="1043">
        <v>44683</v>
      </c>
      <c r="F17" s="1042">
        <f t="shared" si="1"/>
        <v>50</v>
      </c>
      <c r="G17" s="1036" t="s">
        <v>355</v>
      </c>
      <c r="H17" s="1037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6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60</v>
      </c>
    </row>
    <row r="18" spans="1:39" x14ac:dyDescent="0.25">
      <c r="A18" s="122"/>
      <c r="B18" s="83">
        <f t="shared" si="0"/>
        <v>1</v>
      </c>
      <c r="C18" s="73">
        <v>1</v>
      </c>
      <c r="D18" s="1042">
        <v>10</v>
      </c>
      <c r="E18" s="1043">
        <v>44686</v>
      </c>
      <c r="F18" s="1042">
        <f t="shared" si="1"/>
        <v>10</v>
      </c>
      <c r="G18" s="1036" t="s">
        <v>391</v>
      </c>
      <c r="H18" s="1037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6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60</v>
      </c>
    </row>
    <row r="19" spans="1:39" x14ac:dyDescent="0.25">
      <c r="A19" s="122"/>
      <c r="B19" s="83">
        <f t="shared" si="0"/>
        <v>1</v>
      </c>
      <c r="C19" s="15"/>
      <c r="D19" s="1042"/>
      <c r="E19" s="1043"/>
      <c r="F19" s="1060">
        <f t="shared" si="1"/>
        <v>0</v>
      </c>
      <c r="G19" s="1061"/>
      <c r="H19" s="1062"/>
      <c r="I19" s="1074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6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60</v>
      </c>
    </row>
    <row r="20" spans="1:39" x14ac:dyDescent="0.25">
      <c r="A20" s="122"/>
      <c r="B20" s="83">
        <f t="shared" si="0"/>
        <v>1</v>
      </c>
      <c r="C20" s="15"/>
      <c r="D20" s="1042"/>
      <c r="E20" s="1043"/>
      <c r="F20" s="1060">
        <f t="shared" si="1"/>
        <v>0</v>
      </c>
      <c r="G20" s="1061"/>
      <c r="H20" s="1062"/>
      <c r="I20" s="1074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6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60</v>
      </c>
    </row>
    <row r="21" spans="1:39" x14ac:dyDescent="0.25">
      <c r="A21" s="122"/>
      <c r="B21" s="83">
        <f t="shared" si="0"/>
        <v>0</v>
      </c>
      <c r="C21" s="15">
        <v>1</v>
      </c>
      <c r="D21" s="1042"/>
      <c r="E21" s="1043"/>
      <c r="F21" s="1060">
        <v>10</v>
      </c>
      <c r="G21" s="1061"/>
      <c r="H21" s="1062"/>
      <c r="I21" s="1074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6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60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6">
        <f t="shared" si="1"/>
        <v>0</v>
      </c>
      <c r="G22" s="1077"/>
      <c r="H22" s="1078"/>
      <c r="I22" s="1074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6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60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6">
        <f t="shared" si="1"/>
        <v>0</v>
      </c>
      <c r="G23" s="1077"/>
      <c r="H23" s="1078"/>
      <c r="I23" s="1074">
        <f t="shared" si="2"/>
        <v>0</v>
      </c>
      <c r="K23" s="123"/>
      <c r="L23" s="281">
        <f t="shared" si="3"/>
        <v>7</v>
      </c>
      <c r="M23" s="15">
        <v>5</v>
      </c>
      <c r="N23" s="1042">
        <v>50</v>
      </c>
      <c r="O23" s="1043">
        <v>44683</v>
      </c>
      <c r="P23" s="1042">
        <f t="shared" si="8"/>
        <v>50</v>
      </c>
      <c r="Q23" s="1036" t="s">
        <v>355</v>
      </c>
      <c r="R23" s="1037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6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60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6">
        <f t="shared" si="1"/>
        <v>0</v>
      </c>
      <c r="G24" s="1077"/>
      <c r="H24" s="1078"/>
      <c r="I24" s="1074">
        <f t="shared" si="2"/>
        <v>0</v>
      </c>
      <c r="K24" s="122"/>
      <c r="L24" s="281">
        <f t="shared" si="3"/>
        <v>6</v>
      </c>
      <c r="M24" s="15">
        <v>1</v>
      </c>
      <c r="N24" s="1042">
        <v>10</v>
      </c>
      <c r="O24" s="1043">
        <v>44686</v>
      </c>
      <c r="P24" s="1042">
        <f t="shared" si="8"/>
        <v>10</v>
      </c>
      <c r="Q24" s="1036" t="s">
        <v>391</v>
      </c>
      <c r="R24" s="1037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6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60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2">
        <v>20</v>
      </c>
      <c r="O25" s="1043">
        <v>44692</v>
      </c>
      <c r="P25" s="1042">
        <f t="shared" si="8"/>
        <v>20</v>
      </c>
      <c r="Q25" s="1036" t="s">
        <v>451</v>
      </c>
      <c r="R25" s="1037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6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60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2">
        <v>20</v>
      </c>
      <c r="O26" s="1043">
        <v>44697</v>
      </c>
      <c r="P26" s="1042">
        <f t="shared" si="8"/>
        <v>20</v>
      </c>
      <c r="Q26" s="1036" t="s">
        <v>505</v>
      </c>
      <c r="R26" s="1037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6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60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2">
        <v>10</v>
      </c>
      <c r="O27" s="1043">
        <v>44701</v>
      </c>
      <c r="P27" s="1042">
        <f t="shared" si="8"/>
        <v>10</v>
      </c>
      <c r="Q27" s="1036" t="s">
        <v>512</v>
      </c>
      <c r="R27" s="1037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6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60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2">
        <v>0</v>
      </c>
      <c r="O28" s="1043"/>
      <c r="P28" s="1060">
        <f t="shared" si="8"/>
        <v>0</v>
      </c>
      <c r="Q28" s="1061"/>
      <c r="R28" s="1062"/>
      <c r="S28" s="1074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6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60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2"/>
      <c r="O29" s="1043"/>
      <c r="P29" s="1060">
        <f t="shared" si="8"/>
        <v>0</v>
      </c>
      <c r="Q29" s="1061"/>
      <c r="R29" s="1062"/>
      <c r="S29" s="1074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6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60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2"/>
      <c r="O30" s="1043"/>
      <c r="P30" s="1060">
        <f t="shared" si="8"/>
        <v>0</v>
      </c>
      <c r="Q30" s="1061"/>
      <c r="R30" s="1062"/>
      <c r="S30" s="1074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6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60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0</v>
      </c>
      <c r="M31" s="15">
        <v>1</v>
      </c>
      <c r="N31" s="264"/>
      <c r="O31" s="293"/>
      <c r="P31" s="1076">
        <v>10</v>
      </c>
      <c r="Q31" s="1077"/>
      <c r="R31" s="1078"/>
      <c r="S31" s="1074">
        <f t="shared" si="9"/>
        <v>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6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60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6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60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6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60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6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60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6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60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6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60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6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60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6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60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6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60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6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60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6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60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6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60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6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60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6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60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6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60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6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60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6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60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6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60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6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60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6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60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6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60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6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60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6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60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6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60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6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60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6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60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6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60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6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60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6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60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6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60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6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60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6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60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6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60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6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60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6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60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6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6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6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6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6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6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6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6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6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6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60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41</v>
      </c>
      <c r="N78" s="6">
        <f>SUM(N9:N77)</f>
        <v>400</v>
      </c>
      <c r="P78" s="6">
        <f>SUM(P9:P77)</f>
        <v>410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-16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-4</v>
      </c>
    </row>
    <row r="82" spans="3:36" ht="15.75" thickBot="1" x14ac:dyDescent="0.3"/>
    <row r="83" spans="3:36" ht="15.75" thickBot="1" x14ac:dyDescent="0.3">
      <c r="C83" s="1218" t="s">
        <v>11</v>
      </c>
      <c r="D83" s="1219"/>
      <c r="E83" s="57">
        <f>E5+E6-F78+E7</f>
        <v>-100</v>
      </c>
      <c r="F83" s="73"/>
      <c r="M83" s="1218" t="s">
        <v>11</v>
      </c>
      <c r="N83" s="1219"/>
      <c r="O83" s="57">
        <f>O5+O6-P78+O7</f>
        <v>-160</v>
      </c>
      <c r="P83" s="73"/>
      <c r="W83" s="1218" t="s">
        <v>11</v>
      </c>
      <c r="X83" s="1219"/>
      <c r="Y83" s="57">
        <f>Y5+Y6-Z78+Y7</f>
        <v>90</v>
      </c>
      <c r="Z83" s="73"/>
      <c r="AG83" s="1218" t="s">
        <v>11</v>
      </c>
      <c r="AH83" s="1219"/>
      <c r="AI83" s="57">
        <f>AI5+AI6-AJ78+AI7</f>
        <v>-40</v>
      </c>
      <c r="AJ83" s="73"/>
    </row>
  </sheetData>
  <sortState ref="M4:P6">
    <sortCondition ref="N4:N6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C19" workbookViewId="0">
      <selection activeCell="F44" sqref="F44"/>
    </sheetView>
  </sheetViews>
  <sheetFormatPr baseColWidth="10" defaultRowHeight="15" x14ac:dyDescent="0.25"/>
  <cols>
    <col min="1" max="1" width="25.85546875" bestFit="1" customWidth="1"/>
    <col min="2" max="2" width="18.5703125" bestFit="1" customWidth="1"/>
    <col min="12" max="12" width="25.85546875" bestFit="1" customWidth="1"/>
    <col min="13" max="13" width="15.5703125" customWidth="1"/>
  </cols>
  <sheetData>
    <row r="1" spans="1:21" ht="45.75" x14ac:dyDescent="0.65">
      <c r="A1" s="1262" t="s">
        <v>228</v>
      </c>
      <c r="B1" s="1262"/>
      <c r="C1" s="1262"/>
      <c r="D1" s="1262"/>
      <c r="E1" s="1262"/>
      <c r="F1" s="1262"/>
      <c r="G1" s="1262"/>
      <c r="H1" s="99">
        <v>1</v>
      </c>
      <c r="L1" s="1268" t="s">
        <v>240</v>
      </c>
      <c r="M1" s="1268"/>
      <c r="N1" s="1268"/>
      <c r="O1" s="1268"/>
      <c r="P1" s="1268"/>
      <c r="Q1" s="1268"/>
      <c r="R1" s="1268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63" t="s">
        <v>52</v>
      </c>
      <c r="B5" s="1264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2867.5199999999995</v>
      </c>
      <c r="H5" s="58">
        <f>E4+E5+E6-G5</f>
        <v>-1606.4599999999996</v>
      </c>
      <c r="L5" s="1263" t="s">
        <v>52</v>
      </c>
      <c r="M5" s="1264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1347.1</v>
      </c>
      <c r="S5" s="58">
        <f>P4+P5+P6-R5</f>
        <v>1895.9900000000002</v>
      </c>
    </row>
    <row r="6" spans="1:21" ht="16.5" customHeight="1" x14ac:dyDescent="0.25">
      <c r="A6" s="1263"/>
      <c r="B6" s="1265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63"/>
      <c r="M6" s="1265"/>
      <c r="N6" s="290"/>
      <c r="O6" s="430"/>
      <c r="P6" s="338">
        <v>237.21</v>
      </c>
      <c r="Q6" s="315">
        <v>9</v>
      </c>
      <c r="R6" s="243"/>
      <c r="S6" s="240"/>
      <c r="T6" s="240"/>
    </row>
    <row r="7" spans="1:21" ht="15.75" customHeight="1" thickBot="1" x14ac:dyDescent="0.35">
      <c r="A7" s="1263"/>
      <c r="B7" s="1265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63"/>
      <c r="M7" s="1265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66" t="s">
        <v>47</v>
      </c>
      <c r="J8" s="1260" t="s">
        <v>4</v>
      </c>
      <c r="L8" s="240"/>
      <c r="M8" s="602"/>
      <c r="N8" s="290"/>
      <c r="O8" s="430"/>
      <c r="P8" s="312"/>
      <c r="Q8" s="313"/>
      <c r="R8" s="243"/>
      <c r="S8" s="240"/>
      <c r="T8" s="1266" t="s">
        <v>47</v>
      </c>
      <c r="U8" s="1260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67"/>
      <c r="J9" s="1261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67"/>
      <c r="U9" s="1261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>
        <v>12</v>
      </c>
      <c r="O10" s="156">
        <v>314.56</v>
      </c>
      <c r="P10" s="328">
        <v>44707</v>
      </c>
      <c r="Q10" s="264">
        <f>O10</f>
        <v>314.56</v>
      </c>
      <c r="R10" s="265" t="s">
        <v>658</v>
      </c>
      <c r="S10" s="266">
        <v>70</v>
      </c>
      <c r="T10" s="267">
        <f>P4+P5+P6-Q10+P7+P8</f>
        <v>2928.53</v>
      </c>
      <c r="U10" s="268">
        <f>Q4+Q5+Q6+Q7-N10+Q8</f>
        <v>113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>
        <v>40</v>
      </c>
      <c r="O11" s="156">
        <v>1032.54</v>
      </c>
      <c r="P11" s="325">
        <v>44707</v>
      </c>
      <c r="Q11" s="69">
        <f>O11</f>
        <v>1032.54</v>
      </c>
      <c r="R11" s="265" t="s">
        <v>658</v>
      </c>
      <c r="S11" s="266">
        <v>70</v>
      </c>
      <c r="T11" s="267">
        <f>T10-Q11</f>
        <v>1895.9900000000002</v>
      </c>
      <c r="U11" s="268">
        <f>U10-N11</f>
        <v>73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1895.9900000000002</v>
      </c>
      <c r="U12" s="268">
        <f t="shared" ref="U12:U51" si="3">U11-N12</f>
        <v>73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1895.9900000000002</v>
      </c>
      <c r="U13" s="268">
        <f t="shared" si="3"/>
        <v>73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1895.9900000000002</v>
      </c>
      <c r="U14" s="268">
        <f t="shared" si="3"/>
        <v>73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1895.9900000000002</v>
      </c>
      <c r="U15" s="268">
        <f t="shared" si="3"/>
        <v>73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1895.9900000000002</v>
      </c>
      <c r="U16" s="268">
        <f t="shared" si="3"/>
        <v>73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1895.9900000000002</v>
      </c>
      <c r="U17" s="268">
        <f t="shared" si="3"/>
        <v>73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1895.9900000000002</v>
      </c>
      <c r="U18" s="268">
        <f t="shared" si="3"/>
        <v>73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1895.9900000000002</v>
      </c>
      <c r="U19" s="268">
        <f t="shared" si="3"/>
        <v>73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1895.9900000000002</v>
      </c>
      <c r="U20" s="268">
        <f t="shared" si="3"/>
        <v>73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1895.9900000000002</v>
      </c>
      <c r="U21" s="268">
        <f t="shared" si="3"/>
        <v>73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1895.9900000000002</v>
      </c>
      <c r="U22" s="268">
        <f t="shared" si="3"/>
        <v>73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1895.9900000000002</v>
      </c>
      <c r="U23" s="268">
        <f t="shared" si="3"/>
        <v>73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1895.9900000000002</v>
      </c>
      <c r="U24" s="127">
        <f t="shared" si="3"/>
        <v>73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1895.9900000000002</v>
      </c>
      <c r="U25" s="127">
        <f t="shared" si="3"/>
        <v>73</v>
      </c>
    </row>
    <row r="26" spans="1:21" x14ac:dyDescent="0.25">
      <c r="A26" s="2"/>
      <c r="B26" s="83"/>
      <c r="C26" s="15">
        <v>1</v>
      </c>
      <c r="D26" s="1044">
        <v>30.31</v>
      </c>
      <c r="E26" s="1038">
        <v>44684</v>
      </c>
      <c r="F26" s="1032">
        <f t="shared" si="4"/>
        <v>30.31</v>
      </c>
      <c r="G26" s="1033" t="s">
        <v>374</v>
      </c>
      <c r="H26" s="1034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1895.9900000000002</v>
      </c>
      <c r="U26" s="127">
        <f t="shared" si="3"/>
        <v>73</v>
      </c>
    </row>
    <row r="27" spans="1:21" x14ac:dyDescent="0.25">
      <c r="A27" s="2"/>
      <c r="B27" s="83"/>
      <c r="C27" s="15">
        <v>1</v>
      </c>
      <c r="D27" s="1044">
        <v>32.15</v>
      </c>
      <c r="E27" s="1038">
        <v>44684</v>
      </c>
      <c r="F27" s="1032">
        <f t="shared" si="4"/>
        <v>32.15</v>
      </c>
      <c r="G27" s="1033" t="s">
        <v>375</v>
      </c>
      <c r="H27" s="1034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1895.9900000000002</v>
      </c>
      <c r="U27" s="127">
        <f t="shared" si="3"/>
        <v>73</v>
      </c>
    </row>
    <row r="28" spans="1:21" x14ac:dyDescent="0.25">
      <c r="A28" s="2"/>
      <c r="B28" s="83"/>
      <c r="C28" s="15">
        <v>1</v>
      </c>
      <c r="D28" s="1044">
        <v>20.04</v>
      </c>
      <c r="E28" s="1038">
        <v>44684</v>
      </c>
      <c r="F28" s="1032">
        <f t="shared" si="4"/>
        <v>20.04</v>
      </c>
      <c r="G28" s="1033" t="s">
        <v>371</v>
      </c>
      <c r="H28" s="1034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1895.9900000000002</v>
      </c>
      <c r="U28" s="127">
        <f t="shared" si="3"/>
        <v>73</v>
      </c>
    </row>
    <row r="29" spans="1:21" x14ac:dyDescent="0.25">
      <c r="A29" s="2"/>
      <c r="B29" s="83"/>
      <c r="C29" s="15">
        <v>1</v>
      </c>
      <c r="D29" s="1044">
        <v>32.450000000000003</v>
      </c>
      <c r="E29" s="1038">
        <v>44686</v>
      </c>
      <c r="F29" s="1032">
        <f t="shared" si="4"/>
        <v>32.450000000000003</v>
      </c>
      <c r="G29" s="1033" t="s">
        <v>388</v>
      </c>
      <c r="H29" s="1034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1895.9900000000002</v>
      </c>
      <c r="U29" s="127">
        <f t="shared" si="3"/>
        <v>73</v>
      </c>
    </row>
    <row r="30" spans="1:21" x14ac:dyDescent="0.25">
      <c r="A30" s="2"/>
      <c r="B30" s="83"/>
      <c r="C30" s="15">
        <v>1</v>
      </c>
      <c r="D30" s="1044">
        <v>31.69</v>
      </c>
      <c r="E30" s="1038">
        <v>44686</v>
      </c>
      <c r="F30" s="1032">
        <f t="shared" si="4"/>
        <v>31.69</v>
      </c>
      <c r="G30" s="1033" t="s">
        <v>388</v>
      </c>
      <c r="H30" s="1034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1895.9900000000002</v>
      </c>
      <c r="U30" s="127">
        <f t="shared" si="3"/>
        <v>73</v>
      </c>
    </row>
    <row r="31" spans="1:21" x14ac:dyDescent="0.25">
      <c r="A31" s="2"/>
      <c r="B31" s="83"/>
      <c r="C31" s="15">
        <v>3</v>
      </c>
      <c r="D31" s="1044">
        <v>73.59</v>
      </c>
      <c r="E31" s="1038">
        <v>44686</v>
      </c>
      <c r="F31" s="1032">
        <f t="shared" si="4"/>
        <v>73.59</v>
      </c>
      <c r="G31" s="1033" t="s">
        <v>396</v>
      </c>
      <c r="H31" s="1034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1895.9900000000002</v>
      </c>
      <c r="U31" s="127">
        <f t="shared" si="3"/>
        <v>73</v>
      </c>
    </row>
    <row r="32" spans="1:21" x14ac:dyDescent="0.25">
      <c r="A32" s="2"/>
      <c r="B32" s="83"/>
      <c r="C32" s="15">
        <v>4</v>
      </c>
      <c r="D32" s="1044">
        <v>104.93</v>
      </c>
      <c r="E32" s="1038">
        <v>44688</v>
      </c>
      <c r="F32" s="1032">
        <f t="shared" si="4"/>
        <v>104.93</v>
      </c>
      <c r="G32" s="1033" t="s">
        <v>419</v>
      </c>
      <c r="H32" s="1034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1895.9900000000002</v>
      </c>
      <c r="U32" s="127">
        <f t="shared" si="3"/>
        <v>73</v>
      </c>
    </row>
    <row r="33" spans="1:21" x14ac:dyDescent="0.25">
      <c r="A33" s="2"/>
      <c r="B33" s="83"/>
      <c r="C33" s="15">
        <v>1</v>
      </c>
      <c r="D33" s="1044">
        <v>18.04</v>
      </c>
      <c r="E33" s="1038">
        <v>44690</v>
      </c>
      <c r="F33" s="1032">
        <f t="shared" si="4"/>
        <v>18.04</v>
      </c>
      <c r="G33" s="1033" t="s">
        <v>423</v>
      </c>
      <c r="H33" s="1034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1895.9900000000002</v>
      </c>
      <c r="U33" s="127">
        <f t="shared" si="3"/>
        <v>73</v>
      </c>
    </row>
    <row r="34" spans="1:21" x14ac:dyDescent="0.25">
      <c r="A34" s="2"/>
      <c r="B34" s="83"/>
      <c r="C34" s="15">
        <v>1</v>
      </c>
      <c r="D34" s="1044">
        <v>20.78</v>
      </c>
      <c r="E34" s="1038">
        <v>44691</v>
      </c>
      <c r="F34" s="1032">
        <f t="shared" si="4"/>
        <v>20.78</v>
      </c>
      <c r="G34" s="1033" t="s">
        <v>433</v>
      </c>
      <c r="H34" s="1034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1895.9900000000002</v>
      </c>
      <c r="U34" s="127">
        <f t="shared" si="3"/>
        <v>73</v>
      </c>
    </row>
    <row r="35" spans="1:21" x14ac:dyDescent="0.25">
      <c r="A35" s="2"/>
      <c r="B35" s="83"/>
      <c r="C35" s="15">
        <v>4</v>
      </c>
      <c r="D35" s="1044">
        <v>107.22</v>
      </c>
      <c r="E35" s="1038">
        <v>44691</v>
      </c>
      <c r="F35" s="1032">
        <f t="shared" si="4"/>
        <v>107.22</v>
      </c>
      <c r="G35" s="1033" t="s">
        <v>440</v>
      </c>
      <c r="H35" s="1034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1895.9900000000002</v>
      </c>
      <c r="U35" s="127">
        <f t="shared" si="3"/>
        <v>73</v>
      </c>
    </row>
    <row r="36" spans="1:21" x14ac:dyDescent="0.25">
      <c r="A36" s="2"/>
      <c r="B36" s="83"/>
      <c r="C36" s="15">
        <v>1</v>
      </c>
      <c r="D36" s="1044">
        <v>31.93</v>
      </c>
      <c r="E36" s="1038">
        <v>44692</v>
      </c>
      <c r="F36" s="1032">
        <f t="shared" si="4"/>
        <v>31.93</v>
      </c>
      <c r="G36" s="1033" t="s">
        <v>449</v>
      </c>
      <c r="H36" s="1034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1895.9900000000002</v>
      </c>
      <c r="U36" s="127">
        <f t="shared" si="3"/>
        <v>73</v>
      </c>
    </row>
    <row r="37" spans="1:21" x14ac:dyDescent="0.25">
      <c r="A37" s="2"/>
      <c r="B37" s="83"/>
      <c r="C37" s="15">
        <v>5</v>
      </c>
      <c r="D37" s="1044">
        <v>109.86</v>
      </c>
      <c r="E37" s="1038">
        <v>44693</v>
      </c>
      <c r="F37" s="1032">
        <f t="shared" si="4"/>
        <v>109.86</v>
      </c>
      <c r="G37" s="1033" t="s">
        <v>467</v>
      </c>
      <c r="H37" s="1034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1895.9900000000002</v>
      </c>
      <c r="U37" s="127">
        <f t="shared" si="3"/>
        <v>73</v>
      </c>
    </row>
    <row r="38" spans="1:21" x14ac:dyDescent="0.25">
      <c r="A38" s="2"/>
      <c r="B38" s="83"/>
      <c r="C38" s="15">
        <v>4</v>
      </c>
      <c r="D38" s="1044">
        <v>90.86</v>
      </c>
      <c r="E38" s="1038">
        <v>44693</v>
      </c>
      <c r="F38" s="1032">
        <f t="shared" si="4"/>
        <v>90.86</v>
      </c>
      <c r="G38" s="1033" t="s">
        <v>468</v>
      </c>
      <c r="H38" s="1034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1895.9900000000002</v>
      </c>
      <c r="U38" s="127">
        <f t="shared" si="3"/>
        <v>73</v>
      </c>
    </row>
    <row r="39" spans="1:21" x14ac:dyDescent="0.25">
      <c r="A39" s="2"/>
      <c r="B39" s="83"/>
      <c r="C39" s="15">
        <v>3</v>
      </c>
      <c r="D39" s="1044">
        <v>57.42</v>
      </c>
      <c r="E39" s="1038">
        <v>44695</v>
      </c>
      <c r="F39" s="1032">
        <f t="shared" si="4"/>
        <v>57.42</v>
      </c>
      <c r="G39" s="1033" t="s">
        <v>496</v>
      </c>
      <c r="H39" s="1034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1895.9900000000002</v>
      </c>
      <c r="U39" s="127">
        <f t="shared" si="3"/>
        <v>73</v>
      </c>
    </row>
    <row r="40" spans="1:21" x14ac:dyDescent="0.25">
      <c r="A40" s="2"/>
      <c r="B40" s="83"/>
      <c r="C40" s="15">
        <v>2</v>
      </c>
      <c r="D40" s="1044">
        <v>46.95</v>
      </c>
      <c r="E40" s="1038">
        <v>44695</v>
      </c>
      <c r="F40" s="1032">
        <f t="shared" si="4"/>
        <v>46.95</v>
      </c>
      <c r="G40" s="1033" t="s">
        <v>491</v>
      </c>
      <c r="H40" s="1034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1895.9900000000002</v>
      </c>
      <c r="U40" s="127">
        <f t="shared" si="3"/>
        <v>73</v>
      </c>
    </row>
    <row r="41" spans="1:21" x14ac:dyDescent="0.25">
      <c r="A41" s="2"/>
      <c r="B41" s="83"/>
      <c r="C41" s="15">
        <v>2</v>
      </c>
      <c r="D41" s="1044">
        <v>44.97</v>
      </c>
      <c r="E41" s="1038">
        <v>44697</v>
      </c>
      <c r="F41" s="1032">
        <f t="shared" si="4"/>
        <v>44.97</v>
      </c>
      <c r="G41" s="1033" t="s">
        <v>509</v>
      </c>
      <c r="H41" s="1034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1895.9900000000002</v>
      </c>
      <c r="U41" s="127">
        <f t="shared" si="3"/>
        <v>73</v>
      </c>
    </row>
    <row r="42" spans="1:21" x14ac:dyDescent="0.25">
      <c r="A42" s="2"/>
      <c r="B42" s="83"/>
      <c r="C42" s="15">
        <v>4</v>
      </c>
      <c r="D42" s="1044">
        <v>104.93</v>
      </c>
      <c r="E42" s="1038">
        <v>44697</v>
      </c>
      <c r="F42" s="1032">
        <f t="shared" si="4"/>
        <v>104.93</v>
      </c>
      <c r="G42" s="1033" t="s">
        <v>510</v>
      </c>
      <c r="H42" s="1034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1895.9900000000002</v>
      </c>
      <c r="U42" s="127">
        <f t="shared" si="3"/>
        <v>73</v>
      </c>
    </row>
    <row r="43" spans="1:21" x14ac:dyDescent="0.25">
      <c r="A43" s="2"/>
      <c r="B43" s="83"/>
      <c r="C43" s="15">
        <v>2</v>
      </c>
      <c r="D43" s="1044">
        <v>65.84</v>
      </c>
      <c r="E43" s="1038">
        <v>44697</v>
      </c>
      <c r="F43" s="1032">
        <f t="shared" si="4"/>
        <v>65.84</v>
      </c>
      <c r="G43" s="1033" t="s">
        <v>493</v>
      </c>
      <c r="H43" s="1034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1895.9900000000002</v>
      </c>
      <c r="U43" s="127">
        <f t="shared" si="3"/>
        <v>73</v>
      </c>
    </row>
    <row r="44" spans="1:21" x14ac:dyDescent="0.25">
      <c r="A44" s="2"/>
      <c r="B44" s="83"/>
      <c r="C44" s="15">
        <v>2</v>
      </c>
      <c r="D44" s="1044">
        <v>59.24</v>
      </c>
      <c r="E44" s="1038">
        <v>44699</v>
      </c>
      <c r="F44" s="1032">
        <f t="shared" si="4"/>
        <v>59.24</v>
      </c>
      <c r="G44" s="1033" t="s">
        <v>481</v>
      </c>
      <c r="H44" s="1034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1895.9900000000002</v>
      </c>
      <c r="U44" s="127">
        <f t="shared" si="3"/>
        <v>73</v>
      </c>
    </row>
    <row r="45" spans="1:21" x14ac:dyDescent="0.25">
      <c r="A45" s="2"/>
      <c r="B45" s="83"/>
      <c r="C45" s="15">
        <v>4</v>
      </c>
      <c r="D45" s="1044">
        <v>115.37</v>
      </c>
      <c r="E45" s="1038">
        <v>44699</v>
      </c>
      <c r="F45" s="1032">
        <f t="shared" si="4"/>
        <v>115.37</v>
      </c>
      <c r="G45" s="1033" t="s">
        <v>533</v>
      </c>
      <c r="H45" s="1034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1895.9900000000002</v>
      </c>
      <c r="U45" s="127">
        <f t="shared" si="3"/>
        <v>73</v>
      </c>
    </row>
    <row r="46" spans="1:21" x14ac:dyDescent="0.25">
      <c r="A46" s="2"/>
      <c r="B46" s="83"/>
      <c r="C46" s="15">
        <v>4</v>
      </c>
      <c r="D46" s="1044">
        <v>111.17</v>
      </c>
      <c r="E46" s="1038">
        <v>44701</v>
      </c>
      <c r="F46" s="1032">
        <f t="shared" si="4"/>
        <v>111.17</v>
      </c>
      <c r="G46" s="1033" t="s">
        <v>542</v>
      </c>
      <c r="H46" s="1034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1895.9900000000002</v>
      </c>
      <c r="U46" s="127">
        <f t="shared" si="3"/>
        <v>73</v>
      </c>
    </row>
    <row r="47" spans="1:21" x14ac:dyDescent="0.25">
      <c r="A47" s="2"/>
      <c r="B47" s="83"/>
      <c r="C47" s="15">
        <v>2</v>
      </c>
      <c r="D47" s="1044">
        <v>61.47</v>
      </c>
      <c r="E47" s="1038">
        <v>44704</v>
      </c>
      <c r="F47" s="1032">
        <f t="shared" si="4"/>
        <v>61.47</v>
      </c>
      <c r="G47" s="1033" t="s">
        <v>629</v>
      </c>
      <c r="H47" s="1034">
        <v>70</v>
      </c>
      <c r="I47" s="222">
        <f t="shared" si="6"/>
        <v>416.20999999999992</v>
      </c>
      <c r="J47" s="127">
        <f t="shared" si="7"/>
        <v>15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1895.9900000000002</v>
      </c>
      <c r="U47" s="127">
        <f t="shared" si="3"/>
        <v>73</v>
      </c>
    </row>
    <row r="48" spans="1:21" x14ac:dyDescent="0.25">
      <c r="A48" s="2"/>
      <c r="B48" s="83"/>
      <c r="C48" s="15">
        <v>2</v>
      </c>
      <c r="D48" s="1044">
        <v>55.87</v>
      </c>
      <c r="E48" s="1038">
        <v>44706</v>
      </c>
      <c r="F48" s="1032">
        <f t="shared" si="4"/>
        <v>55.87</v>
      </c>
      <c r="G48" s="1033" t="s">
        <v>639</v>
      </c>
      <c r="H48" s="1034">
        <v>70</v>
      </c>
      <c r="I48" s="222">
        <f t="shared" si="6"/>
        <v>360.33999999999992</v>
      </c>
      <c r="J48" s="127">
        <f t="shared" si="7"/>
        <v>13</v>
      </c>
      <c r="L48" s="2"/>
      <c r="M48" s="83"/>
      <c r="N48" s="15"/>
      <c r="O48" s="156"/>
      <c r="P48" s="325"/>
      <c r="Q48" s="69">
        <f t="shared" si="5"/>
        <v>0</v>
      </c>
      <c r="R48" s="1033"/>
      <c r="S48" s="1034"/>
      <c r="T48" s="222">
        <f t="shared" si="2"/>
        <v>1895.9900000000002</v>
      </c>
      <c r="U48" s="127">
        <f t="shared" si="3"/>
        <v>73</v>
      </c>
    </row>
    <row r="49" spans="1:21" x14ac:dyDescent="0.25">
      <c r="A49" s="2"/>
      <c r="B49" s="83"/>
      <c r="C49" s="15">
        <v>4</v>
      </c>
      <c r="D49" s="1044">
        <v>123.13</v>
      </c>
      <c r="E49" s="1038">
        <v>44707</v>
      </c>
      <c r="F49" s="1032">
        <f t="shared" si="4"/>
        <v>123.13</v>
      </c>
      <c r="G49" s="1033" t="s">
        <v>647</v>
      </c>
      <c r="H49" s="1034">
        <v>70</v>
      </c>
      <c r="I49" s="222">
        <f t="shared" si="6"/>
        <v>237.20999999999992</v>
      </c>
      <c r="J49" s="127">
        <f t="shared" si="7"/>
        <v>9</v>
      </c>
      <c r="L49" s="2"/>
      <c r="M49" s="83"/>
      <c r="N49" s="15"/>
      <c r="O49" s="156"/>
      <c r="P49" s="325"/>
      <c r="Q49" s="69">
        <f t="shared" si="5"/>
        <v>0</v>
      </c>
      <c r="R49" s="1033"/>
      <c r="S49" s="1034"/>
      <c r="T49" s="222">
        <f t="shared" si="2"/>
        <v>1895.9900000000002</v>
      </c>
      <c r="U49" s="127">
        <f t="shared" si="3"/>
        <v>73</v>
      </c>
    </row>
    <row r="50" spans="1:21" x14ac:dyDescent="0.25">
      <c r="A50" s="2"/>
      <c r="B50" s="83"/>
      <c r="C50" s="15"/>
      <c r="D50" s="1044"/>
      <c r="E50" s="1038"/>
      <c r="F50" s="1032">
        <f t="shared" si="4"/>
        <v>0</v>
      </c>
      <c r="G50" s="1061"/>
      <c r="H50" s="1062"/>
      <c r="I50" s="1095">
        <f t="shared" si="6"/>
        <v>237.20999999999992</v>
      </c>
      <c r="J50" s="1096">
        <f t="shared" si="7"/>
        <v>9</v>
      </c>
      <c r="L50" s="2"/>
      <c r="M50" s="83"/>
      <c r="N50" s="15"/>
      <c r="O50" s="156"/>
      <c r="P50" s="325"/>
      <c r="Q50" s="69">
        <f t="shared" si="5"/>
        <v>0</v>
      </c>
      <c r="R50" s="1033"/>
      <c r="S50" s="1034"/>
      <c r="T50" s="222">
        <f t="shared" si="2"/>
        <v>1895.9900000000002</v>
      </c>
      <c r="U50" s="127">
        <f t="shared" si="3"/>
        <v>73</v>
      </c>
    </row>
    <row r="51" spans="1:21" ht="12.75" customHeight="1" x14ac:dyDescent="0.25">
      <c r="A51" s="2"/>
      <c r="B51" s="83"/>
      <c r="C51" s="15">
        <v>9</v>
      </c>
      <c r="D51" s="1044">
        <v>0</v>
      </c>
      <c r="E51" s="1038"/>
      <c r="F51" s="1032">
        <v>237.21</v>
      </c>
      <c r="G51" s="1061"/>
      <c r="H51" s="1062"/>
      <c r="I51" s="1095">
        <f t="shared" si="6"/>
        <v>0</v>
      </c>
      <c r="J51" s="1096">
        <f t="shared" si="7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3"/>
      <c r="S51" s="1034"/>
      <c r="T51" s="222">
        <f t="shared" si="2"/>
        <v>1895.9900000000002</v>
      </c>
      <c r="U51" s="127">
        <f t="shared" si="3"/>
        <v>73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098"/>
      <c r="H52" s="1078"/>
      <c r="I52" s="1093"/>
      <c r="J52" s="1093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116</v>
      </c>
      <c r="D53" s="156">
        <v>0</v>
      </c>
      <c r="E53" s="38"/>
      <c r="F53" s="5">
        <f>SUM(F10:F52)</f>
        <v>2867.5199999999995</v>
      </c>
      <c r="N53" s="90">
        <f>SUM(N10:N52)</f>
        <v>52</v>
      </c>
      <c r="O53" s="156">
        <v>0</v>
      </c>
      <c r="P53" s="38"/>
      <c r="Q53" s="5">
        <f>SUM(Q10:Q52)</f>
        <v>1347.1</v>
      </c>
    </row>
    <row r="54" spans="1:21" ht="15.75" thickBot="1" x14ac:dyDescent="0.3">
      <c r="A54" s="51"/>
      <c r="D54" s="156">
        <v>0</v>
      </c>
      <c r="E54" s="68">
        <f>F4+F5+F6-+C53+F7+F8</f>
        <v>0</v>
      </c>
      <c r="F54" s="5"/>
      <c r="L54" s="51"/>
      <c r="O54" s="156">
        <v>0</v>
      </c>
      <c r="P54" s="68">
        <f>Q4+Q5+Q6-+N53+Q7</f>
        <v>73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48" t="s">
        <v>11</v>
      </c>
      <c r="D56" s="1249"/>
      <c r="E56" s="146">
        <f>E5+E4+E6+-F53+E7+E8</f>
        <v>0</v>
      </c>
      <c r="F56" s="5"/>
      <c r="L56" s="47"/>
      <c r="N56" s="1248" t="s">
        <v>11</v>
      </c>
      <c r="O56" s="1249"/>
      <c r="P56" s="146">
        <f>P5+P4+P6+-Q53+P7</f>
        <v>1895.9900000000002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K1" workbookViewId="0">
      <selection activeCell="S24" sqref="S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62" t="s">
        <v>229</v>
      </c>
      <c r="B1" s="1262"/>
      <c r="C1" s="1262"/>
      <c r="D1" s="1262"/>
      <c r="E1" s="1262"/>
      <c r="F1" s="1262"/>
      <c r="G1" s="1262"/>
      <c r="H1" s="99">
        <v>1</v>
      </c>
      <c r="L1" s="1268" t="s">
        <v>240</v>
      </c>
      <c r="M1" s="1268"/>
      <c r="N1" s="1268"/>
      <c r="O1" s="1268"/>
      <c r="P1" s="1268"/>
      <c r="Q1" s="1268"/>
      <c r="R1" s="1268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69" t="s">
        <v>97</v>
      </c>
      <c r="B5" s="1270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69" t="s">
        <v>559</v>
      </c>
      <c r="M5" s="1272" t="s">
        <v>685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69"/>
      <c r="B6" s="1271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69"/>
      <c r="M6" s="1273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69"/>
      <c r="B7" s="1271"/>
      <c r="C7" s="290"/>
      <c r="D7" s="430"/>
      <c r="E7" s="338"/>
      <c r="F7" s="315"/>
      <c r="G7" s="243"/>
      <c r="H7" s="240"/>
      <c r="I7" s="652"/>
      <c r="J7" s="512"/>
      <c r="L7" s="1269"/>
      <c r="M7" s="1273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66" t="s">
        <v>47</v>
      </c>
      <c r="J8" s="1260" t="s">
        <v>4</v>
      </c>
      <c r="L8" s="240"/>
      <c r="M8" s="602"/>
      <c r="N8" s="290"/>
      <c r="O8" s="311"/>
      <c r="P8" s="428"/>
      <c r="Q8" s="429"/>
      <c r="R8" s="243"/>
      <c r="S8" s="240"/>
      <c r="T8" s="1266" t="s">
        <v>47</v>
      </c>
      <c r="U8" s="126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67"/>
      <c r="J9" s="126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67"/>
      <c r="U9" s="1261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>
        <v>1</v>
      </c>
      <c r="O10" s="156">
        <v>10.3</v>
      </c>
      <c r="P10" s="324">
        <v>44704</v>
      </c>
      <c r="Q10" s="69">
        <f t="shared" ref="Q10:Q39" si="1">O10</f>
        <v>10.3</v>
      </c>
      <c r="R10" s="265" t="s">
        <v>628</v>
      </c>
      <c r="S10" s="266">
        <v>110</v>
      </c>
      <c r="T10" s="267">
        <f>P4+P5+P6-Q10+P7+P8</f>
        <v>145.71999999999997</v>
      </c>
      <c r="U10" s="268">
        <f>Q4+Q5+Q6+Q7-N10+Q8</f>
        <v>14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>
        <v>2</v>
      </c>
      <c r="O11" s="156">
        <v>20.59</v>
      </c>
      <c r="P11" s="739">
        <v>44705</v>
      </c>
      <c r="Q11" s="264">
        <f t="shared" si="1"/>
        <v>20.59</v>
      </c>
      <c r="R11" s="265" t="s">
        <v>632</v>
      </c>
      <c r="S11" s="266">
        <v>110</v>
      </c>
      <c r="T11" s="267">
        <f>T10-Q11</f>
        <v>125.12999999999997</v>
      </c>
      <c r="U11" s="268">
        <f>U10-N11</f>
        <v>12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3">I11-F12</f>
        <v>700</v>
      </c>
      <c r="J12" s="268">
        <f t="shared" ref="J12:J34" si="4">J11-C12</f>
        <v>70</v>
      </c>
      <c r="L12" s="80" t="s">
        <v>32</v>
      </c>
      <c r="M12" s="83"/>
      <c r="N12" s="15">
        <v>2</v>
      </c>
      <c r="O12" s="156">
        <v>20.190000000000001</v>
      </c>
      <c r="P12" s="328">
        <v>44705</v>
      </c>
      <c r="Q12" s="264">
        <f t="shared" si="1"/>
        <v>20.190000000000001</v>
      </c>
      <c r="R12" s="265" t="s">
        <v>634</v>
      </c>
      <c r="S12" s="266">
        <v>110</v>
      </c>
      <c r="T12" s="267">
        <f t="shared" ref="T12:T37" si="5">T11-Q12</f>
        <v>104.93999999999997</v>
      </c>
      <c r="U12" s="268">
        <f t="shared" ref="U12:U37" si="6">U11-N12</f>
        <v>10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3"/>
        <v>680</v>
      </c>
      <c r="J13" s="268">
        <f t="shared" si="4"/>
        <v>68</v>
      </c>
      <c r="L13" s="81"/>
      <c r="M13" s="83"/>
      <c r="N13" s="15"/>
      <c r="O13" s="156">
        <f t="shared" ref="O13:O36" si="7">N13*M13</f>
        <v>0</v>
      </c>
      <c r="P13" s="495"/>
      <c r="Q13" s="264">
        <f t="shared" si="1"/>
        <v>0</v>
      </c>
      <c r="R13" s="265"/>
      <c r="S13" s="266"/>
      <c r="T13" s="267">
        <f t="shared" si="5"/>
        <v>104.93999999999997</v>
      </c>
      <c r="U13" s="268">
        <f t="shared" si="6"/>
        <v>10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3"/>
        <v>620</v>
      </c>
      <c r="J14" s="268">
        <f t="shared" si="4"/>
        <v>62</v>
      </c>
      <c r="L14" s="83"/>
      <c r="M14" s="83"/>
      <c r="N14" s="15"/>
      <c r="O14" s="156">
        <f t="shared" si="7"/>
        <v>0</v>
      </c>
      <c r="P14" s="495"/>
      <c r="Q14" s="264">
        <f t="shared" si="1"/>
        <v>0</v>
      </c>
      <c r="R14" s="265"/>
      <c r="S14" s="266"/>
      <c r="T14" s="267">
        <f t="shared" si="5"/>
        <v>104.93999999999997</v>
      </c>
      <c r="U14" s="268">
        <f t="shared" si="6"/>
        <v>10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3"/>
        <v>610</v>
      </c>
      <c r="J15" s="268">
        <f t="shared" si="4"/>
        <v>61</v>
      </c>
      <c r="L15" s="82" t="s">
        <v>33</v>
      </c>
      <c r="M15" s="83"/>
      <c r="N15" s="15"/>
      <c r="O15" s="156">
        <f t="shared" si="7"/>
        <v>0</v>
      </c>
      <c r="P15" s="495"/>
      <c r="Q15" s="264">
        <f t="shared" si="1"/>
        <v>0</v>
      </c>
      <c r="R15" s="265"/>
      <c r="S15" s="266"/>
      <c r="T15" s="267">
        <f t="shared" si="5"/>
        <v>104.93999999999997</v>
      </c>
      <c r="U15" s="268">
        <f t="shared" si="6"/>
        <v>10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3"/>
        <v>600</v>
      </c>
      <c r="J16" s="268">
        <f t="shared" si="4"/>
        <v>60</v>
      </c>
      <c r="L16" s="81"/>
      <c r="M16" s="83"/>
      <c r="N16" s="15"/>
      <c r="O16" s="156">
        <f t="shared" si="7"/>
        <v>0</v>
      </c>
      <c r="P16" s="324"/>
      <c r="Q16" s="69">
        <f t="shared" si="1"/>
        <v>0</v>
      </c>
      <c r="R16" s="265"/>
      <c r="S16" s="266"/>
      <c r="T16" s="267">
        <f t="shared" si="5"/>
        <v>104.93999999999997</v>
      </c>
      <c r="U16" s="268">
        <f t="shared" si="6"/>
        <v>10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3"/>
        <v>520</v>
      </c>
      <c r="J17" s="268">
        <f t="shared" si="4"/>
        <v>52</v>
      </c>
      <c r="L17" s="83"/>
      <c r="M17" s="83"/>
      <c r="N17" s="15"/>
      <c r="O17" s="156">
        <f t="shared" si="7"/>
        <v>0</v>
      </c>
      <c r="P17" s="336"/>
      <c r="Q17" s="69">
        <f t="shared" si="1"/>
        <v>0</v>
      </c>
      <c r="R17" s="265"/>
      <c r="S17" s="266"/>
      <c r="T17" s="267">
        <f t="shared" si="5"/>
        <v>104.93999999999997</v>
      </c>
      <c r="U17" s="268">
        <f t="shared" si="6"/>
        <v>10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3"/>
        <v>510</v>
      </c>
      <c r="J18" s="268">
        <f t="shared" si="4"/>
        <v>51</v>
      </c>
      <c r="L18" s="2"/>
      <c r="M18" s="83"/>
      <c r="N18" s="15"/>
      <c r="O18" s="156">
        <f t="shared" si="7"/>
        <v>0</v>
      </c>
      <c r="P18" s="336"/>
      <c r="Q18" s="69">
        <f t="shared" si="1"/>
        <v>0</v>
      </c>
      <c r="R18" s="595"/>
      <c r="S18" s="266"/>
      <c r="T18" s="267">
        <f t="shared" si="5"/>
        <v>104.93999999999997</v>
      </c>
      <c r="U18" s="268">
        <f t="shared" si="6"/>
        <v>10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3"/>
        <v>490</v>
      </c>
      <c r="J19" s="268">
        <f t="shared" si="4"/>
        <v>49</v>
      </c>
      <c r="L19" s="2"/>
      <c r="M19" s="83"/>
      <c r="N19" s="53"/>
      <c r="O19" s="156">
        <f t="shared" si="7"/>
        <v>0</v>
      </c>
      <c r="P19" s="336"/>
      <c r="Q19" s="69">
        <f t="shared" si="1"/>
        <v>0</v>
      </c>
      <c r="R19" s="265"/>
      <c r="S19" s="266"/>
      <c r="T19" s="267">
        <f t="shared" si="5"/>
        <v>104.93999999999997</v>
      </c>
      <c r="U19" s="268">
        <f t="shared" si="6"/>
        <v>10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3"/>
        <v>480</v>
      </c>
      <c r="J20" s="268">
        <f t="shared" si="4"/>
        <v>48</v>
      </c>
      <c r="L20" s="2"/>
      <c r="M20" s="83"/>
      <c r="N20" s="15"/>
      <c r="O20" s="156">
        <f t="shared" si="7"/>
        <v>0</v>
      </c>
      <c r="P20" s="324"/>
      <c r="Q20" s="69">
        <f t="shared" si="1"/>
        <v>0</v>
      </c>
      <c r="R20" s="265"/>
      <c r="S20" s="266"/>
      <c r="T20" s="267">
        <f t="shared" si="5"/>
        <v>104.93999999999997</v>
      </c>
      <c r="U20" s="268">
        <f t="shared" si="6"/>
        <v>10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3"/>
        <v>460</v>
      </c>
      <c r="J21" s="268">
        <f t="shared" si="4"/>
        <v>46</v>
      </c>
      <c r="L21" s="2"/>
      <c r="M21" s="83"/>
      <c r="N21" s="15"/>
      <c r="O21" s="156">
        <f t="shared" si="7"/>
        <v>0</v>
      </c>
      <c r="P21" s="324"/>
      <c r="Q21" s="69">
        <f t="shared" si="1"/>
        <v>0</v>
      </c>
      <c r="R21" s="265"/>
      <c r="S21" s="266"/>
      <c r="T21" s="267">
        <f t="shared" si="5"/>
        <v>104.93999999999997</v>
      </c>
      <c r="U21" s="268">
        <f t="shared" si="6"/>
        <v>10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3"/>
        <v>440</v>
      </c>
      <c r="J22" s="268">
        <f t="shared" si="4"/>
        <v>44</v>
      </c>
      <c r="L22" s="2"/>
      <c r="M22" s="83"/>
      <c r="N22" s="15"/>
      <c r="O22" s="156">
        <f t="shared" si="7"/>
        <v>0</v>
      </c>
      <c r="P22" s="325"/>
      <c r="Q22" s="69">
        <f t="shared" si="1"/>
        <v>0</v>
      </c>
      <c r="R22" s="70"/>
      <c r="S22" s="71"/>
      <c r="T22" s="267">
        <f t="shared" si="5"/>
        <v>104.93999999999997</v>
      </c>
      <c r="U22" s="268">
        <f t="shared" si="6"/>
        <v>10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3"/>
        <v>340</v>
      </c>
      <c r="J23" s="268">
        <f t="shared" si="4"/>
        <v>34</v>
      </c>
      <c r="L23" s="2"/>
      <c r="M23" s="83"/>
      <c r="N23" s="15"/>
      <c r="O23" s="156">
        <f t="shared" si="7"/>
        <v>0</v>
      </c>
      <c r="P23" s="325"/>
      <c r="Q23" s="69">
        <f t="shared" si="1"/>
        <v>0</v>
      </c>
      <c r="R23" s="70"/>
      <c r="S23" s="71"/>
      <c r="T23" s="267">
        <f t="shared" si="5"/>
        <v>104.93999999999997</v>
      </c>
      <c r="U23" s="268">
        <f t="shared" si="6"/>
        <v>10</v>
      </c>
    </row>
    <row r="24" spans="1:21" x14ac:dyDescent="0.25">
      <c r="A24" s="2"/>
      <c r="B24" s="83">
        <v>10</v>
      </c>
      <c r="C24" s="15">
        <v>2</v>
      </c>
      <c r="D24" s="1044">
        <f t="shared" si="2"/>
        <v>20</v>
      </c>
      <c r="E24" s="1038">
        <v>44683</v>
      </c>
      <c r="F24" s="1032">
        <f t="shared" si="0"/>
        <v>20</v>
      </c>
      <c r="G24" s="1033" t="s">
        <v>358</v>
      </c>
      <c r="H24" s="1034">
        <v>87</v>
      </c>
      <c r="I24" s="267">
        <f t="shared" si="3"/>
        <v>320</v>
      </c>
      <c r="J24" s="127">
        <f t="shared" si="4"/>
        <v>32</v>
      </c>
      <c r="L24" s="2"/>
      <c r="M24" s="83"/>
      <c r="N24" s="15"/>
      <c r="O24" s="156">
        <f t="shared" si="7"/>
        <v>0</v>
      </c>
      <c r="P24" s="1038"/>
      <c r="Q24" s="69">
        <f t="shared" si="1"/>
        <v>0</v>
      </c>
      <c r="R24" s="70"/>
      <c r="S24" s="71"/>
      <c r="T24" s="267">
        <f t="shared" si="5"/>
        <v>104.93999999999997</v>
      </c>
      <c r="U24" s="127">
        <f t="shared" si="6"/>
        <v>10</v>
      </c>
    </row>
    <row r="25" spans="1:21" x14ac:dyDescent="0.25">
      <c r="A25" s="2"/>
      <c r="B25" s="83">
        <v>10</v>
      </c>
      <c r="C25" s="15">
        <v>1</v>
      </c>
      <c r="D25" s="1044">
        <f t="shared" si="2"/>
        <v>10</v>
      </c>
      <c r="E25" s="1038">
        <v>44684</v>
      </c>
      <c r="F25" s="1032">
        <f t="shared" si="0"/>
        <v>10</v>
      </c>
      <c r="G25" s="1033" t="s">
        <v>360</v>
      </c>
      <c r="H25" s="1034">
        <v>87</v>
      </c>
      <c r="I25" s="267">
        <f t="shared" si="3"/>
        <v>310</v>
      </c>
      <c r="J25" s="127">
        <f t="shared" si="4"/>
        <v>31</v>
      </c>
      <c r="L25" s="2"/>
      <c r="M25" s="83"/>
      <c r="N25" s="15"/>
      <c r="O25" s="156">
        <f t="shared" si="7"/>
        <v>0</v>
      </c>
      <c r="P25" s="1038"/>
      <c r="Q25" s="69">
        <f t="shared" si="1"/>
        <v>0</v>
      </c>
      <c r="R25" s="70"/>
      <c r="S25" s="71"/>
      <c r="T25" s="267">
        <f t="shared" si="5"/>
        <v>104.93999999999997</v>
      </c>
      <c r="U25" s="127">
        <f t="shared" si="6"/>
        <v>10</v>
      </c>
    </row>
    <row r="26" spans="1:21" x14ac:dyDescent="0.25">
      <c r="A26" s="2"/>
      <c r="B26" s="83">
        <v>10</v>
      </c>
      <c r="C26" s="15">
        <v>1</v>
      </c>
      <c r="D26" s="1044">
        <f t="shared" si="2"/>
        <v>10</v>
      </c>
      <c r="E26" s="1038">
        <v>44684</v>
      </c>
      <c r="F26" s="1032">
        <f t="shared" si="0"/>
        <v>10</v>
      </c>
      <c r="G26" s="1033" t="s">
        <v>361</v>
      </c>
      <c r="H26" s="1034">
        <v>87</v>
      </c>
      <c r="I26" s="222">
        <f t="shared" si="3"/>
        <v>300</v>
      </c>
      <c r="J26" s="127">
        <f t="shared" si="4"/>
        <v>30</v>
      </c>
      <c r="L26" s="2"/>
      <c r="M26" s="83"/>
      <c r="N26" s="15"/>
      <c r="O26" s="156">
        <f t="shared" si="7"/>
        <v>0</v>
      </c>
      <c r="P26" s="1038"/>
      <c r="Q26" s="69">
        <f t="shared" si="1"/>
        <v>0</v>
      </c>
      <c r="R26" s="70"/>
      <c r="S26" s="71"/>
      <c r="T26" s="222">
        <f t="shared" si="5"/>
        <v>104.93999999999997</v>
      </c>
      <c r="U26" s="127">
        <f t="shared" si="6"/>
        <v>10</v>
      </c>
    </row>
    <row r="27" spans="1:21" x14ac:dyDescent="0.25">
      <c r="A27" s="2"/>
      <c r="B27" s="83">
        <v>10</v>
      </c>
      <c r="C27" s="15">
        <v>2</v>
      </c>
      <c r="D27" s="1044">
        <f t="shared" si="2"/>
        <v>20</v>
      </c>
      <c r="E27" s="1038">
        <v>44685</v>
      </c>
      <c r="F27" s="1032">
        <f t="shared" si="0"/>
        <v>20</v>
      </c>
      <c r="G27" s="1033" t="s">
        <v>378</v>
      </c>
      <c r="H27" s="1034">
        <v>87</v>
      </c>
      <c r="I27" s="222">
        <f t="shared" si="3"/>
        <v>280</v>
      </c>
      <c r="J27" s="127">
        <f t="shared" si="4"/>
        <v>28</v>
      </c>
      <c r="L27" s="2"/>
      <c r="M27" s="83"/>
      <c r="N27" s="15"/>
      <c r="O27" s="156">
        <f t="shared" si="7"/>
        <v>0</v>
      </c>
      <c r="P27" s="1038"/>
      <c r="Q27" s="69">
        <f t="shared" si="1"/>
        <v>0</v>
      </c>
      <c r="R27" s="70"/>
      <c r="S27" s="71"/>
      <c r="T27" s="222">
        <f t="shared" si="5"/>
        <v>104.93999999999997</v>
      </c>
      <c r="U27" s="127">
        <f t="shared" si="6"/>
        <v>10</v>
      </c>
    </row>
    <row r="28" spans="1:21" x14ac:dyDescent="0.25">
      <c r="A28" s="2"/>
      <c r="B28" s="83">
        <v>10</v>
      </c>
      <c r="C28" s="15">
        <v>1</v>
      </c>
      <c r="D28" s="1044">
        <f t="shared" si="2"/>
        <v>10</v>
      </c>
      <c r="E28" s="1038">
        <v>44685</v>
      </c>
      <c r="F28" s="1032">
        <f t="shared" si="0"/>
        <v>10</v>
      </c>
      <c r="G28" s="1033" t="s">
        <v>379</v>
      </c>
      <c r="H28" s="1034">
        <v>87</v>
      </c>
      <c r="I28" s="222">
        <f t="shared" si="3"/>
        <v>270</v>
      </c>
      <c r="J28" s="127">
        <f t="shared" si="4"/>
        <v>27</v>
      </c>
      <c r="L28" s="2"/>
      <c r="M28" s="83"/>
      <c r="N28" s="15"/>
      <c r="O28" s="156">
        <f t="shared" si="7"/>
        <v>0</v>
      </c>
      <c r="P28" s="1038"/>
      <c r="Q28" s="69">
        <f t="shared" si="1"/>
        <v>0</v>
      </c>
      <c r="R28" s="70"/>
      <c r="S28" s="71"/>
      <c r="T28" s="222">
        <f t="shared" si="5"/>
        <v>104.93999999999997</v>
      </c>
      <c r="U28" s="127">
        <f t="shared" si="6"/>
        <v>10</v>
      </c>
    </row>
    <row r="29" spans="1:21" x14ac:dyDescent="0.25">
      <c r="A29" s="2"/>
      <c r="B29" s="83">
        <v>10</v>
      </c>
      <c r="C29" s="15">
        <v>1</v>
      </c>
      <c r="D29" s="1044">
        <v>10</v>
      </c>
      <c r="E29" s="1038">
        <v>44686</v>
      </c>
      <c r="F29" s="1032">
        <f t="shared" si="0"/>
        <v>10</v>
      </c>
      <c r="G29" s="1033" t="s">
        <v>387</v>
      </c>
      <c r="H29" s="1034">
        <v>87</v>
      </c>
      <c r="I29" s="222">
        <f t="shared" si="3"/>
        <v>260</v>
      </c>
      <c r="J29" s="127">
        <f t="shared" si="4"/>
        <v>26</v>
      </c>
      <c r="L29" s="2"/>
      <c r="M29" s="83"/>
      <c r="N29" s="15"/>
      <c r="O29" s="156">
        <f t="shared" si="7"/>
        <v>0</v>
      </c>
      <c r="P29" s="1038"/>
      <c r="Q29" s="69">
        <f t="shared" si="1"/>
        <v>0</v>
      </c>
      <c r="R29" s="70"/>
      <c r="S29" s="71"/>
      <c r="T29" s="222">
        <f t="shared" si="5"/>
        <v>104.93999999999997</v>
      </c>
      <c r="U29" s="127">
        <f t="shared" si="6"/>
        <v>10</v>
      </c>
    </row>
    <row r="30" spans="1:21" x14ac:dyDescent="0.25">
      <c r="A30" s="2"/>
      <c r="B30" s="83">
        <v>10</v>
      </c>
      <c r="C30" s="15">
        <v>10</v>
      </c>
      <c r="D30" s="1044">
        <v>100</v>
      </c>
      <c r="E30" s="1038">
        <v>44687</v>
      </c>
      <c r="F30" s="1032">
        <f t="shared" si="0"/>
        <v>100</v>
      </c>
      <c r="G30" s="1033" t="s">
        <v>401</v>
      </c>
      <c r="H30" s="1034">
        <v>87</v>
      </c>
      <c r="I30" s="222">
        <f t="shared" si="3"/>
        <v>160</v>
      </c>
      <c r="J30" s="127">
        <f t="shared" si="4"/>
        <v>16</v>
      </c>
      <c r="L30" s="2"/>
      <c r="M30" s="83"/>
      <c r="N30" s="15"/>
      <c r="O30" s="156">
        <f t="shared" si="7"/>
        <v>0</v>
      </c>
      <c r="P30" s="1038"/>
      <c r="Q30" s="69">
        <f t="shared" si="1"/>
        <v>0</v>
      </c>
      <c r="R30" s="70"/>
      <c r="S30" s="71"/>
      <c r="T30" s="222">
        <f t="shared" si="5"/>
        <v>104.93999999999997</v>
      </c>
      <c r="U30" s="127">
        <f t="shared" si="6"/>
        <v>10</v>
      </c>
    </row>
    <row r="31" spans="1:21" x14ac:dyDescent="0.25">
      <c r="A31" s="2"/>
      <c r="B31" s="83">
        <v>10</v>
      </c>
      <c r="C31" s="15">
        <v>1</v>
      </c>
      <c r="D31" s="1044">
        <v>10</v>
      </c>
      <c r="E31" s="1038">
        <v>44688</v>
      </c>
      <c r="F31" s="1032">
        <f t="shared" si="0"/>
        <v>10</v>
      </c>
      <c r="G31" s="1033" t="s">
        <v>412</v>
      </c>
      <c r="H31" s="1034">
        <v>87</v>
      </c>
      <c r="I31" s="222">
        <f t="shared" si="3"/>
        <v>150</v>
      </c>
      <c r="J31" s="127">
        <f t="shared" si="4"/>
        <v>15</v>
      </c>
      <c r="L31" s="2"/>
      <c r="M31" s="83"/>
      <c r="N31" s="15"/>
      <c r="O31" s="156">
        <f t="shared" si="7"/>
        <v>0</v>
      </c>
      <c r="P31" s="1038"/>
      <c r="Q31" s="69">
        <f t="shared" si="1"/>
        <v>0</v>
      </c>
      <c r="R31" s="70"/>
      <c r="S31" s="71"/>
      <c r="T31" s="222">
        <f t="shared" si="5"/>
        <v>104.93999999999997</v>
      </c>
      <c r="U31" s="127">
        <f t="shared" si="6"/>
        <v>10</v>
      </c>
    </row>
    <row r="32" spans="1:21" x14ac:dyDescent="0.25">
      <c r="A32" s="2"/>
      <c r="B32" s="83">
        <v>10</v>
      </c>
      <c r="C32" s="15">
        <v>1</v>
      </c>
      <c r="D32" s="1044">
        <v>10</v>
      </c>
      <c r="E32" s="1038">
        <v>44688</v>
      </c>
      <c r="F32" s="1032">
        <f t="shared" si="0"/>
        <v>10</v>
      </c>
      <c r="G32" s="1033" t="s">
        <v>414</v>
      </c>
      <c r="H32" s="1034">
        <v>87</v>
      </c>
      <c r="I32" s="222">
        <f t="shared" si="3"/>
        <v>140</v>
      </c>
      <c r="J32" s="127">
        <f t="shared" si="4"/>
        <v>14</v>
      </c>
      <c r="L32" s="2"/>
      <c r="M32" s="83"/>
      <c r="N32" s="15"/>
      <c r="O32" s="156">
        <f t="shared" si="7"/>
        <v>0</v>
      </c>
      <c r="P32" s="1038"/>
      <c r="Q32" s="69">
        <f t="shared" si="1"/>
        <v>0</v>
      </c>
      <c r="R32" s="265"/>
      <c r="S32" s="266"/>
      <c r="T32" s="267">
        <f t="shared" si="5"/>
        <v>104.93999999999997</v>
      </c>
      <c r="U32" s="268">
        <f t="shared" si="6"/>
        <v>10</v>
      </c>
    </row>
    <row r="33" spans="1:21" x14ac:dyDescent="0.25">
      <c r="A33" s="2"/>
      <c r="B33" s="83">
        <v>10</v>
      </c>
      <c r="C33" s="15">
        <v>1</v>
      </c>
      <c r="D33" s="1044">
        <v>10</v>
      </c>
      <c r="E33" s="1038">
        <v>44692</v>
      </c>
      <c r="F33" s="1032">
        <f t="shared" si="0"/>
        <v>10</v>
      </c>
      <c r="G33" s="1033" t="s">
        <v>446</v>
      </c>
      <c r="H33" s="1034">
        <v>87</v>
      </c>
      <c r="I33" s="222">
        <f t="shared" si="3"/>
        <v>130</v>
      </c>
      <c r="J33" s="127">
        <f t="shared" si="4"/>
        <v>13</v>
      </c>
      <c r="L33" s="2"/>
      <c r="M33" s="83"/>
      <c r="N33" s="15"/>
      <c r="O33" s="156">
        <f t="shared" si="7"/>
        <v>0</v>
      </c>
      <c r="P33" s="1038"/>
      <c r="Q33" s="69">
        <f t="shared" si="1"/>
        <v>0</v>
      </c>
      <c r="R33" s="265"/>
      <c r="S33" s="266"/>
      <c r="T33" s="267">
        <f t="shared" si="5"/>
        <v>104.93999999999997</v>
      </c>
      <c r="U33" s="268">
        <f t="shared" si="6"/>
        <v>10</v>
      </c>
    </row>
    <row r="34" spans="1:21" x14ac:dyDescent="0.25">
      <c r="A34" s="2"/>
      <c r="B34" s="83">
        <v>10</v>
      </c>
      <c r="C34" s="15">
        <v>1</v>
      </c>
      <c r="D34" s="1044">
        <v>10</v>
      </c>
      <c r="E34" s="1038">
        <v>44692</v>
      </c>
      <c r="F34" s="1032">
        <f t="shared" si="0"/>
        <v>10</v>
      </c>
      <c r="G34" s="1033" t="s">
        <v>451</v>
      </c>
      <c r="H34" s="1034">
        <v>87</v>
      </c>
      <c r="I34" s="222">
        <f t="shared" si="3"/>
        <v>120</v>
      </c>
      <c r="J34" s="127">
        <f t="shared" si="4"/>
        <v>12</v>
      </c>
      <c r="L34" s="2"/>
      <c r="M34" s="83"/>
      <c r="N34" s="15"/>
      <c r="O34" s="156">
        <f t="shared" si="7"/>
        <v>0</v>
      </c>
      <c r="P34" s="1038"/>
      <c r="Q34" s="69">
        <f t="shared" si="1"/>
        <v>0</v>
      </c>
      <c r="R34" s="265"/>
      <c r="S34" s="266"/>
      <c r="T34" s="267">
        <f t="shared" si="5"/>
        <v>104.93999999999997</v>
      </c>
      <c r="U34" s="268">
        <f t="shared" si="6"/>
        <v>10</v>
      </c>
    </row>
    <row r="35" spans="1:21" x14ac:dyDescent="0.25">
      <c r="A35" s="2"/>
      <c r="B35" s="83">
        <v>10</v>
      </c>
      <c r="C35" s="15">
        <v>2</v>
      </c>
      <c r="D35" s="1044">
        <v>20</v>
      </c>
      <c r="E35" s="1038">
        <v>44693</v>
      </c>
      <c r="F35" s="1032">
        <f t="shared" si="0"/>
        <v>20</v>
      </c>
      <c r="G35" s="1033" t="s">
        <v>466</v>
      </c>
      <c r="H35" s="1034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7"/>
        <v>0</v>
      </c>
      <c r="P35" s="1038"/>
      <c r="Q35" s="69">
        <f t="shared" si="1"/>
        <v>0</v>
      </c>
      <c r="R35" s="265"/>
      <c r="S35" s="266"/>
      <c r="T35" s="267">
        <f t="shared" si="5"/>
        <v>104.93999999999997</v>
      </c>
      <c r="U35" s="268">
        <f t="shared" si="6"/>
        <v>10</v>
      </c>
    </row>
    <row r="36" spans="1:21" x14ac:dyDescent="0.25">
      <c r="A36" s="2"/>
      <c r="B36" s="83">
        <v>10</v>
      </c>
      <c r="C36" s="15">
        <v>10</v>
      </c>
      <c r="D36" s="1044">
        <v>100</v>
      </c>
      <c r="E36" s="1038">
        <v>44695</v>
      </c>
      <c r="F36" s="1032">
        <f t="shared" si="0"/>
        <v>100</v>
      </c>
      <c r="G36" s="1033" t="s">
        <v>457</v>
      </c>
      <c r="H36" s="1034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7"/>
        <v>0</v>
      </c>
      <c r="P36" s="1038"/>
      <c r="Q36" s="69">
        <f t="shared" si="1"/>
        <v>0</v>
      </c>
      <c r="R36" s="265"/>
      <c r="S36" s="266"/>
      <c r="T36" s="267">
        <f t="shared" si="5"/>
        <v>104.93999999999997</v>
      </c>
      <c r="U36" s="268">
        <f t="shared" si="6"/>
        <v>10</v>
      </c>
    </row>
    <row r="37" spans="1:21" ht="14.25" customHeight="1" x14ac:dyDescent="0.25">
      <c r="A37" s="2"/>
      <c r="B37" s="83">
        <v>10</v>
      </c>
      <c r="C37" s="15"/>
      <c r="D37" s="1044"/>
      <c r="E37" s="1038"/>
      <c r="F37" s="1060">
        <f t="shared" si="0"/>
        <v>0</v>
      </c>
      <c r="G37" s="1061"/>
      <c r="H37" s="1062"/>
      <c r="I37" s="1095">
        <f t="shared" si="8"/>
        <v>0</v>
      </c>
      <c r="J37" s="1096">
        <f t="shared" si="9"/>
        <v>0</v>
      </c>
      <c r="L37" s="2"/>
      <c r="M37" s="83"/>
      <c r="N37" s="15"/>
      <c r="O37" s="1044"/>
      <c r="P37" s="1038"/>
      <c r="Q37" s="69">
        <f t="shared" si="1"/>
        <v>0</v>
      </c>
      <c r="R37" s="265"/>
      <c r="S37" s="266"/>
      <c r="T37" s="267">
        <f t="shared" si="5"/>
        <v>104.93999999999997</v>
      </c>
      <c r="U37" s="268">
        <f t="shared" si="6"/>
        <v>10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7">
        <f t="shared" si="0"/>
        <v>0</v>
      </c>
      <c r="G38" s="1098"/>
      <c r="H38" s="1078"/>
      <c r="I38" s="1093"/>
      <c r="J38" s="1093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5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48" t="s">
        <v>11</v>
      </c>
      <c r="D42" s="1249"/>
      <c r="E42" s="146">
        <f>E5+E4+E6+-F39</f>
        <v>0</v>
      </c>
      <c r="F42" s="5"/>
      <c r="L42" s="47"/>
      <c r="N42" s="1248" t="s">
        <v>11</v>
      </c>
      <c r="O42" s="1249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6"/>
      <c r="B1" s="1216"/>
      <c r="C1" s="1216"/>
      <c r="D1" s="1216"/>
      <c r="E1" s="1216"/>
      <c r="F1" s="1216"/>
      <c r="G1" s="121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76"/>
      <c r="B5" s="1278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76"/>
      <c r="B6" s="1279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77"/>
      <c r="B7" s="1280"/>
      <c r="C7" s="247"/>
      <c r="D7" s="311"/>
      <c r="E7" s="774"/>
      <c r="F7" s="313"/>
      <c r="G7" s="240"/>
      <c r="I7" s="1281" t="s">
        <v>3</v>
      </c>
      <c r="J7" s="127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82"/>
      <c r="J8" s="1275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48" t="s">
        <v>11</v>
      </c>
      <c r="D101" s="1249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6"/>
      <c r="B1" s="1216"/>
      <c r="C1" s="1216"/>
      <c r="D1" s="1216"/>
      <c r="E1" s="1216"/>
      <c r="F1" s="1216"/>
      <c r="G1" s="121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76"/>
      <c r="B5" s="1278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77"/>
      <c r="B6" s="1280"/>
      <c r="C6" s="247"/>
      <c r="D6" s="311"/>
      <c r="E6" s="774"/>
      <c r="F6" s="313"/>
      <c r="G6" s="240"/>
      <c r="I6" s="1281" t="s">
        <v>3</v>
      </c>
      <c r="J6" s="127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2"/>
      <c r="J7" s="1275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48" t="s">
        <v>11</v>
      </c>
      <c r="D100" s="1249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6"/>
      <c r="B1" s="1216"/>
      <c r="C1" s="1216"/>
      <c r="D1" s="1216"/>
      <c r="E1" s="1216"/>
      <c r="F1" s="1216"/>
      <c r="G1" s="121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44"/>
      <c r="B5" s="1283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45"/>
      <c r="B6" s="1284"/>
      <c r="C6" s="247"/>
      <c r="D6" s="311"/>
      <c r="E6" s="314"/>
      <c r="F6" s="315"/>
      <c r="G6" s="240"/>
      <c r="I6" s="1281" t="s">
        <v>3</v>
      </c>
      <c r="J6" s="127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2"/>
      <c r="J7" s="1275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48" t="s">
        <v>11</v>
      </c>
      <c r="D33" s="1249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16"/>
      <c r="B1" s="1216"/>
      <c r="C1" s="1216"/>
      <c r="D1" s="1216"/>
      <c r="E1" s="1216"/>
      <c r="F1" s="1216"/>
      <c r="G1" s="121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85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86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87"/>
      <c r="C6" s="247"/>
      <c r="D6" s="245"/>
      <c r="E6" s="447"/>
      <c r="F6" s="268"/>
      <c r="G6" s="240"/>
      <c r="H6" s="240"/>
      <c r="I6" s="1281" t="s">
        <v>3</v>
      </c>
      <c r="J6" s="127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2"/>
      <c r="J7" s="1288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48" t="s">
        <v>11</v>
      </c>
      <c r="D36" s="1249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M4" workbookViewId="0">
      <selection activeCell="T27" sqref="T2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36" t="s">
        <v>230</v>
      </c>
      <c r="B1" s="1236"/>
      <c r="C1" s="1236"/>
      <c r="D1" s="1236"/>
      <c r="E1" s="1236"/>
      <c r="F1" s="1236"/>
      <c r="G1" s="1236"/>
      <c r="H1" s="356">
        <v>1</v>
      </c>
      <c r="I1" s="571"/>
      <c r="L1" s="1209" t="s">
        <v>240</v>
      </c>
      <c r="M1" s="1209"/>
      <c r="N1" s="1209"/>
      <c r="O1" s="1209"/>
      <c r="P1" s="1209"/>
      <c r="Q1" s="1209"/>
      <c r="R1" s="1209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3"/>
      <c r="S4" s="153"/>
      <c r="T4" s="576"/>
    </row>
    <row r="5" spans="1:21" ht="15" customHeight="1" x14ac:dyDescent="0.25">
      <c r="A5" s="938"/>
      <c r="B5" s="1289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09"/>
      <c r="M5" s="1289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90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90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2">
        <v>29.64</v>
      </c>
      <c r="E12" s="1064">
        <v>44686</v>
      </c>
      <c r="F12" s="1065">
        <f t="shared" si="0"/>
        <v>29.64</v>
      </c>
      <c r="G12" s="1036" t="s">
        <v>385</v>
      </c>
      <c r="H12" s="1037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2">
        <v>113.83</v>
      </c>
      <c r="E13" s="1064">
        <v>44686</v>
      </c>
      <c r="F13" s="1065">
        <f t="shared" si="0"/>
        <v>113.83</v>
      </c>
      <c r="G13" s="1036" t="s">
        <v>396</v>
      </c>
      <c r="H13" s="103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2">
        <v>204.56</v>
      </c>
      <c r="E14" s="1064">
        <v>44687</v>
      </c>
      <c r="F14" s="1065">
        <f t="shared" si="0"/>
        <v>204.56</v>
      </c>
      <c r="G14" s="1036" t="s">
        <v>394</v>
      </c>
      <c r="H14" s="103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2">
        <v>220.31</v>
      </c>
      <c r="E15" s="1066">
        <v>44688</v>
      </c>
      <c r="F15" s="1142">
        <f t="shared" si="0"/>
        <v>220.31</v>
      </c>
      <c r="G15" s="1143" t="s">
        <v>410</v>
      </c>
      <c r="H15" s="103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2">
        <v>113.24</v>
      </c>
      <c r="E16" s="1066">
        <v>44690</v>
      </c>
      <c r="F16" s="1065">
        <f t="shared" si="0"/>
        <v>113.24</v>
      </c>
      <c r="G16" s="1036" t="s">
        <v>429</v>
      </c>
      <c r="H16" s="103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2">
        <v>30.96</v>
      </c>
      <c r="E17" s="1066">
        <v>44692</v>
      </c>
      <c r="F17" s="1065">
        <f t="shared" si="0"/>
        <v>30.96</v>
      </c>
      <c r="G17" s="1036" t="s">
        <v>449</v>
      </c>
      <c r="H17" s="103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2">
        <v>208.82</v>
      </c>
      <c r="E18" s="1066">
        <v>44692</v>
      </c>
      <c r="F18" s="1065">
        <f t="shared" si="0"/>
        <v>208.82</v>
      </c>
      <c r="G18" s="1036" t="s">
        <v>453</v>
      </c>
      <c r="H18" s="103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2">
        <v>107.91</v>
      </c>
      <c r="E19" s="1066">
        <v>44694</v>
      </c>
      <c r="F19" s="1142">
        <f t="shared" si="0"/>
        <v>107.91</v>
      </c>
      <c r="G19" s="1143" t="s">
        <v>489</v>
      </c>
      <c r="H19" s="103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2">
        <v>57.07</v>
      </c>
      <c r="E20" s="1066">
        <v>44695</v>
      </c>
      <c r="F20" s="1065">
        <f t="shared" si="0"/>
        <v>57.07</v>
      </c>
      <c r="G20" s="1036" t="s">
        <v>478</v>
      </c>
      <c r="H20" s="103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2">
        <v>268.63</v>
      </c>
      <c r="E21" s="1066">
        <v>44695</v>
      </c>
      <c r="F21" s="1065">
        <f t="shared" si="0"/>
        <v>268.63</v>
      </c>
      <c r="G21" s="1033" t="s">
        <v>497</v>
      </c>
      <c r="H21" s="1034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2">
        <v>56.54</v>
      </c>
      <c r="E22" s="1066">
        <v>44697</v>
      </c>
      <c r="F22" s="1065">
        <f t="shared" si="0"/>
        <v>56.54</v>
      </c>
      <c r="G22" s="1033" t="s">
        <v>509</v>
      </c>
      <c r="H22" s="1034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2">
        <v>170.62</v>
      </c>
      <c r="E23" s="1041">
        <v>44697</v>
      </c>
      <c r="F23" s="1065">
        <f t="shared" si="0"/>
        <v>170.62</v>
      </c>
      <c r="G23" s="1033" t="s">
        <v>510</v>
      </c>
      <c r="H23" s="1034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2">
        <v>150.04</v>
      </c>
      <c r="E24" s="1041">
        <v>44697</v>
      </c>
      <c r="F24" s="1065">
        <f t="shared" si="0"/>
        <v>150.04</v>
      </c>
      <c r="G24" s="1033" t="s">
        <v>516</v>
      </c>
      <c r="H24" s="1034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2">
        <v>49.88</v>
      </c>
      <c r="E25" s="1041">
        <v>44699</v>
      </c>
      <c r="F25" s="1065">
        <f t="shared" si="0"/>
        <v>49.88</v>
      </c>
      <c r="G25" s="1033" t="s">
        <v>524</v>
      </c>
      <c r="H25" s="1034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2">
        <v>107.74</v>
      </c>
      <c r="E26" s="1041">
        <v>44699</v>
      </c>
      <c r="F26" s="1065">
        <f t="shared" si="0"/>
        <v>107.74</v>
      </c>
      <c r="G26" s="1033" t="s">
        <v>527</v>
      </c>
      <c r="H26" s="1034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2">
        <v>103.23</v>
      </c>
      <c r="E27" s="1041">
        <v>44702</v>
      </c>
      <c r="F27" s="1065">
        <f t="shared" si="0"/>
        <v>103.23</v>
      </c>
      <c r="G27" s="1033" t="s">
        <v>547</v>
      </c>
      <c r="H27" s="1034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2"/>
      <c r="E28" s="1041"/>
      <c r="F28" s="1065">
        <f t="shared" si="0"/>
        <v>0</v>
      </c>
      <c r="G28" s="1033"/>
      <c r="H28" s="1034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2"/>
      <c r="E29" s="1041"/>
      <c r="F29" s="1065">
        <f t="shared" si="0"/>
        <v>0</v>
      </c>
      <c r="G29" s="1033"/>
      <c r="H29" s="1034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2"/>
      <c r="E30" s="1041"/>
      <c r="F30" s="1065">
        <f t="shared" si="0"/>
        <v>0</v>
      </c>
      <c r="G30" s="1033"/>
      <c r="H30" s="1034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2"/>
      <c r="E31" s="1041"/>
      <c r="F31" s="1065">
        <f t="shared" si="0"/>
        <v>0</v>
      </c>
      <c r="G31" s="1033"/>
      <c r="H31" s="1034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2"/>
      <c r="E32" s="1041"/>
      <c r="F32" s="1065">
        <f t="shared" si="0"/>
        <v>0</v>
      </c>
      <c r="G32" s="1033"/>
      <c r="H32" s="1034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2"/>
      <c r="E33" s="1041"/>
      <c r="F33" s="1065">
        <f t="shared" si="0"/>
        <v>0</v>
      </c>
      <c r="G33" s="1033"/>
      <c r="H33" s="1034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2"/>
      <c r="E34" s="1041"/>
      <c r="F34" s="1065">
        <f t="shared" si="0"/>
        <v>0</v>
      </c>
      <c r="G34" s="1033"/>
      <c r="H34" s="1034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2"/>
      <c r="E35" s="1041"/>
      <c r="F35" s="1065">
        <f t="shared" si="0"/>
        <v>0</v>
      </c>
      <c r="G35" s="1033"/>
      <c r="H35" s="1034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2"/>
      <c r="E36" s="1041"/>
      <c r="F36" s="1065">
        <f t="shared" si="0"/>
        <v>0</v>
      </c>
      <c r="G36" s="1033"/>
      <c r="H36" s="1034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05" t="s">
        <v>21</v>
      </c>
      <c r="E41" s="1206"/>
      <c r="F41" s="141">
        <f>G5-F39</f>
        <v>0</v>
      </c>
      <c r="M41" s="197"/>
      <c r="O41" s="1205" t="s">
        <v>21</v>
      </c>
      <c r="P41" s="1206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10" t="s">
        <v>4</v>
      </c>
      <c r="P42" s="111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14"/>
      <c r="B5" s="1211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14"/>
      <c r="B6" s="1211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18" t="s">
        <v>11</v>
      </c>
      <c r="D60" s="121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L32" sqref="L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20" t="s">
        <v>231</v>
      </c>
      <c r="B1" s="1220"/>
      <c r="C1" s="1220"/>
      <c r="D1" s="1220"/>
      <c r="E1" s="1220"/>
      <c r="F1" s="1220"/>
      <c r="G1" s="1220"/>
      <c r="H1" s="11">
        <v>1</v>
      </c>
      <c r="K1" s="1216" t="s">
        <v>240</v>
      </c>
      <c r="L1" s="1216"/>
      <c r="M1" s="1216"/>
      <c r="N1" s="1216"/>
      <c r="O1" s="1216"/>
      <c r="P1" s="1216"/>
      <c r="Q1" s="1216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72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72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73"/>
      <c r="B5" s="1291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73"/>
      <c r="L5" s="1291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1336.0100000000002</v>
      </c>
      <c r="R5" s="138">
        <f>O5-Q5+O4+O6+O7+O8</f>
        <v>3517.87</v>
      </c>
    </row>
    <row r="6" spans="1:19" ht="16.5" thickBot="1" x14ac:dyDescent="0.3">
      <c r="A6" s="1293"/>
      <c r="B6" s="1292"/>
      <c r="C6" s="923">
        <v>28</v>
      </c>
      <c r="D6" s="245">
        <v>44669</v>
      </c>
      <c r="E6" s="246">
        <v>996.93</v>
      </c>
      <c r="F6" s="243">
        <v>33</v>
      </c>
      <c r="G6" s="73"/>
      <c r="K6" s="1293"/>
      <c r="L6" s="1292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5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133</v>
      </c>
      <c r="M17" s="431">
        <v>7</v>
      </c>
      <c r="N17" s="570">
        <v>206.24</v>
      </c>
      <c r="O17" s="890">
        <v>44704</v>
      </c>
      <c r="P17" s="889">
        <f t="shared" si="1"/>
        <v>206.24</v>
      </c>
      <c r="Q17" s="891" t="s">
        <v>625</v>
      </c>
      <c r="R17" s="892">
        <v>34</v>
      </c>
      <c r="S17" s="270">
        <f t="shared" si="7"/>
        <v>3837.380000000001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126</v>
      </c>
      <c r="M18" s="431">
        <v>7</v>
      </c>
      <c r="N18" s="570">
        <v>200.93</v>
      </c>
      <c r="O18" s="890">
        <v>44707</v>
      </c>
      <c r="P18" s="889">
        <f t="shared" si="1"/>
        <v>200.93</v>
      </c>
      <c r="Q18" s="891" t="s">
        <v>647</v>
      </c>
      <c r="R18" s="892">
        <v>34</v>
      </c>
      <c r="S18" s="270">
        <f t="shared" si="7"/>
        <v>3636.4500000000012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413">
        <f t="shared" si="6"/>
        <v>1371.1699999999998</v>
      </c>
      <c r="K19" s="240"/>
      <c r="L19" s="458">
        <f t="shared" si="4"/>
        <v>124</v>
      </c>
      <c r="M19" s="431">
        <v>2</v>
      </c>
      <c r="N19" s="570">
        <v>59.51</v>
      </c>
      <c r="O19" s="890">
        <v>44708</v>
      </c>
      <c r="P19" s="889">
        <f t="shared" si="1"/>
        <v>59.51</v>
      </c>
      <c r="Q19" s="891" t="s">
        <v>664</v>
      </c>
      <c r="R19" s="892">
        <v>34</v>
      </c>
      <c r="S19" s="270">
        <f t="shared" si="7"/>
        <v>3576.940000000001</v>
      </c>
    </row>
    <row r="20" spans="1:19" x14ac:dyDescent="0.25">
      <c r="A20" s="240"/>
      <c r="B20" s="458">
        <f t="shared" si="2"/>
        <v>39</v>
      </c>
      <c r="C20" s="431">
        <v>7</v>
      </c>
      <c r="D20" s="1045">
        <v>207.2</v>
      </c>
      <c r="E20" s="1046">
        <v>44683</v>
      </c>
      <c r="F20" s="1047">
        <f t="shared" si="0"/>
        <v>207.2</v>
      </c>
      <c r="G20" s="1048" t="s">
        <v>359</v>
      </c>
      <c r="H20" s="1049">
        <v>34</v>
      </c>
      <c r="I20" s="270">
        <f t="shared" si="6"/>
        <v>1163.9699999999998</v>
      </c>
      <c r="K20" s="240"/>
      <c r="L20" s="458">
        <f t="shared" si="4"/>
        <v>123</v>
      </c>
      <c r="M20" s="431">
        <v>1</v>
      </c>
      <c r="N20" s="570">
        <v>30.19</v>
      </c>
      <c r="O20" s="890">
        <v>44709</v>
      </c>
      <c r="P20" s="889">
        <f t="shared" si="1"/>
        <v>30.19</v>
      </c>
      <c r="Q20" s="891" t="s">
        <v>675</v>
      </c>
      <c r="R20" s="892">
        <v>34</v>
      </c>
      <c r="S20" s="270">
        <f t="shared" si="7"/>
        <v>3546.7500000000009</v>
      </c>
    </row>
    <row r="21" spans="1:19" x14ac:dyDescent="0.25">
      <c r="A21" s="240"/>
      <c r="B21" s="458">
        <f t="shared" si="2"/>
        <v>38</v>
      </c>
      <c r="C21" s="431">
        <v>1</v>
      </c>
      <c r="D21" s="1045">
        <v>28.49</v>
      </c>
      <c r="E21" s="1046">
        <v>44685</v>
      </c>
      <c r="F21" s="1047">
        <f t="shared" si="0"/>
        <v>28.49</v>
      </c>
      <c r="G21" s="1050" t="s">
        <v>378</v>
      </c>
      <c r="H21" s="1051">
        <v>34</v>
      </c>
      <c r="I21" s="132">
        <f t="shared" si="6"/>
        <v>1135.4799999999998</v>
      </c>
      <c r="K21" s="240"/>
      <c r="L21" s="458">
        <f t="shared" si="4"/>
        <v>122</v>
      </c>
      <c r="M21" s="431">
        <v>1</v>
      </c>
      <c r="N21" s="570">
        <v>28.88</v>
      </c>
      <c r="O21" s="890">
        <v>44709</v>
      </c>
      <c r="P21" s="889">
        <f t="shared" si="1"/>
        <v>28.88</v>
      </c>
      <c r="Q21" s="893" t="s">
        <v>676</v>
      </c>
      <c r="R21" s="894">
        <v>34</v>
      </c>
      <c r="S21" s="132">
        <f t="shared" si="7"/>
        <v>3517.8700000000008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5">
        <v>29.34</v>
      </c>
      <c r="E22" s="1046">
        <v>44685</v>
      </c>
      <c r="F22" s="1047">
        <f t="shared" si="0"/>
        <v>29.34</v>
      </c>
      <c r="G22" s="1050" t="s">
        <v>382</v>
      </c>
      <c r="H22" s="1051">
        <v>34</v>
      </c>
      <c r="I22" s="132">
        <f t="shared" si="6"/>
        <v>1106.1399999999999</v>
      </c>
      <c r="K22" s="240"/>
      <c r="L22" s="458">
        <f t="shared" si="4"/>
        <v>122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3517.8700000000008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5">
        <v>196.81</v>
      </c>
      <c r="E23" s="1046">
        <v>44685</v>
      </c>
      <c r="F23" s="1047">
        <f t="shared" si="0"/>
        <v>196.81</v>
      </c>
      <c r="G23" s="1050" t="s">
        <v>383</v>
      </c>
      <c r="H23" s="1051">
        <v>34</v>
      </c>
      <c r="I23" s="132">
        <f t="shared" si="6"/>
        <v>909.32999999999993</v>
      </c>
      <c r="K23" s="240"/>
      <c r="L23" s="458">
        <f t="shared" si="4"/>
        <v>122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3517.8700000000008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5">
        <v>213.98</v>
      </c>
      <c r="E24" s="1046">
        <v>44686</v>
      </c>
      <c r="F24" s="1047">
        <f t="shared" si="0"/>
        <v>213.98</v>
      </c>
      <c r="G24" s="1050" t="s">
        <v>396</v>
      </c>
      <c r="H24" s="1051">
        <v>34</v>
      </c>
      <c r="I24" s="132">
        <f t="shared" si="6"/>
        <v>695.34999999999991</v>
      </c>
      <c r="K24" s="240"/>
      <c r="L24" s="458">
        <f t="shared" si="4"/>
        <v>122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3517.8700000000008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5">
        <v>61.35</v>
      </c>
      <c r="E25" s="1046">
        <v>44686</v>
      </c>
      <c r="F25" s="1047">
        <f t="shared" si="0"/>
        <v>61.35</v>
      </c>
      <c r="G25" s="1050" t="s">
        <v>391</v>
      </c>
      <c r="H25" s="1051">
        <v>34</v>
      </c>
      <c r="I25" s="132">
        <f t="shared" si="6"/>
        <v>633.99999999999989</v>
      </c>
      <c r="K25" s="240"/>
      <c r="L25" s="458">
        <f t="shared" si="4"/>
        <v>122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3517.8700000000008</v>
      </c>
    </row>
    <row r="26" spans="1:19" x14ac:dyDescent="0.25">
      <c r="B26" s="458">
        <f t="shared" si="2"/>
        <v>14</v>
      </c>
      <c r="C26" s="431">
        <v>7</v>
      </c>
      <c r="D26" s="1045">
        <v>211.52</v>
      </c>
      <c r="E26" s="1046">
        <v>44687</v>
      </c>
      <c r="F26" s="1047">
        <f t="shared" si="0"/>
        <v>211.52</v>
      </c>
      <c r="G26" s="1050" t="s">
        <v>401</v>
      </c>
      <c r="H26" s="1051">
        <v>34</v>
      </c>
      <c r="I26" s="132">
        <f t="shared" si="6"/>
        <v>422.4799999999999</v>
      </c>
      <c r="L26" s="458">
        <f t="shared" si="4"/>
        <v>122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3517.8700000000008</v>
      </c>
    </row>
    <row r="27" spans="1:19" x14ac:dyDescent="0.25">
      <c r="B27" s="458">
        <f t="shared" si="2"/>
        <v>13</v>
      </c>
      <c r="C27" s="431">
        <v>1</v>
      </c>
      <c r="D27" s="1045">
        <v>32.119999999999997</v>
      </c>
      <c r="E27" s="1046">
        <v>44688</v>
      </c>
      <c r="F27" s="1047">
        <f t="shared" si="0"/>
        <v>32.119999999999997</v>
      </c>
      <c r="G27" s="1050" t="s">
        <v>414</v>
      </c>
      <c r="H27" s="1051">
        <v>34</v>
      </c>
      <c r="I27" s="132">
        <f t="shared" si="6"/>
        <v>390.3599999999999</v>
      </c>
      <c r="L27" s="458">
        <f t="shared" si="4"/>
        <v>122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3517.8700000000008</v>
      </c>
    </row>
    <row r="28" spans="1:19" x14ac:dyDescent="0.25">
      <c r="B28" s="458">
        <f t="shared" si="2"/>
        <v>12</v>
      </c>
      <c r="C28" s="431">
        <v>1</v>
      </c>
      <c r="D28" s="1045">
        <v>30.73</v>
      </c>
      <c r="E28" s="1046">
        <v>44688</v>
      </c>
      <c r="F28" s="1047">
        <f t="shared" si="0"/>
        <v>30.73</v>
      </c>
      <c r="G28" s="1050" t="s">
        <v>418</v>
      </c>
      <c r="H28" s="1051">
        <v>34</v>
      </c>
      <c r="I28" s="132">
        <f t="shared" si="6"/>
        <v>359.62999999999988</v>
      </c>
      <c r="L28" s="458">
        <f t="shared" si="4"/>
        <v>122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3517.8700000000008</v>
      </c>
    </row>
    <row r="29" spans="1:19" x14ac:dyDescent="0.25">
      <c r="B29" s="458">
        <f t="shared" si="2"/>
        <v>11</v>
      </c>
      <c r="C29" s="431">
        <v>1</v>
      </c>
      <c r="D29" s="1045">
        <v>29.9</v>
      </c>
      <c r="E29" s="1080">
        <v>44690</v>
      </c>
      <c r="F29" s="1047">
        <f t="shared" si="0"/>
        <v>29.9</v>
      </c>
      <c r="G29" s="1050" t="s">
        <v>423</v>
      </c>
      <c r="H29" s="1051">
        <v>34</v>
      </c>
      <c r="I29" s="132">
        <f t="shared" si="6"/>
        <v>329.7299999999999</v>
      </c>
      <c r="L29" s="458">
        <f t="shared" si="4"/>
        <v>122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3517.8700000000008</v>
      </c>
    </row>
    <row r="30" spans="1:19" x14ac:dyDescent="0.25">
      <c r="B30" s="458">
        <f t="shared" si="2"/>
        <v>10</v>
      </c>
      <c r="C30" s="431">
        <v>1</v>
      </c>
      <c r="D30" s="1045">
        <v>29.59</v>
      </c>
      <c r="E30" s="1080">
        <v>44691</v>
      </c>
      <c r="F30" s="1047">
        <f t="shared" si="0"/>
        <v>29.59</v>
      </c>
      <c r="G30" s="1050" t="s">
        <v>435</v>
      </c>
      <c r="H30" s="1051">
        <v>34</v>
      </c>
      <c r="I30" s="132">
        <f t="shared" si="6"/>
        <v>300.13999999999993</v>
      </c>
      <c r="L30" s="458">
        <f t="shared" si="4"/>
        <v>122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3517.8700000000008</v>
      </c>
    </row>
    <row r="31" spans="1:19" x14ac:dyDescent="0.25">
      <c r="B31" s="458">
        <f t="shared" si="2"/>
        <v>8</v>
      </c>
      <c r="C31" s="431">
        <v>2</v>
      </c>
      <c r="D31" s="1045">
        <v>50.94</v>
      </c>
      <c r="E31" s="1080">
        <v>44695</v>
      </c>
      <c r="F31" s="1047">
        <f t="shared" si="0"/>
        <v>50.94</v>
      </c>
      <c r="G31" s="1050" t="s">
        <v>478</v>
      </c>
      <c r="H31" s="1051">
        <v>34</v>
      </c>
      <c r="I31" s="132">
        <f t="shared" si="6"/>
        <v>249.19999999999993</v>
      </c>
      <c r="L31" s="458">
        <f t="shared" si="4"/>
        <v>122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3517.8700000000008</v>
      </c>
    </row>
    <row r="32" spans="1:19" x14ac:dyDescent="0.25">
      <c r="B32" s="458">
        <f t="shared" si="2"/>
        <v>2</v>
      </c>
      <c r="C32" s="431">
        <v>6</v>
      </c>
      <c r="D32" s="1045">
        <v>173.53</v>
      </c>
      <c r="E32" s="1080">
        <v>44695</v>
      </c>
      <c r="F32" s="1047">
        <f t="shared" si="0"/>
        <v>173.53</v>
      </c>
      <c r="G32" s="1050" t="s">
        <v>457</v>
      </c>
      <c r="H32" s="1051">
        <v>34</v>
      </c>
      <c r="I32" s="132">
        <f t="shared" si="6"/>
        <v>75.669999999999931</v>
      </c>
      <c r="L32" s="458">
        <f t="shared" si="4"/>
        <v>122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3517.8700000000008</v>
      </c>
    </row>
    <row r="33" spans="2:19" x14ac:dyDescent="0.25">
      <c r="B33" s="458">
        <f t="shared" si="2"/>
        <v>0</v>
      </c>
      <c r="C33" s="431">
        <v>2</v>
      </c>
      <c r="D33" s="1045">
        <v>57.65</v>
      </c>
      <c r="E33" s="1080">
        <v>44695</v>
      </c>
      <c r="F33" s="1047">
        <f t="shared" si="0"/>
        <v>57.65</v>
      </c>
      <c r="G33" s="1050" t="s">
        <v>491</v>
      </c>
      <c r="H33" s="1051">
        <v>34</v>
      </c>
      <c r="I33" s="132">
        <f t="shared" si="6"/>
        <v>18.019999999999932</v>
      </c>
      <c r="L33" s="458">
        <f t="shared" si="4"/>
        <v>122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3517.8700000000008</v>
      </c>
    </row>
    <row r="34" spans="2:19" x14ac:dyDescent="0.25">
      <c r="B34" s="458">
        <f t="shared" si="2"/>
        <v>0</v>
      </c>
      <c r="C34" s="431"/>
      <c r="D34" s="1045"/>
      <c r="E34" s="1080"/>
      <c r="F34" s="1085">
        <f t="shared" si="0"/>
        <v>0</v>
      </c>
      <c r="G34" s="1086"/>
      <c r="H34" s="1087"/>
      <c r="I34" s="1088">
        <f t="shared" si="6"/>
        <v>18.019999999999932</v>
      </c>
      <c r="J34" s="1089"/>
      <c r="L34" s="458">
        <f t="shared" si="4"/>
        <v>122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3517.8700000000008</v>
      </c>
    </row>
    <row r="35" spans="2:19" x14ac:dyDescent="0.25">
      <c r="B35" s="458">
        <f t="shared" si="2"/>
        <v>0</v>
      </c>
      <c r="C35" s="431"/>
      <c r="D35" s="1045"/>
      <c r="E35" s="1080"/>
      <c r="F35" s="1085">
        <f t="shared" si="0"/>
        <v>0</v>
      </c>
      <c r="G35" s="1086"/>
      <c r="H35" s="1087"/>
      <c r="I35" s="1088">
        <f t="shared" si="6"/>
        <v>18.019999999999932</v>
      </c>
      <c r="J35" s="1089"/>
      <c r="L35" s="458">
        <f t="shared" si="4"/>
        <v>122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3517.8700000000008</v>
      </c>
    </row>
    <row r="36" spans="2:19" x14ac:dyDescent="0.25">
      <c r="B36" s="458">
        <f t="shared" si="2"/>
        <v>0</v>
      </c>
      <c r="C36" s="431"/>
      <c r="D36" s="1045"/>
      <c r="E36" s="1080"/>
      <c r="F36" s="1085">
        <v>18.02</v>
      </c>
      <c r="G36" s="1086"/>
      <c r="H36" s="1087"/>
      <c r="I36" s="1088">
        <f t="shared" si="6"/>
        <v>-6.7501559897209518E-14</v>
      </c>
      <c r="J36" s="1089"/>
      <c r="L36" s="458">
        <f t="shared" si="4"/>
        <v>122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3517.8700000000008</v>
      </c>
    </row>
    <row r="37" spans="2:19" x14ac:dyDescent="0.25">
      <c r="B37" s="458">
        <f t="shared" si="2"/>
        <v>0</v>
      </c>
      <c r="C37" s="431"/>
      <c r="D37" s="1045"/>
      <c r="E37" s="1080"/>
      <c r="F37" s="1085">
        <f t="shared" si="0"/>
        <v>0</v>
      </c>
      <c r="G37" s="1086"/>
      <c r="H37" s="1087"/>
      <c r="I37" s="1088">
        <f t="shared" si="6"/>
        <v>-6.7501559897209518E-14</v>
      </c>
      <c r="J37" s="1089"/>
      <c r="L37" s="458">
        <f t="shared" si="4"/>
        <v>122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3517.8700000000008</v>
      </c>
    </row>
    <row r="38" spans="2:19" x14ac:dyDescent="0.25">
      <c r="B38" s="458">
        <f t="shared" si="2"/>
        <v>0</v>
      </c>
      <c r="C38" s="431"/>
      <c r="D38" s="1045"/>
      <c r="E38" s="1080"/>
      <c r="F38" s="1085">
        <f t="shared" si="0"/>
        <v>0</v>
      </c>
      <c r="G38" s="1086"/>
      <c r="H38" s="1087"/>
      <c r="I38" s="1088">
        <f t="shared" si="6"/>
        <v>-6.7501559897209518E-14</v>
      </c>
      <c r="J38" s="1089"/>
      <c r="L38" s="458">
        <f t="shared" si="4"/>
        <v>122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3517.8700000000008</v>
      </c>
    </row>
    <row r="39" spans="2:19" x14ac:dyDescent="0.25">
      <c r="B39" s="458">
        <f t="shared" si="2"/>
        <v>0</v>
      </c>
      <c r="C39" s="431"/>
      <c r="D39" s="1045"/>
      <c r="E39" s="1080"/>
      <c r="F39" s="1085">
        <f t="shared" si="0"/>
        <v>0</v>
      </c>
      <c r="G39" s="1086"/>
      <c r="H39" s="1087"/>
      <c r="I39" s="1088">
        <f t="shared" si="6"/>
        <v>-6.7501559897209518E-14</v>
      </c>
      <c r="J39" s="1089"/>
      <c r="L39" s="458">
        <f t="shared" si="4"/>
        <v>122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3517.8700000000008</v>
      </c>
    </row>
    <row r="40" spans="2:19" x14ac:dyDescent="0.25">
      <c r="B40" s="458">
        <f t="shared" si="2"/>
        <v>0</v>
      </c>
      <c r="C40" s="431"/>
      <c r="D40" s="570"/>
      <c r="E40" s="1081"/>
      <c r="F40" s="1090">
        <f t="shared" si="0"/>
        <v>0</v>
      </c>
      <c r="G40" s="1091"/>
      <c r="H40" s="1092"/>
      <c r="I40" s="1088">
        <f t="shared" si="6"/>
        <v>-6.7501559897209518E-14</v>
      </c>
      <c r="J40" s="1089"/>
      <c r="L40" s="458">
        <f t="shared" si="4"/>
        <v>122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3517.8700000000008</v>
      </c>
    </row>
    <row r="41" spans="2:19" x14ac:dyDescent="0.25">
      <c r="B41" s="458">
        <f t="shared" si="2"/>
        <v>0</v>
      </c>
      <c r="C41" s="431"/>
      <c r="D41" s="570"/>
      <c r="E41" s="1081"/>
      <c r="F41" s="889">
        <f t="shared" si="0"/>
        <v>0</v>
      </c>
      <c r="G41" s="899"/>
      <c r="H41" s="1075"/>
      <c r="I41" s="132">
        <f t="shared" si="6"/>
        <v>-6.7501559897209518E-14</v>
      </c>
      <c r="L41" s="458">
        <f t="shared" si="4"/>
        <v>122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3517.8700000000008</v>
      </c>
    </row>
    <row r="42" spans="2:19" x14ac:dyDescent="0.25">
      <c r="B42" s="458"/>
      <c r="C42" s="431"/>
      <c r="D42" s="570"/>
      <c r="E42" s="1081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1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1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1336.0100000000002</v>
      </c>
      <c r="O52" s="75"/>
      <c r="P52" s="105">
        <f>SUM(P10:P51)</f>
        <v>1336.0100000000002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2998.7700000000004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0" t="s">
        <v>216</v>
      </c>
      <c r="B1" s="1220"/>
      <c r="C1" s="1220"/>
      <c r="D1" s="1220"/>
      <c r="E1" s="1220"/>
      <c r="F1" s="1220"/>
      <c r="G1" s="1220"/>
      <c r="H1" s="11">
        <v>1</v>
      </c>
      <c r="K1" s="1216" t="s">
        <v>251</v>
      </c>
      <c r="L1" s="1216"/>
      <c r="M1" s="1216"/>
      <c r="N1" s="1216"/>
      <c r="O1" s="1216"/>
      <c r="P1" s="1216"/>
      <c r="Q1" s="12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21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221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221"/>
      <c r="C6" s="271"/>
      <c r="D6" s="248"/>
      <c r="E6" s="259"/>
      <c r="F6" s="253"/>
      <c r="G6" s="262">
        <f>F48</f>
        <v>748.87</v>
      </c>
      <c r="H6" s="7">
        <f>E6-G6+E7+E5-G5</f>
        <v>-97.060000000000059</v>
      </c>
      <c r="K6" s="583"/>
      <c r="L6" s="1221"/>
      <c r="M6" s="743">
        <v>90</v>
      </c>
      <c r="N6" s="248">
        <v>44709</v>
      </c>
      <c r="O6" s="69">
        <v>229.5</v>
      </c>
      <c r="P6" s="73">
        <v>20</v>
      </c>
      <c r="Q6" s="262">
        <f>P48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271"/>
      <c r="N7" s="248"/>
      <c r="O7" s="259">
        <v>75.42</v>
      </c>
      <c r="P7" s="253">
        <v>6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45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45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46" si="3">I10-F11</f>
        <v>486.70999999999992</v>
      </c>
      <c r="K11" s="195"/>
      <c r="L11" s="83">
        <f t="shared" ref="L11:L45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45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45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1">
        <f t="shared" si="0"/>
        <v>0</v>
      </c>
      <c r="G17" s="1072"/>
      <c r="H17" s="1073"/>
      <c r="I17" s="1074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1">
        <f t="shared" si="0"/>
        <v>0</v>
      </c>
      <c r="G18" s="1072"/>
      <c r="H18" s="1073"/>
      <c r="I18" s="1074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1">
        <v>75.42</v>
      </c>
      <c r="G19" s="1072"/>
      <c r="H19" s="1073"/>
      <c r="I19" s="1074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1">
        <f t="shared" si="0"/>
        <v>0</v>
      </c>
      <c r="G20" s="1072"/>
      <c r="H20" s="1073"/>
      <c r="I20" s="1074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1">
        <f t="shared" si="0"/>
        <v>0</v>
      </c>
      <c r="G21" s="1072"/>
      <c r="H21" s="1073"/>
      <c r="I21" s="1074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1">
        <f t="shared" si="0"/>
        <v>0</v>
      </c>
      <c r="G22" s="1072"/>
      <c r="H22" s="1073"/>
      <c r="I22" s="1074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275">
        <f t="shared" si="3"/>
        <v>-1.1368683772161603E-13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59</v>
      </c>
      <c r="D48" s="6">
        <f>SUM(D9:D47)</f>
        <v>673.45</v>
      </c>
      <c r="F48" s="6">
        <f>SUM(F9:F47)</f>
        <v>748.87</v>
      </c>
      <c r="M48" s="53">
        <f>SUM(M9:M47)</f>
        <v>14</v>
      </c>
      <c r="N48" s="6">
        <f>SUM(N9:N47)</f>
        <v>169.57</v>
      </c>
      <c r="P48" s="6">
        <f>SUM(P9:P47)</f>
        <v>169.57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-7</v>
      </c>
      <c r="N51" s="45" t="s">
        <v>4</v>
      </c>
      <c r="O51" s="56">
        <f>P5+P6-M48+P7</f>
        <v>20</v>
      </c>
    </row>
    <row r="52" spans="3:16" ht="15.75" thickBot="1" x14ac:dyDescent="0.3"/>
    <row r="53" spans="3:16" ht="15.75" thickBot="1" x14ac:dyDescent="0.3">
      <c r="C53" s="1218" t="s">
        <v>11</v>
      </c>
      <c r="D53" s="1219"/>
      <c r="E53" s="57">
        <f>E5+E6-F48+E7</f>
        <v>-97.060000000000059</v>
      </c>
      <c r="F53" s="73"/>
      <c r="M53" s="1218" t="s">
        <v>11</v>
      </c>
      <c r="N53" s="1219"/>
      <c r="O53" s="57">
        <f>O5+O6-P48+O7</f>
        <v>229.5</v>
      </c>
      <c r="P53" s="73"/>
    </row>
  </sheetData>
  <sortState ref="M5:P7">
    <sortCondition ref="N5:N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22" sqref="B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6" t="s">
        <v>240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4" t="s">
        <v>74</v>
      </c>
      <c r="C4" s="102"/>
      <c r="D4" s="135"/>
      <c r="E4" s="86"/>
      <c r="F4" s="73"/>
      <c r="G4" s="699"/>
    </row>
    <row r="5" spans="1:9" x14ac:dyDescent="0.25">
      <c r="A5" s="1233" t="s">
        <v>574</v>
      </c>
      <c r="B5" s="1295"/>
      <c r="C5" s="249">
        <v>270</v>
      </c>
      <c r="D5" s="245">
        <v>44707</v>
      </c>
      <c r="E5" s="246">
        <v>510</v>
      </c>
      <c r="F5" s="243">
        <v>5</v>
      </c>
      <c r="G5" s="48">
        <f>F32</f>
        <v>510</v>
      </c>
      <c r="H5" s="138">
        <f>E5-G5</f>
        <v>0</v>
      </c>
    </row>
    <row r="6" spans="1:9" ht="15.75" thickBot="1" x14ac:dyDescent="0.3">
      <c r="A6" s="1233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5">
        <v>510</v>
      </c>
      <c r="E8" s="324">
        <v>44708</v>
      </c>
      <c r="F8" s="279">
        <f t="shared" ref="F8:F28" si="0">D8</f>
        <v>510</v>
      </c>
      <c r="G8" s="319" t="s">
        <v>668</v>
      </c>
      <c r="H8" s="266">
        <v>272</v>
      </c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1139">
        <f t="shared" si="0"/>
        <v>0</v>
      </c>
      <c r="G9" s="1140"/>
      <c r="H9" s="1078"/>
      <c r="I9" s="1079">
        <f>I8-D9</f>
        <v>0</v>
      </c>
    </row>
    <row r="10" spans="1:9" x14ac:dyDescent="0.25">
      <c r="A10" s="75"/>
      <c r="B10" s="2"/>
      <c r="C10" s="15"/>
      <c r="D10" s="655"/>
      <c r="E10" s="328"/>
      <c r="F10" s="1139">
        <f t="shared" si="0"/>
        <v>0</v>
      </c>
      <c r="G10" s="1140"/>
      <c r="H10" s="1078"/>
      <c r="I10" s="1079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1139">
        <f t="shared" si="0"/>
        <v>0</v>
      </c>
      <c r="G11" s="1140"/>
      <c r="H11" s="1078"/>
      <c r="I11" s="1079">
        <f t="shared" si="1"/>
        <v>0</v>
      </c>
    </row>
    <row r="12" spans="1:9" x14ac:dyDescent="0.25">
      <c r="A12" s="75"/>
      <c r="B12" s="2"/>
      <c r="C12" s="15"/>
      <c r="D12" s="655"/>
      <c r="E12" s="328"/>
      <c r="F12" s="1139">
        <f t="shared" si="0"/>
        <v>0</v>
      </c>
      <c r="G12" s="1140"/>
      <c r="H12" s="1078"/>
      <c r="I12" s="1079">
        <f t="shared" si="1"/>
        <v>0</v>
      </c>
    </row>
    <row r="13" spans="1:9" x14ac:dyDescent="0.25">
      <c r="A13" s="75"/>
      <c r="B13" s="2"/>
      <c r="C13" s="15"/>
      <c r="D13" s="655"/>
      <c r="E13" s="328"/>
      <c r="F13" s="1139">
        <f t="shared" si="0"/>
        <v>0</v>
      </c>
      <c r="G13" s="1140"/>
      <c r="H13" s="1078"/>
      <c r="I13" s="1079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510</v>
      </c>
      <c r="E32" s="75"/>
      <c r="F32" s="105">
        <f>SUM(F8:F31)</f>
        <v>510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4" t="s">
        <v>56</v>
      </c>
      <c r="C4" s="102"/>
      <c r="D4" s="135"/>
      <c r="E4" s="86"/>
      <c r="F4" s="73"/>
      <c r="G4" s="534"/>
    </row>
    <row r="5" spans="1:9" x14ac:dyDescent="0.25">
      <c r="A5" s="242"/>
      <c r="B5" s="1295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4" t="s">
        <v>92</v>
      </c>
      <c r="C4" s="102"/>
      <c r="D4" s="135"/>
      <c r="E4" s="86"/>
      <c r="F4" s="73"/>
      <c r="G4" s="825"/>
    </row>
    <row r="5" spans="1:9" x14ac:dyDescent="0.25">
      <c r="A5" s="75"/>
      <c r="B5" s="1295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96" t="s">
        <v>95</v>
      </c>
      <c r="C4" s="102"/>
      <c r="D4" s="135"/>
      <c r="E4" s="86"/>
      <c r="F4" s="73"/>
      <c r="G4" s="886"/>
    </row>
    <row r="5" spans="1:10" x14ac:dyDescent="0.25">
      <c r="A5" s="75"/>
      <c r="B5" s="1297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W14" sqref="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0" t="s">
        <v>217</v>
      </c>
      <c r="B1" s="1220"/>
      <c r="C1" s="1220"/>
      <c r="D1" s="1220"/>
      <c r="E1" s="1220"/>
      <c r="F1" s="1220"/>
      <c r="G1" s="1220"/>
      <c r="H1" s="11">
        <v>1</v>
      </c>
      <c r="K1" s="1220" t="str">
        <f>A1</f>
        <v>INVENTARIO DEL MES DE ABRIL 2022</v>
      </c>
      <c r="L1" s="1220"/>
      <c r="M1" s="1220"/>
      <c r="N1" s="1220"/>
      <c r="O1" s="1220"/>
      <c r="P1" s="1220"/>
      <c r="Q1" s="1220"/>
      <c r="R1" s="11">
        <v>2</v>
      </c>
      <c r="U1" s="1216" t="s">
        <v>240</v>
      </c>
      <c r="V1" s="1216"/>
      <c r="W1" s="1216"/>
      <c r="X1" s="1216"/>
      <c r="Y1" s="1216"/>
      <c r="Z1" s="1216"/>
      <c r="AA1" s="121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22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22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22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22"/>
      <c r="C6" s="566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22"/>
      <c r="M6" s="566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22"/>
      <c r="W6" s="566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18" t="s">
        <v>11</v>
      </c>
      <c r="D47" s="1219"/>
      <c r="E47" s="57">
        <f>E5+E6-F42+E7</f>
        <v>61.359999999999957</v>
      </c>
      <c r="F47" s="73"/>
      <c r="M47" s="1218" t="s">
        <v>11</v>
      </c>
      <c r="N47" s="1219"/>
      <c r="O47" s="57">
        <f>O5+O6-P42+O7</f>
        <v>23.180000000000007</v>
      </c>
      <c r="P47" s="73"/>
      <c r="W47" s="1218" t="s">
        <v>11</v>
      </c>
      <c r="X47" s="1219"/>
      <c r="Y47" s="57">
        <f>Y5+Y6-Z42+Y7</f>
        <v>236.89999999999998</v>
      </c>
      <c r="Z47" s="73"/>
    </row>
    <row r="50" spans="1:28" x14ac:dyDescent="0.25">
      <c r="A50" s="250"/>
      <c r="B50" s="1214"/>
      <c r="C50" s="742"/>
      <c r="D50" s="274"/>
      <c r="E50" s="259"/>
      <c r="F50" s="253"/>
      <c r="G50" s="260"/>
      <c r="H50" s="240"/>
      <c r="K50" s="250"/>
      <c r="L50" s="1214"/>
      <c r="M50" s="742"/>
      <c r="N50" s="274"/>
      <c r="O50" s="259"/>
      <c r="P50" s="253"/>
      <c r="Q50" s="260"/>
      <c r="R50" s="240"/>
      <c r="U50" s="250"/>
      <c r="V50" s="1214"/>
      <c r="W50" s="742"/>
      <c r="X50" s="274"/>
      <c r="Y50" s="259"/>
      <c r="Z50" s="253"/>
      <c r="AA50" s="260"/>
      <c r="AB50" s="240"/>
    </row>
    <row r="51" spans="1:28" x14ac:dyDescent="0.25">
      <c r="A51" s="250"/>
      <c r="B51" s="1214"/>
      <c r="C51" s="566"/>
      <c r="D51" s="248"/>
      <c r="E51" s="267"/>
      <c r="F51" s="253"/>
      <c r="G51" s="262"/>
      <c r="H51" s="240"/>
      <c r="K51" s="250"/>
      <c r="L51" s="1214"/>
      <c r="M51" s="566"/>
      <c r="N51" s="248"/>
      <c r="O51" s="267"/>
      <c r="P51" s="253"/>
      <c r="Q51" s="262"/>
      <c r="R51" s="240"/>
      <c r="U51" s="250"/>
      <c r="V51" s="1214"/>
      <c r="W51" s="566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42"/>
      <c r="D52" s="248"/>
      <c r="E52" s="758"/>
      <c r="F52" s="294"/>
      <c r="G52" s="240"/>
      <c r="H52" s="240"/>
      <c r="K52" s="240"/>
      <c r="L52" s="272"/>
      <c r="M52" s="742"/>
      <c r="N52" s="248"/>
      <c r="O52" s="758"/>
      <c r="P52" s="294"/>
      <c r="Q52" s="240"/>
      <c r="R52" s="240"/>
      <c r="U52" s="240"/>
      <c r="V52" s="272"/>
      <c r="W52" s="742"/>
      <c r="X52" s="248"/>
      <c r="Y52" s="75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0" t="s">
        <v>250</v>
      </c>
      <c r="B1" s="1220"/>
      <c r="C1" s="1220"/>
      <c r="D1" s="1220"/>
      <c r="E1" s="1220"/>
      <c r="F1" s="1220"/>
      <c r="G1" s="1220"/>
      <c r="H1" s="11">
        <v>1</v>
      </c>
      <c r="K1" s="1216" t="s">
        <v>240</v>
      </c>
      <c r="L1" s="1216"/>
      <c r="M1" s="1216"/>
      <c r="N1" s="1216"/>
      <c r="O1" s="1216"/>
      <c r="P1" s="1216"/>
      <c r="Q1" s="12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23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23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23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23"/>
      <c r="M6" s="566"/>
      <c r="N6" s="248"/>
      <c r="O6" s="267">
        <v>111.28</v>
      </c>
      <c r="P6" s="253">
        <v>10</v>
      </c>
      <c r="Q6" s="262">
        <f>P78</f>
        <v>1135.3899999999999</v>
      </c>
      <c r="R6" s="7">
        <f>O6-Q6+O7+O5-Q5+O4</f>
        <v>985.94000000000017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4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4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4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4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4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2">
        <v>24.21</v>
      </c>
      <c r="E16" s="1043">
        <v>44684</v>
      </c>
      <c r="F16" s="1042">
        <f t="shared" si="0"/>
        <v>24.21</v>
      </c>
      <c r="G16" s="1036" t="s">
        <v>362</v>
      </c>
      <c r="H16" s="1037">
        <v>95</v>
      </c>
      <c r="I16" s="275">
        <f t="shared" si="3"/>
        <v>285.53000000000009</v>
      </c>
      <c r="L16" s="1084">
        <f t="shared" si="4"/>
        <v>100</v>
      </c>
      <c r="M16" s="73">
        <v>10</v>
      </c>
      <c r="N16" s="264">
        <v>117.88</v>
      </c>
      <c r="O16" s="293">
        <v>44705</v>
      </c>
      <c r="P16" s="264">
        <f t="shared" si="1"/>
        <v>117.88</v>
      </c>
      <c r="Q16" s="265" t="s">
        <v>633</v>
      </c>
      <c r="R16" s="266">
        <v>95</v>
      </c>
      <c r="S16" s="275">
        <f t="shared" si="5"/>
        <v>1165.4500000000003</v>
      </c>
    </row>
    <row r="17" spans="1:19" x14ac:dyDescent="0.25">
      <c r="B17" s="296">
        <f t="shared" si="2"/>
        <v>15</v>
      </c>
      <c r="C17" s="73">
        <v>10</v>
      </c>
      <c r="D17" s="1042">
        <v>114.82</v>
      </c>
      <c r="E17" s="1043">
        <v>44686</v>
      </c>
      <c r="F17" s="1042">
        <f t="shared" si="0"/>
        <v>114.82</v>
      </c>
      <c r="G17" s="1036" t="s">
        <v>396</v>
      </c>
      <c r="H17" s="1037">
        <v>95</v>
      </c>
      <c r="I17" s="275">
        <f t="shared" si="3"/>
        <v>170.71000000000009</v>
      </c>
      <c r="L17" s="1084">
        <f t="shared" si="4"/>
        <v>85</v>
      </c>
      <c r="M17" s="73">
        <v>15</v>
      </c>
      <c r="N17" s="264">
        <v>179.51</v>
      </c>
      <c r="O17" s="293">
        <v>44707</v>
      </c>
      <c r="P17" s="264">
        <f t="shared" si="1"/>
        <v>179.51</v>
      </c>
      <c r="Q17" s="265" t="s">
        <v>647</v>
      </c>
      <c r="R17" s="266">
        <v>95</v>
      </c>
      <c r="S17" s="275">
        <f t="shared" si="5"/>
        <v>985.94000000000028</v>
      </c>
    </row>
    <row r="18" spans="1:19" x14ac:dyDescent="0.25">
      <c r="A18" s="122"/>
      <c r="B18" s="296">
        <f t="shared" si="2"/>
        <v>10</v>
      </c>
      <c r="C18" s="73">
        <v>5</v>
      </c>
      <c r="D18" s="1042">
        <v>59.43</v>
      </c>
      <c r="E18" s="1043">
        <v>44687</v>
      </c>
      <c r="F18" s="1042">
        <f t="shared" si="0"/>
        <v>59.43</v>
      </c>
      <c r="G18" s="1036" t="s">
        <v>399</v>
      </c>
      <c r="H18" s="1037">
        <v>95</v>
      </c>
      <c r="I18" s="275">
        <f t="shared" si="3"/>
        <v>111.28000000000009</v>
      </c>
      <c r="K18" s="122"/>
      <c r="L18" s="1084">
        <f t="shared" si="4"/>
        <v>85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985.94000000000028</v>
      </c>
    </row>
    <row r="19" spans="1:19" x14ac:dyDescent="0.25">
      <c r="A19" s="122"/>
      <c r="B19" s="296">
        <f t="shared" si="2"/>
        <v>10</v>
      </c>
      <c r="C19" s="15"/>
      <c r="D19" s="1042"/>
      <c r="E19" s="1043"/>
      <c r="F19" s="1060">
        <f t="shared" si="0"/>
        <v>0</v>
      </c>
      <c r="G19" s="1061"/>
      <c r="H19" s="1062"/>
      <c r="I19" s="1074">
        <f t="shared" si="3"/>
        <v>111.28000000000009</v>
      </c>
      <c r="K19" s="122"/>
      <c r="L19" s="1084">
        <f t="shared" si="4"/>
        <v>85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985.94000000000028</v>
      </c>
    </row>
    <row r="20" spans="1:19" x14ac:dyDescent="0.25">
      <c r="A20" s="122"/>
      <c r="B20" s="83">
        <f t="shared" si="2"/>
        <v>10</v>
      </c>
      <c r="C20" s="15"/>
      <c r="D20" s="1042"/>
      <c r="E20" s="1043"/>
      <c r="F20" s="1060">
        <f t="shared" si="0"/>
        <v>0</v>
      </c>
      <c r="G20" s="1061"/>
      <c r="H20" s="1062"/>
      <c r="I20" s="1074">
        <f t="shared" si="3"/>
        <v>111.28000000000009</v>
      </c>
      <c r="K20" s="122"/>
      <c r="L20" s="195">
        <f t="shared" si="4"/>
        <v>85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985.94000000000028</v>
      </c>
    </row>
    <row r="21" spans="1:19" x14ac:dyDescent="0.25">
      <c r="A21" s="122"/>
      <c r="B21" s="83">
        <f t="shared" si="2"/>
        <v>0</v>
      </c>
      <c r="C21" s="15">
        <v>10</v>
      </c>
      <c r="D21" s="1042"/>
      <c r="E21" s="1043"/>
      <c r="F21" s="1060">
        <v>111.28</v>
      </c>
      <c r="G21" s="1061"/>
      <c r="H21" s="1062"/>
      <c r="I21" s="1074">
        <f t="shared" si="3"/>
        <v>0</v>
      </c>
      <c r="K21" s="122"/>
      <c r="L21" s="195">
        <f t="shared" si="4"/>
        <v>85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985.94000000000028</v>
      </c>
    </row>
    <row r="22" spans="1:19" x14ac:dyDescent="0.25">
      <c r="A22" s="122"/>
      <c r="B22" s="281">
        <f t="shared" si="2"/>
        <v>0</v>
      </c>
      <c r="C22" s="15"/>
      <c r="D22" s="1042"/>
      <c r="E22" s="1043"/>
      <c r="F22" s="1060">
        <f t="shared" si="0"/>
        <v>0</v>
      </c>
      <c r="G22" s="1061"/>
      <c r="H22" s="1062"/>
      <c r="I22" s="1074">
        <f t="shared" si="3"/>
        <v>0</v>
      </c>
      <c r="K22" s="122"/>
      <c r="L22" s="195">
        <f t="shared" si="4"/>
        <v>85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985.94000000000028</v>
      </c>
    </row>
    <row r="23" spans="1:19" x14ac:dyDescent="0.25">
      <c r="A23" s="123"/>
      <c r="B23" s="281">
        <f t="shared" si="2"/>
        <v>0</v>
      </c>
      <c r="C23" s="15"/>
      <c r="D23" s="1042"/>
      <c r="E23" s="1043"/>
      <c r="F23" s="1042">
        <f t="shared" si="0"/>
        <v>0</v>
      </c>
      <c r="G23" s="1036"/>
      <c r="H23" s="1037"/>
      <c r="I23" s="275">
        <f t="shared" si="3"/>
        <v>0</v>
      </c>
      <c r="K23" s="123"/>
      <c r="L23" s="195">
        <f t="shared" si="4"/>
        <v>85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985.94000000000028</v>
      </c>
    </row>
    <row r="24" spans="1:19" x14ac:dyDescent="0.25">
      <c r="A24" s="122"/>
      <c r="B24" s="281">
        <f t="shared" si="2"/>
        <v>0</v>
      </c>
      <c r="C24" s="15"/>
      <c r="D24" s="1042"/>
      <c r="E24" s="1043"/>
      <c r="F24" s="1042">
        <f t="shared" si="0"/>
        <v>0</v>
      </c>
      <c r="G24" s="1036"/>
      <c r="H24" s="1037"/>
      <c r="I24" s="275">
        <f t="shared" si="3"/>
        <v>0</v>
      </c>
      <c r="K24" s="122"/>
      <c r="L24" s="195">
        <f t="shared" si="4"/>
        <v>85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985.94000000000028</v>
      </c>
    </row>
    <row r="25" spans="1:19" x14ac:dyDescent="0.25">
      <c r="A25" s="122"/>
      <c r="B25" s="281">
        <f t="shared" si="2"/>
        <v>0</v>
      </c>
      <c r="C25" s="15"/>
      <c r="D25" s="1042"/>
      <c r="E25" s="1043"/>
      <c r="F25" s="1042">
        <f t="shared" si="0"/>
        <v>0</v>
      </c>
      <c r="G25" s="1036"/>
      <c r="H25" s="1037"/>
      <c r="I25" s="275">
        <f t="shared" si="3"/>
        <v>0</v>
      </c>
      <c r="K25" s="122"/>
      <c r="L25" s="195">
        <f t="shared" si="4"/>
        <v>85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985.94000000000028</v>
      </c>
    </row>
    <row r="26" spans="1:19" x14ac:dyDescent="0.25">
      <c r="A26" s="122"/>
      <c r="B26" s="195">
        <f t="shared" si="2"/>
        <v>0</v>
      </c>
      <c r="C26" s="15"/>
      <c r="D26" s="1042"/>
      <c r="E26" s="1043"/>
      <c r="F26" s="1042">
        <f t="shared" si="0"/>
        <v>0</v>
      </c>
      <c r="G26" s="1036"/>
      <c r="H26" s="1037"/>
      <c r="I26" s="275">
        <f t="shared" si="3"/>
        <v>0</v>
      </c>
      <c r="K26" s="122"/>
      <c r="L26" s="195">
        <f t="shared" si="4"/>
        <v>85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985.94000000000028</v>
      </c>
    </row>
    <row r="27" spans="1:19" x14ac:dyDescent="0.25">
      <c r="A27" s="122"/>
      <c r="B27" s="281">
        <f t="shared" si="2"/>
        <v>0</v>
      </c>
      <c r="C27" s="15"/>
      <c r="D27" s="1042"/>
      <c r="E27" s="1043"/>
      <c r="F27" s="1042">
        <f t="shared" si="0"/>
        <v>0</v>
      </c>
      <c r="G27" s="1036"/>
      <c r="H27" s="1037"/>
      <c r="I27" s="275">
        <f t="shared" si="3"/>
        <v>0</v>
      </c>
      <c r="K27" s="122"/>
      <c r="L27" s="195">
        <f t="shared" si="4"/>
        <v>85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985.94000000000028</v>
      </c>
    </row>
    <row r="28" spans="1:19" x14ac:dyDescent="0.25">
      <c r="A28" s="122"/>
      <c r="B28" s="195">
        <f t="shared" si="2"/>
        <v>0</v>
      </c>
      <c r="C28" s="15"/>
      <c r="D28" s="1042"/>
      <c r="E28" s="1043"/>
      <c r="F28" s="1042">
        <f t="shared" si="0"/>
        <v>0</v>
      </c>
      <c r="G28" s="1036"/>
      <c r="H28" s="1037"/>
      <c r="I28" s="275">
        <f t="shared" si="3"/>
        <v>0</v>
      </c>
      <c r="K28" s="122"/>
      <c r="L28" s="195">
        <f t="shared" si="4"/>
        <v>85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985.94000000000028</v>
      </c>
    </row>
    <row r="29" spans="1:19" x14ac:dyDescent="0.25">
      <c r="A29" s="122"/>
      <c r="B29" s="281">
        <f t="shared" si="2"/>
        <v>0</v>
      </c>
      <c r="C29" s="15"/>
      <c r="D29" s="1042"/>
      <c r="E29" s="1043"/>
      <c r="F29" s="1042">
        <f t="shared" si="0"/>
        <v>0</v>
      </c>
      <c r="G29" s="1036"/>
      <c r="H29" s="1037"/>
      <c r="I29" s="275">
        <f t="shared" si="3"/>
        <v>0</v>
      </c>
      <c r="K29" s="122"/>
      <c r="L29" s="195">
        <f t="shared" si="4"/>
        <v>85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985.94000000000028</v>
      </c>
    </row>
    <row r="30" spans="1:19" x14ac:dyDescent="0.25">
      <c r="A30" s="122"/>
      <c r="B30" s="281">
        <f t="shared" si="2"/>
        <v>0</v>
      </c>
      <c r="C30" s="15"/>
      <c r="D30" s="1042"/>
      <c r="E30" s="1043"/>
      <c r="F30" s="1042">
        <f t="shared" si="0"/>
        <v>0</v>
      </c>
      <c r="G30" s="1036"/>
      <c r="H30" s="1037"/>
      <c r="I30" s="275">
        <f t="shared" si="3"/>
        <v>0</v>
      </c>
      <c r="K30" s="122"/>
      <c r="L30" s="195">
        <f t="shared" si="4"/>
        <v>85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985.94000000000028</v>
      </c>
    </row>
    <row r="31" spans="1:19" x14ac:dyDescent="0.25">
      <c r="A31" s="122"/>
      <c r="B31" s="281">
        <f t="shared" si="2"/>
        <v>0</v>
      </c>
      <c r="C31" s="15"/>
      <c r="D31" s="1042"/>
      <c r="E31" s="1043"/>
      <c r="F31" s="1042">
        <f t="shared" si="0"/>
        <v>0</v>
      </c>
      <c r="G31" s="1036"/>
      <c r="H31" s="1037"/>
      <c r="I31" s="275">
        <f t="shared" si="3"/>
        <v>0</v>
      </c>
      <c r="K31" s="122"/>
      <c r="L31" s="195">
        <f t="shared" si="4"/>
        <v>85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985.94000000000028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85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985.94000000000028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85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985.94000000000028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85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985.94000000000028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85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985.94000000000028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85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985.94000000000028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85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985.94000000000028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85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985.94000000000028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85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985.94000000000028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85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985.94000000000028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85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985.94000000000028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85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985.94000000000028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85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985.94000000000028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85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985.94000000000028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85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985.94000000000028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85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985.94000000000028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85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985.94000000000028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85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985.94000000000028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85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985.94000000000028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85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985.94000000000028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85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985.94000000000028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85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985.94000000000028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85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985.94000000000028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85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985.94000000000028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85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985.94000000000028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85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985.94000000000028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85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985.94000000000028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85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985.94000000000028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85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985.94000000000028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85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985.94000000000028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85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985.94000000000028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85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985.94000000000028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85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985.94000000000028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85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985.94000000000028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85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985.94000000000028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85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985.94000000000028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985.94000000000028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985.94000000000028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985.94000000000028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985.94000000000028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985.94000000000028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985.94000000000028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985.94000000000028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985.94000000000028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985.94000000000028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985.94000000000028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98</v>
      </c>
      <c r="N78" s="6">
        <f>SUM(N9:N77)</f>
        <v>1135.3899999999999</v>
      </c>
      <c r="P78" s="6">
        <f>SUM(P9:P77)</f>
        <v>1135.3899999999999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51</v>
      </c>
    </row>
    <row r="82" spans="3:16" ht="15.75" thickBot="1" x14ac:dyDescent="0.3"/>
    <row r="83" spans="3:16" ht="15.75" thickBot="1" x14ac:dyDescent="0.3">
      <c r="C83" s="1218" t="s">
        <v>11</v>
      </c>
      <c r="D83" s="1219"/>
      <c r="E83" s="57">
        <f>E5+E6-F78+E7</f>
        <v>2.2737367544323206E-13</v>
      </c>
      <c r="F83" s="73"/>
      <c r="M83" s="1218" t="s">
        <v>11</v>
      </c>
      <c r="N83" s="1219"/>
      <c r="O83" s="57">
        <f>O5+O6-P78+O7</f>
        <v>582.19000000000017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K1" zoomScaleNormal="100" workbookViewId="0">
      <pane ySplit="9" topLeftCell="A10" activePane="bottomLeft" state="frozen"/>
      <selection pane="bottomLeft" activeCell="O30" sqref="O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0" t="s">
        <v>218</v>
      </c>
      <c r="B1" s="1220"/>
      <c r="C1" s="1220"/>
      <c r="D1" s="1220"/>
      <c r="E1" s="1220"/>
      <c r="F1" s="1220"/>
      <c r="G1" s="1220"/>
      <c r="H1" s="11">
        <v>1</v>
      </c>
      <c r="K1" s="1216" t="s">
        <v>240</v>
      </c>
      <c r="L1" s="1216"/>
      <c r="M1" s="1216"/>
      <c r="N1" s="1216"/>
      <c r="O1" s="1216"/>
      <c r="P1" s="1216"/>
      <c r="Q1" s="12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24" t="s">
        <v>77</v>
      </c>
      <c r="C4" s="322"/>
      <c r="D4" s="248"/>
      <c r="E4" s="728"/>
      <c r="F4" s="243"/>
      <c r="G4" s="160"/>
      <c r="H4" s="160"/>
      <c r="K4" s="659"/>
      <c r="L4" s="1224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23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23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23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23"/>
      <c r="M6" s="578"/>
      <c r="N6" s="248"/>
      <c r="O6" s="729"/>
      <c r="P6" s="73"/>
      <c r="Q6" s="262">
        <f>P79</f>
        <v>6019.3600000000006</v>
      </c>
      <c r="R6" s="7">
        <f>O6-Q6+O7+O5-Q5+O4</f>
        <v>11087.55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466</v>
      </c>
      <c r="M20" s="15">
        <v>3</v>
      </c>
      <c r="N20" s="264">
        <v>75.75</v>
      </c>
      <c r="O20" s="293">
        <v>44704</v>
      </c>
      <c r="P20" s="264">
        <f t="shared" si="1"/>
        <v>75.75</v>
      </c>
      <c r="Q20" s="265" t="s">
        <v>626</v>
      </c>
      <c r="R20" s="266">
        <v>134</v>
      </c>
      <c r="S20" s="275">
        <f t="shared" si="5"/>
        <v>13284.529999999999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13284.529999999999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456</v>
      </c>
      <c r="M22" s="15">
        <v>10</v>
      </c>
      <c r="N22" s="264">
        <v>270.56</v>
      </c>
      <c r="O22" s="293">
        <v>44706</v>
      </c>
      <c r="P22" s="264">
        <f t="shared" si="1"/>
        <v>270.56</v>
      </c>
      <c r="Q22" s="265" t="s">
        <v>638</v>
      </c>
      <c r="R22" s="266">
        <v>134</v>
      </c>
      <c r="S22" s="275">
        <f t="shared" si="5"/>
        <v>13013.97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455</v>
      </c>
      <c r="M23" s="15">
        <v>1</v>
      </c>
      <c r="N23" s="264">
        <v>25.45</v>
      </c>
      <c r="O23" s="293">
        <v>44706</v>
      </c>
      <c r="P23" s="264">
        <f t="shared" si="1"/>
        <v>25.45</v>
      </c>
      <c r="Q23" s="265" t="s">
        <v>643</v>
      </c>
      <c r="R23" s="266">
        <v>134</v>
      </c>
      <c r="S23" s="275">
        <f t="shared" si="5"/>
        <v>12988.519999999999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425</v>
      </c>
      <c r="M24" s="15">
        <v>30</v>
      </c>
      <c r="N24" s="264">
        <v>879.35</v>
      </c>
      <c r="O24" s="293">
        <v>44706</v>
      </c>
      <c r="P24" s="264">
        <f t="shared" si="1"/>
        <v>879.35</v>
      </c>
      <c r="Q24" s="265" t="s">
        <v>645</v>
      </c>
      <c r="R24" s="1078">
        <v>139</v>
      </c>
      <c r="S24" s="275">
        <f t="shared" si="5"/>
        <v>12109.169999999998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424</v>
      </c>
      <c r="M25" s="15">
        <v>1</v>
      </c>
      <c r="N25" s="264">
        <v>24.49</v>
      </c>
      <c r="O25" s="293">
        <v>44709</v>
      </c>
      <c r="P25" s="264">
        <f t="shared" si="1"/>
        <v>24.49</v>
      </c>
      <c r="Q25" s="265" t="s">
        <v>675</v>
      </c>
      <c r="R25" s="266">
        <v>134</v>
      </c>
      <c r="S25" s="275">
        <f t="shared" si="5"/>
        <v>12084.679999999998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419</v>
      </c>
      <c r="M26" s="15">
        <v>5</v>
      </c>
      <c r="N26" s="264">
        <v>145.82</v>
      </c>
      <c r="O26" s="293">
        <v>44709</v>
      </c>
      <c r="P26" s="264">
        <f t="shared" si="1"/>
        <v>145.82</v>
      </c>
      <c r="Q26" s="265" t="s">
        <v>676</v>
      </c>
      <c r="R26" s="266">
        <v>134</v>
      </c>
      <c r="S26" s="275">
        <f t="shared" si="5"/>
        <v>11938.859999999999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389</v>
      </c>
      <c r="M27" s="15">
        <v>30</v>
      </c>
      <c r="N27" s="264">
        <v>851.31</v>
      </c>
      <c r="O27" s="293">
        <v>44709</v>
      </c>
      <c r="P27" s="264">
        <f t="shared" si="1"/>
        <v>851.31</v>
      </c>
      <c r="Q27" s="265" t="s">
        <v>677</v>
      </c>
      <c r="R27" s="266">
        <v>134</v>
      </c>
      <c r="S27" s="275">
        <f t="shared" si="5"/>
        <v>11087.55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389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11087.55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389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11087.55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389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11087.55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389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11087.55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389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11087.55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389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11087.55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389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11087.55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389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11087.55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389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11087.55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389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11087.55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389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11087.55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389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11087.55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389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11087.55</v>
      </c>
    </row>
    <row r="41" spans="1:19" x14ac:dyDescent="0.25">
      <c r="A41" s="122"/>
      <c r="B41" s="83">
        <f t="shared" si="2"/>
        <v>151</v>
      </c>
      <c r="C41" s="15">
        <v>30</v>
      </c>
      <c r="D41" s="1042">
        <v>887.88</v>
      </c>
      <c r="E41" s="1043">
        <v>44684</v>
      </c>
      <c r="F41" s="1042">
        <f t="shared" si="0"/>
        <v>887.88</v>
      </c>
      <c r="G41" s="1036" t="s">
        <v>370</v>
      </c>
      <c r="H41" s="1037">
        <v>139</v>
      </c>
      <c r="I41" s="275">
        <f t="shared" si="3"/>
        <v>4610.8299999999963</v>
      </c>
      <c r="K41" s="122"/>
      <c r="L41" s="83">
        <f t="shared" si="4"/>
        <v>389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11087.55</v>
      </c>
    </row>
    <row r="42" spans="1:19" x14ac:dyDescent="0.25">
      <c r="A42" s="122"/>
      <c r="B42" s="83">
        <f t="shared" si="2"/>
        <v>150</v>
      </c>
      <c r="C42" s="15">
        <v>1</v>
      </c>
      <c r="D42" s="1042">
        <v>30.75</v>
      </c>
      <c r="E42" s="1043">
        <v>44686</v>
      </c>
      <c r="F42" s="1042">
        <f t="shared" si="0"/>
        <v>30.75</v>
      </c>
      <c r="G42" s="1036" t="s">
        <v>389</v>
      </c>
      <c r="H42" s="1037">
        <v>139</v>
      </c>
      <c r="I42" s="275">
        <f t="shared" si="3"/>
        <v>4580.0799999999963</v>
      </c>
      <c r="K42" s="122"/>
      <c r="L42" s="83">
        <f t="shared" si="4"/>
        <v>389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11087.55</v>
      </c>
    </row>
    <row r="43" spans="1:19" x14ac:dyDescent="0.25">
      <c r="A43" s="122"/>
      <c r="B43" s="83">
        <f t="shared" si="2"/>
        <v>120</v>
      </c>
      <c r="C43" s="15">
        <v>30</v>
      </c>
      <c r="D43" s="1042">
        <v>909.94</v>
      </c>
      <c r="E43" s="1043">
        <v>44687</v>
      </c>
      <c r="F43" s="1042">
        <f t="shared" si="0"/>
        <v>909.94</v>
      </c>
      <c r="G43" s="1036" t="s">
        <v>401</v>
      </c>
      <c r="H43" s="1037">
        <v>139</v>
      </c>
      <c r="I43" s="275">
        <f t="shared" si="3"/>
        <v>3670.1399999999962</v>
      </c>
      <c r="K43" s="122"/>
      <c r="L43" s="83">
        <f t="shared" si="4"/>
        <v>389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11087.55</v>
      </c>
    </row>
    <row r="44" spans="1:19" x14ac:dyDescent="0.25">
      <c r="A44" s="122"/>
      <c r="B44" s="83">
        <f t="shared" si="2"/>
        <v>115</v>
      </c>
      <c r="C44" s="15">
        <v>5</v>
      </c>
      <c r="D44" s="1042">
        <v>147.41999999999999</v>
      </c>
      <c r="E44" s="1043">
        <v>44688</v>
      </c>
      <c r="F44" s="1042">
        <f t="shared" si="0"/>
        <v>147.41999999999999</v>
      </c>
      <c r="G44" s="1036" t="s">
        <v>407</v>
      </c>
      <c r="H44" s="1037">
        <v>139</v>
      </c>
      <c r="I44" s="275">
        <f t="shared" si="3"/>
        <v>3522.7199999999962</v>
      </c>
      <c r="K44" s="122"/>
      <c r="L44" s="83">
        <f t="shared" si="4"/>
        <v>389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11087.55</v>
      </c>
    </row>
    <row r="45" spans="1:19" x14ac:dyDescent="0.25">
      <c r="A45" s="122"/>
      <c r="B45" s="83">
        <f t="shared" si="2"/>
        <v>110</v>
      </c>
      <c r="C45" s="15">
        <v>5</v>
      </c>
      <c r="D45" s="1042">
        <v>162.19999999999999</v>
      </c>
      <c r="E45" s="1043">
        <v>44688</v>
      </c>
      <c r="F45" s="1042">
        <f t="shared" si="0"/>
        <v>162.19999999999999</v>
      </c>
      <c r="G45" s="1036" t="s">
        <v>414</v>
      </c>
      <c r="H45" s="1037">
        <v>139</v>
      </c>
      <c r="I45" s="275">
        <f t="shared" si="3"/>
        <v>3360.5199999999963</v>
      </c>
      <c r="K45" s="122"/>
      <c r="L45" s="83">
        <f t="shared" si="4"/>
        <v>389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11087.55</v>
      </c>
    </row>
    <row r="46" spans="1:19" x14ac:dyDescent="0.25">
      <c r="A46" s="122"/>
      <c r="B46" s="83">
        <f t="shared" si="2"/>
        <v>109</v>
      </c>
      <c r="C46" s="15">
        <v>1</v>
      </c>
      <c r="D46" s="1042">
        <v>24.4</v>
      </c>
      <c r="E46" s="1043">
        <v>44688</v>
      </c>
      <c r="F46" s="1042">
        <f t="shared" si="0"/>
        <v>24.4</v>
      </c>
      <c r="G46" s="1036" t="s">
        <v>418</v>
      </c>
      <c r="H46" s="1037">
        <v>139</v>
      </c>
      <c r="I46" s="275">
        <f t="shared" si="3"/>
        <v>3336.1199999999963</v>
      </c>
      <c r="K46" s="122"/>
      <c r="L46" s="83">
        <f t="shared" si="4"/>
        <v>389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11087.55</v>
      </c>
    </row>
    <row r="47" spans="1:19" x14ac:dyDescent="0.25">
      <c r="A47" s="122"/>
      <c r="B47" s="83">
        <f t="shared" si="2"/>
        <v>79</v>
      </c>
      <c r="C47" s="15">
        <v>30</v>
      </c>
      <c r="D47" s="1042">
        <v>929.72</v>
      </c>
      <c r="E47" s="1043">
        <v>44688</v>
      </c>
      <c r="F47" s="1042">
        <f t="shared" si="0"/>
        <v>929.72</v>
      </c>
      <c r="G47" s="1036" t="s">
        <v>421</v>
      </c>
      <c r="H47" s="1037">
        <v>139</v>
      </c>
      <c r="I47" s="275">
        <f t="shared" si="3"/>
        <v>2406.399999999996</v>
      </c>
      <c r="K47" s="122"/>
      <c r="L47" s="83">
        <f t="shared" si="4"/>
        <v>389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11087.55</v>
      </c>
    </row>
    <row r="48" spans="1:19" x14ac:dyDescent="0.25">
      <c r="A48" s="122"/>
      <c r="B48" s="83">
        <f t="shared" si="2"/>
        <v>75</v>
      </c>
      <c r="C48" s="15">
        <v>4</v>
      </c>
      <c r="D48" s="1042">
        <v>112.63</v>
      </c>
      <c r="E48" s="1043">
        <v>44690</v>
      </c>
      <c r="F48" s="1042">
        <f t="shared" si="0"/>
        <v>112.63</v>
      </c>
      <c r="G48" s="1036" t="s">
        <v>423</v>
      </c>
      <c r="H48" s="1037">
        <v>139</v>
      </c>
      <c r="I48" s="275">
        <f t="shared" si="3"/>
        <v>2293.7699999999959</v>
      </c>
      <c r="K48" s="122"/>
      <c r="L48" s="83">
        <f t="shared" si="4"/>
        <v>389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11087.55</v>
      </c>
    </row>
    <row r="49" spans="1:20" x14ac:dyDescent="0.25">
      <c r="A49" s="122"/>
      <c r="B49" s="83">
        <f t="shared" si="2"/>
        <v>73</v>
      </c>
      <c r="C49" s="15">
        <v>2</v>
      </c>
      <c r="D49" s="1042">
        <v>52.2</v>
      </c>
      <c r="E49" s="1043">
        <v>44690</v>
      </c>
      <c r="F49" s="1042">
        <f t="shared" si="0"/>
        <v>52.2</v>
      </c>
      <c r="G49" s="1036" t="s">
        <v>425</v>
      </c>
      <c r="H49" s="1037">
        <v>139</v>
      </c>
      <c r="I49" s="275">
        <f t="shared" si="3"/>
        <v>2241.5699999999961</v>
      </c>
      <c r="K49" s="122"/>
      <c r="L49" s="83">
        <f t="shared" si="4"/>
        <v>389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11087.55</v>
      </c>
    </row>
    <row r="50" spans="1:20" x14ac:dyDescent="0.25">
      <c r="A50" s="122"/>
      <c r="B50" s="83">
        <f t="shared" si="2"/>
        <v>43</v>
      </c>
      <c r="C50" s="15">
        <v>30</v>
      </c>
      <c r="D50" s="1042">
        <v>899.1</v>
      </c>
      <c r="E50" s="1043">
        <v>44690</v>
      </c>
      <c r="F50" s="1042">
        <f t="shared" si="0"/>
        <v>899.1</v>
      </c>
      <c r="G50" s="1036" t="s">
        <v>431</v>
      </c>
      <c r="H50" s="1037">
        <v>139</v>
      </c>
      <c r="I50" s="275">
        <f t="shared" si="3"/>
        <v>1342.4699999999962</v>
      </c>
      <c r="K50" s="122"/>
      <c r="L50" s="83">
        <f t="shared" si="4"/>
        <v>389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11087.55</v>
      </c>
    </row>
    <row r="51" spans="1:20" x14ac:dyDescent="0.25">
      <c r="A51" s="122"/>
      <c r="B51" s="83">
        <f t="shared" si="2"/>
        <v>13</v>
      </c>
      <c r="C51" s="15">
        <v>30</v>
      </c>
      <c r="D51" s="1042">
        <v>945.87</v>
      </c>
      <c r="E51" s="1043">
        <v>44690</v>
      </c>
      <c r="F51" s="1042">
        <f t="shared" si="0"/>
        <v>945.87</v>
      </c>
      <c r="G51" s="1036" t="s">
        <v>431</v>
      </c>
      <c r="H51" s="1037">
        <v>139</v>
      </c>
      <c r="I51" s="275">
        <f t="shared" si="3"/>
        <v>396.59999999999616</v>
      </c>
      <c r="K51" s="122"/>
      <c r="L51" s="83">
        <f t="shared" si="4"/>
        <v>389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11087.55</v>
      </c>
    </row>
    <row r="52" spans="1:20" x14ac:dyDescent="0.25">
      <c r="A52" s="122"/>
      <c r="B52" s="83">
        <f t="shared" si="2"/>
        <v>8</v>
      </c>
      <c r="C52" s="15">
        <v>5</v>
      </c>
      <c r="D52" s="1042">
        <v>147.83000000000001</v>
      </c>
      <c r="E52" s="1043">
        <v>44694</v>
      </c>
      <c r="F52" s="1042">
        <f t="shared" si="0"/>
        <v>147.83000000000001</v>
      </c>
      <c r="G52" s="1036" t="s">
        <v>476</v>
      </c>
      <c r="H52" s="1037">
        <v>139</v>
      </c>
      <c r="I52" s="275">
        <f t="shared" si="3"/>
        <v>248.76999999999614</v>
      </c>
      <c r="K52" s="122"/>
      <c r="L52" s="83">
        <f t="shared" si="4"/>
        <v>389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11087.55</v>
      </c>
    </row>
    <row r="53" spans="1:20" x14ac:dyDescent="0.25">
      <c r="A53" s="122"/>
      <c r="B53" s="83">
        <f t="shared" si="2"/>
        <v>5</v>
      </c>
      <c r="C53" s="15">
        <v>3</v>
      </c>
      <c r="D53" s="1042">
        <v>96.52</v>
      </c>
      <c r="E53" s="1043">
        <v>44694</v>
      </c>
      <c r="F53" s="1042">
        <f t="shared" si="0"/>
        <v>96.52</v>
      </c>
      <c r="G53" s="1036" t="s">
        <v>455</v>
      </c>
      <c r="H53" s="1037">
        <v>139</v>
      </c>
      <c r="I53" s="275">
        <f t="shared" si="3"/>
        <v>152.24999999999613</v>
      </c>
      <c r="K53" s="122"/>
      <c r="L53" s="83">
        <f t="shared" si="4"/>
        <v>389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11087.55</v>
      </c>
    </row>
    <row r="54" spans="1:20" x14ac:dyDescent="0.25">
      <c r="A54" s="122"/>
      <c r="B54" s="83">
        <f t="shared" si="2"/>
        <v>0</v>
      </c>
      <c r="C54" s="15">
        <v>5</v>
      </c>
      <c r="D54" s="1042">
        <v>152.54</v>
      </c>
      <c r="E54" s="1043">
        <v>44695</v>
      </c>
      <c r="F54" s="1042">
        <f t="shared" si="0"/>
        <v>152.54</v>
      </c>
      <c r="G54" s="1036" t="s">
        <v>478</v>
      </c>
      <c r="H54" s="1037">
        <v>139</v>
      </c>
      <c r="I54" s="275">
        <f t="shared" si="3"/>
        <v>-0.29000000000385739</v>
      </c>
      <c r="K54" s="122"/>
      <c r="L54" s="83">
        <f t="shared" si="4"/>
        <v>389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11087.55</v>
      </c>
    </row>
    <row r="55" spans="1:20" x14ac:dyDescent="0.25">
      <c r="A55" s="122"/>
      <c r="B55" s="83">
        <f t="shared" si="2"/>
        <v>0</v>
      </c>
      <c r="C55" s="15"/>
      <c r="D55" s="1042"/>
      <c r="E55" s="1043"/>
      <c r="F55" s="1060">
        <f t="shared" si="0"/>
        <v>0</v>
      </c>
      <c r="G55" s="1061"/>
      <c r="H55" s="1062"/>
      <c r="I55" s="1074">
        <f t="shared" si="3"/>
        <v>-0.29000000000385739</v>
      </c>
      <c r="J55" s="240"/>
      <c r="K55" s="122"/>
      <c r="L55" s="83">
        <f t="shared" si="4"/>
        <v>389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11087.55</v>
      </c>
      <c r="T55" s="240"/>
    </row>
    <row r="56" spans="1:20" x14ac:dyDescent="0.25">
      <c r="A56" s="122"/>
      <c r="B56" s="83">
        <f t="shared" si="2"/>
        <v>0</v>
      </c>
      <c r="C56" s="15"/>
      <c r="D56" s="1042"/>
      <c r="E56" s="1043"/>
      <c r="F56" s="1060">
        <f t="shared" si="0"/>
        <v>0</v>
      </c>
      <c r="G56" s="1061"/>
      <c r="H56" s="1062"/>
      <c r="I56" s="1074">
        <f t="shared" si="3"/>
        <v>-0.29000000000385739</v>
      </c>
      <c r="J56" s="240"/>
      <c r="K56" s="122"/>
      <c r="L56" s="83">
        <f t="shared" si="4"/>
        <v>389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11087.55</v>
      </c>
      <c r="T56" s="240"/>
    </row>
    <row r="57" spans="1:20" x14ac:dyDescent="0.25">
      <c r="A57" s="122"/>
      <c r="B57" s="83">
        <f t="shared" si="2"/>
        <v>0</v>
      </c>
      <c r="C57" s="15"/>
      <c r="D57" s="1042"/>
      <c r="E57" s="1043"/>
      <c r="F57" s="1060">
        <f t="shared" si="0"/>
        <v>0</v>
      </c>
      <c r="G57" s="1061"/>
      <c r="H57" s="1062"/>
      <c r="I57" s="1074">
        <f t="shared" si="3"/>
        <v>-0.29000000000385739</v>
      </c>
      <c r="J57" s="240"/>
      <c r="K57" s="122"/>
      <c r="L57" s="83">
        <f t="shared" si="4"/>
        <v>389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11087.55</v>
      </c>
      <c r="T57" s="240"/>
    </row>
    <row r="58" spans="1:20" x14ac:dyDescent="0.25">
      <c r="A58" s="122"/>
      <c r="B58" s="296">
        <f t="shared" si="2"/>
        <v>0</v>
      </c>
      <c r="C58" s="15"/>
      <c r="D58" s="1042"/>
      <c r="E58" s="1043"/>
      <c r="F58" s="1060">
        <v>0</v>
      </c>
      <c r="G58" s="1061"/>
      <c r="H58" s="1062"/>
      <c r="I58" s="1074">
        <f t="shared" si="3"/>
        <v>-0.29000000000385739</v>
      </c>
      <c r="J58" s="240"/>
      <c r="K58" s="122"/>
      <c r="L58" s="296">
        <f t="shared" si="4"/>
        <v>389</v>
      </c>
      <c r="M58" s="15"/>
      <c r="N58" s="264"/>
      <c r="O58" s="293"/>
      <c r="P58" s="264">
        <v>0</v>
      </c>
      <c r="Q58" s="265"/>
      <c r="R58" s="266"/>
      <c r="S58" s="275">
        <f t="shared" si="5"/>
        <v>11087.55</v>
      </c>
      <c r="T58" s="240"/>
    </row>
    <row r="59" spans="1:20" x14ac:dyDescent="0.25">
      <c r="A59" s="122"/>
      <c r="B59" s="296">
        <f t="shared" si="2"/>
        <v>0</v>
      </c>
      <c r="C59" s="15"/>
      <c r="D59" s="1042"/>
      <c r="E59" s="1043"/>
      <c r="F59" s="1042">
        <f t="shared" si="0"/>
        <v>0</v>
      </c>
      <c r="G59" s="1036"/>
      <c r="H59" s="1037"/>
      <c r="I59" s="275">
        <f t="shared" si="3"/>
        <v>-0.29000000000385739</v>
      </c>
      <c r="J59" s="240"/>
      <c r="K59" s="122"/>
      <c r="L59" s="296">
        <f t="shared" si="4"/>
        <v>389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11087.55</v>
      </c>
      <c r="T59" s="240"/>
    </row>
    <row r="60" spans="1:20" x14ac:dyDescent="0.25">
      <c r="A60" s="122"/>
      <c r="B60" s="296">
        <f t="shared" si="2"/>
        <v>0</v>
      </c>
      <c r="C60" s="15"/>
      <c r="D60" s="1042"/>
      <c r="E60" s="1043"/>
      <c r="F60" s="1042">
        <f t="shared" si="0"/>
        <v>0</v>
      </c>
      <c r="G60" s="1036"/>
      <c r="H60" s="1037"/>
      <c r="I60" s="275">
        <f t="shared" si="3"/>
        <v>-0.29000000000385739</v>
      </c>
      <c r="J60" s="240"/>
      <c r="K60" s="122"/>
      <c r="L60" s="296">
        <f t="shared" si="4"/>
        <v>389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11087.55</v>
      </c>
      <c r="T60" s="240"/>
    </row>
    <row r="61" spans="1:20" x14ac:dyDescent="0.25">
      <c r="A61" s="122"/>
      <c r="B61" s="296">
        <f t="shared" si="2"/>
        <v>0</v>
      </c>
      <c r="C61" s="15"/>
      <c r="D61" s="1042"/>
      <c r="E61" s="1043"/>
      <c r="F61" s="1042">
        <f t="shared" si="0"/>
        <v>0</v>
      </c>
      <c r="G61" s="1036"/>
      <c r="H61" s="1037"/>
      <c r="I61" s="275">
        <f t="shared" si="3"/>
        <v>-0.29000000000385739</v>
      </c>
      <c r="J61" s="240"/>
      <c r="K61" s="122"/>
      <c r="L61" s="296">
        <f t="shared" si="4"/>
        <v>389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11087.55</v>
      </c>
      <c r="T61" s="240"/>
    </row>
    <row r="62" spans="1:20" x14ac:dyDescent="0.25">
      <c r="A62" s="122"/>
      <c r="B62" s="296">
        <f t="shared" si="2"/>
        <v>0</v>
      </c>
      <c r="C62" s="15"/>
      <c r="D62" s="1042"/>
      <c r="E62" s="1043"/>
      <c r="F62" s="1042">
        <f t="shared" si="0"/>
        <v>0</v>
      </c>
      <c r="G62" s="1036"/>
      <c r="H62" s="1037"/>
      <c r="I62" s="275">
        <f t="shared" si="3"/>
        <v>-0.29000000000385739</v>
      </c>
      <c r="K62" s="122"/>
      <c r="L62" s="296">
        <f t="shared" si="4"/>
        <v>389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11087.55</v>
      </c>
    </row>
    <row r="63" spans="1:20" x14ac:dyDescent="0.25">
      <c r="A63" s="122"/>
      <c r="B63" s="296">
        <f t="shared" si="2"/>
        <v>0</v>
      </c>
      <c r="C63" s="15"/>
      <c r="D63" s="1042"/>
      <c r="E63" s="1043"/>
      <c r="F63" s="1042">
        <f t="shared" si="0"/>
        <v>0</v>
      </c>
      <c r="G63" s="1036"/>
      <c r="H63" s="1037"/>
      <c r="I63" s="275">
        <f t="shared" si="3"/>
        <v>-0.29000000000385739</v>
      </c>
      <c r="K63" s="122"/>
      <c r="L63" s="296">
        <f t="shared" si="4"/>
        <v>389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11087.55</v>
      </c>
    </row>
    <row r="64" spans="1:20" x14ac:dyDescent="0.25">
      <c r="A64" s="122"/>
      <c r="B64" s="296">
        <f t="shared" si="2"/>
        <v>0</v>
      </c>
      <c r="C64" s="15"/>
      <c r="D64" s="1042"/>
      <c r="E64" s="1043"/>
      <c r="F64" s="1042">
        <f t="shared" si="0"/>
        <v>0</v>
      </c>
      <c r="G64" s="1036"/>
      <c r="H64" s="1037"/>
      <c r="I64" s="275">
        <f t="shared" si="3"/>
        <v>-0.29000000000385739</v>
      </c>
      <c r="K64" s="122"/>
      <c r="L64" s="296">
        <f t="shared" si="4"/>
        <v>389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11087.55</v>
      </c>
    </row>
    <row r="65" spans="1:19" x14ac:dyDescent="0.25">
      <c r="A65" s="122"/>
      <c r="B65" s="296">
        <f t="shared" si="2"/>
        <v>0</v>
      </c>
      <c r="C65" s="15"/>
      <c r="D65" s="1042"/>
      <c r="E65" s="1043"/>
      <c r="F65" s="1042">
        <f t="shared" si="0"/>
        <v>0</v>
      </c>
      <c r="G65" s="1036"/>
      <c r="H65" s="1037"/>
      <c r="I65" s="275">
        <f t="shared" si="3"/>
        <v>-0.29000000000385739</v>
      </c>
      <c r="K65" s="122"/>
      <c r="L65" s="296">
        <f t="shared" si="4"/>
        <v>389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11087.55</v>
      </c>
    </row>
    <row r="66" spans="1:19" x14ac:dyDescent="0.25">
      <c r="A66" s="122"/>
      <c r="B66" s="296">
        <f t="shared" si="2"/>
        <v>0</v>
      </c>
      <c r="C66" s="15"/>
      <c r="D66" s="1042"/>
      <c r="E66" s="1043"/>
      <c r="F66" s="1042">
        <f t="shared" si="0"/>
        <v>0</v>
      </c>
      <c r="G66" s="1036"/>
      <c r="H66" s="1037"/>
      <c r="I66" s="275">
        <f t="shared" si="3"/>
        <v>-0.29000000000385739</v>
      </c>
      <c r="K66" s="122"/>
      <c r="L66" s="296">
        <f t="shared" si="4"/>
        <v>389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11087.55</v>
      </c>
    </row>
    <row r="67" spans="1:19" x14ac:dyDescent="0.25">
      <c r="A67" s="122"/>
      <c r="B67" s="296">
        <f t="shared" si="2"/>
        <v>0</v>
      </c>
      <c r="C67" s="15"/>
      <c r="D67" s="1042"/>
      <c r="E67" s="1043"/>
      <c r="F67" s="1042">
        <f t="shared" si="0"/>
        <v>0</v>
      </c>
      <c r="G67" s="1036"/>
      <c r="H67" s="1037"/>
      <c r="I67" s="275">
        <f t="shared" si="3"/>
        <v>-0.29000000000385739</v>
      </c>
      <c r="K67" s="122"/>
      <c r="L67" s="296">
        <f t="shared" si="4"/>
        <v>389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11087.55</v>
      </c>
    </row>
    <row r="68" spans="1:19" x14ac:dyDescent="0.25">
      <c r="A68" s="122"/>
      <c r="B68" s="296">
        <f t="shared" si="2"/>
        <v>0</v>
      </c>
      <c r="C68" s="15"/>
      <c r="D68" s="1032"/>
      <c r="E68" s="1053"/>
      <c r="F68" s="1032">
        <f t="shared" si="0"/>
        <v>0</v>
      </c>
      <c r="G68" s="1033"/>
      <c r="H68" s="1034"/>
      <c r="I68" s="275">
        <f t="shared" si="3"/>
        <v>-0.29000000000385739</v>
      </c>
      <c r="K68" s="122"/>
      <c r="L68" s="296">
        <f t="shared" si="4"/>
        <v>389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11087.55</v>
      </c>
    </row>
    <row r="69" spans="1:19" x14ac:dyDescent="0.25">
      <c r="A69" s="122"/>
      <c r="B69" s="296">
        <f t="shared" si="2"/>
        <v>0</v>
      </c>
      <c r="C69" s="15"/>
      <c r="D69" s="1032"/>
      <c r="E69" s="1053"/>
      <c r="F69" s="1032">
        <f t="shared" si="0"/>
        <v>0</v>
      </c>
      <c r="G69" s="1033"/>
      <c r="H69" s="1034"/>
      <c r="I69" s="275">
        <f t="shared" si="3"/>
        <v>-0.29000000000385739</v>
      </c>
      <c r="K69" s="122"/>
      <c r="L69" s="296">
        <f t="shared" si="4"/>
        <v>389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11087.55</v>
      </c>
    </row>
    <row r="70" spans="1:19" x14ac:dyDescent="0.25">
      <c r="A70" s="122"/>
      <c r="B70" s="296">
        <f t="shared" si="2"/>
        <v>0</v>
      </c>
      <c r="C70" s="15"/>
      <c r="D70" s="1032"/>
      <c r="E70" s="1053"/>
      <c r="F70" s="1032">
        <f t="shared" si="0"/>
        <v>0</v>
      </c>
      <c r="G70" s="1033"/>
      <c r="H70" s="1034"/>
      <c r="I70" s="275">
        <f t="shared" si="3"/>
        <v>-0.29000000000385739</v>
      </c>
      <c r="K70" s="122"/>
      <c r="L70" s="296">
        <f t="shared" si="4"/>
        <v>389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11087.55</v>
      </c>
    </row>
    <row r="71" spans="1:19" x14ac:dyDescent="0.25">
      <c r="A71" s="122"/>
      <c r="B71" s="296">
        <f t="shared" si="2"/>
        <v>0</v>
      </c>
      <c r="C71" s="15"/>
      <c r="D71" s="1032"/>
      <c r="E71" s="1053"/>
      <c r="F71" s="1032">
        <f t="shared" si="0"/>
        <v>0</v>
      </c>
      <c r="G71" s="1033"/>
      <c r="H71" s="1034"/>
      <c r="I71" s="275">
        <f t="shared" si="3"/>
        <v>-0.29000000000385739</v>
      </c>
      <c r="K71" s="122"/>
      <c r="L71" s="296">
        <f t="shared" si="4"/>
        <v>389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11087.55</v>
      </c>
    </row>
    <row r="72" spans="1:19" x14ac:dyDescent="0.25">
      <c r="A72" s="122"/>
      <c r="B72" s="296">
        <f t="shared" si="2"/>
        <v>0</v>
      </c>
      <c r="C72" s="15"/>
      <c r="D72" s="1032"/>
      <c r="E72" s="1053"/>
      <c r="F72" s="1032">
        <f t="shared" si="0"/>
        <v>0</v>
      </c>
      <c r="G72" s="1033"/>
      <c r="H72" s="1034"/>
      <c r="I72" s="275">
        <f t="shared" si="3"/>
        <v>-0.29000000000385739</v>
      </c>
      <c r="K72" s="122"/>
      <c r="L72" s="296">
        <f t="shared" si="4"/>
        <v>389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11087.55</v>
      </c>
    </row>
    <row r="73" spans="1:19" x14ac:dyDescent="0.25">
      <c r="A73" s="122"/>
      <c r="B73" s="296">
        <f t="shared" si="2"/>
        <v>0</v>
      </c>
      <c r="C73" s="15"/>
      <c r="D73" s="1032"/>
      <c r="E73" s="1053"/>
      <c r="F73" s="1032">
        <f t="shared" si="0"/>
        <v>0</v>
      </c>
      <c r="G73" s="1033"/>
      <c r="H73" s="1034"/>
      <c r="I73" s="275">
        <f t="shared" si="3"/>
        <v>-0.29000000000385739</v>
      </c>
      <c r="K73" s="122"/>
      <c r="L73" s="296">
        <f t="shared" si="4"/>
        <v>389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11087.55</v>
      </c>
    </row>
    <row r="74" spans="1:19" x14ac:dyDescent="0.25">
      <c r="A74" s="122"/>
      <c r="B74" s="296">
        <f t="shared" si="2"/>
        <v>0</v>
      </c>
      <c r="C74" s="15"/>
      <c r="D74" s="1032"/>
      <c r="E74" s="1053"/>
      <c r="F74" s="1032">
        <f t="shared" ref="F74" si="7">D74</f>
        <v>0</v>
      </c>
      <c r="G74" s="1033"/>
      <c r="H74" s="1034"/>
      <c r="I74" s="275">
        <f t="shared" si="3"/>
        <v>-0.29000000000385739</v>
      </c>
      <c r="K74" s="122"/>
      <c r="L74" s="296">
        <f t="shared" si="4"/>
        <v>389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11087.55</v>
      </c>
    </row>
    <row r="75" spans="1:19" x14ac:dyDescent="0.25">
      <c r="A75" s="122"/>
      <c r="B75" s="83">
        <f t="shared" si="2"/>
        <v>0</v>
      </c>
      <c r="C75" s="15"/>
      <c r="D75" s="1032"/>
      <c r="E75" s="1053"/>
      <c r="F75" s="1032">
        <f>D75</f>
        <v>0</v>
      </c>
      <c r="G75" s="1033"/>
      <c r="H75" s="1034"/>
      <c r="I75" s="275">
        <f t="shared" si="3"/>
        <v>-0.29000000000385739</v>
      </c>
      <c r="K75" s="122"/>
      <c r="L75" s="83">
        <f t="shared" si="4"/>
        <v>389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11087.55</v>
      </c>
    </row>
    <row r="76" spans="1:19" x14ac:dyDescent="0.25">
      <c r="A76" s="122"/>
      <c r="B76" s="83">
        <f t="shared" ref="B76" si="8">B75-C76</f>
        <v>0</v>
      </c>
      <c r="C76" s="15"/>
      <c r="D76" s="1032"/>
      <c r="E76" s="1053"/>
      <c r="F76" s="1032">
        <f>D76</f>
        <v>0</v>
      </c>
      <c r="G76" s="1033"/>
      <c r="H76" s="1034"/>
      <c r="I76" s="275">
        <f t="shared" ref="I76:I77" si="9">I75-F76</f>
        <v>-0.29000000000385739</v>
      </c>
      <c r="K76" s="122"/>
      <c r="L76" s="83">
        <f t="shared" ref="L76" si="10">L75-M76</f>
        <v>389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11087.55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11087.55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212</v>
      </c>
      <c r="N79" s="6">
        <f>SUM(N10:N78)</f>
        <v>6019.3600000000006</v>
      </c>
      <c r="P79" s="6">
        <f>SUM(P10:P78)</f>
        <v>6019.3600000000006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389</v>
      </c>
    </row>
    <row r="83" spans="3:16" ht="15.75" thickBot="1" x14ac:dyDescent="0.3"/>
    <row r="84" spans="3:16" ht="15.75" thickBot="1" x14ac:dyDescent="0.3">
      <c r="C84" s="1218" t="s">
        <v>11</v>
      </c>
      <c r="D84" s="1219"/>
      <c r="E84" s="57">
        <f>E5+E6-F79+E7</f>
        <v>-0.29000000000087311</v>
      </c>
      <c r="F84" s="73"/>
      <c r="M84" s="1218" t="s">
        <v>11</v>
      </c>
      <c r="N84" s="1219"/>
      <c r="O84" s="57">
        <f>O5+O6-P79+O7</f>
        <v>11087.55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10"/>
      <c r="B5" s="1225" t="s">
        <v>84</v>
      </c>
      <c r="C5" s="271"/>
      <c r="D5" s="248"/>
      <c r="E5" s="259"/>
      <c r="F5" s="253"/>
      <c r="G5" s="260"/>
    </row>
    <row r="6" spans="1:9" x14ac:dyDescent="0.25">
      <c r="A6" s="1210"/>
      <c r="B6" s="1225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10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18" t="s">
        <v>11</v>
      </c>
      <c r="D40" s="121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10"/>
      <c r="B5" s="1226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10"/>
      <c r="B6" s="1226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8" t="s">
        <v>11</v>
      </c>
      <c r="D40" s="121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2022-06-13T20:24:16Z</dcterms:modified>
</cp:coreProperties>
</file>