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2610" yWindow="900" windowWidth="17400" windowHeight="10110" firstSheet="14" activeTab="1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   A G O S T O     2 0 2 3     " sheetId="17" r:id="rId15"/>
    <sheet name="  COMPRAS  AGOSTO   20 23      " sheetId="18" r:id="rId16"/>
    <sheet name="Hoja3" sheetId="19" r:id="rId17"/>
    <sheet name="Hoja1" sheetId="20" r:id="rId18"/>
    <sheet name="PAGOS SEPTIEMBRE    " sheetId="21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" i="17" l="1"/>
  <c r="P41" i="17" s="1"/>
  <c r="M40" i="17"/>
  <c r="P40" i="17" s="1"/>
  <c r="M39" i="17"/>
  <c r="P39" i="17" s="1"/>
  <c r="M38" i="17"/>
  <c r="P38" i="17" s="1"/>
  <c r="P37" i="17"/>
  <c r="M37" i="17"/>
  <c r="M36" i="17" l="1"/>
  <c r="M35" i="17"/>
  <c r="M34" i="17"/>
  <c r="M33" i="17"/>
  <c r="M32" i="17"/>
  <c r="M31" i="17"/>
  <c r="M30" i="17"/>
  <c r="M29" i="17"/>
  <c r="M28" i="17" l="1"/>
  <c r="M27" i="17"/>
  <c r="M25" i="17"/>
  <c r="M26" i="17"/>
  <c r="M18" i="17"/>
  <c r="M19" i="17"/>
  <c r="M20" i="17"/>
  <c r="M21" i="17"/>
  <c r="M22" i="17"/>
  <c r="M23" i="17"/>
  <c r="M24" i="17"/>
  <c r="M17" i="17"/>
  <c r="M16" i="17"/>
  <c r="M15" i="17"/>
  <c r="M14" i="17"/>
  <c r="M13" i="17"/>
  <c r="M12" i="17"/>
  <c r="M11" i="17"/>
  <c r="R9" i="17"/>
  <c r="R10" i="17"/>
  <c r="M10" i="17"/>
  <c r="M9" i="17"/>
  <c r="M8" i="17"/>
  <c r="R6" i="17"/>
  <c r="R7" i="17"/>
  <c r="R37" i="17"/>
  <c r="R38" i="17"/>
  <c r="R39" i="17"/>
  <c r="R40" i="17"/>
  <c r="R41" i="17"/>
  <c r="M7" i="17"/>
  <c r="R5" i="17"/>
  <c r="M6" i="17"/>
  <c r="M5" i="17"/>
  <c r="E79" i="18" l="1"/>
  <c r="C79" i="18"/>
  <c r="J3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66" i="17"/>
  <c r="L60" i="17"/>
  <c r="I60" i="17"/>
  <c r="F60" i="17"/>
  <c r="C60" i="17"/>
  <c r="Q58" i="17"/>
  <c r="Q57" i="17"/>
  <c r="N56" i="17"/>
  <c r="P55" i="17"/>
  <c r="Q55" i="17" s="1"/>
  <c r="Q54" i="17"/>
  <c r="Q53" i="17"/>
  <c r="P36" i="17"/>
  <c r="R36" i="17" s="1"/>
  <c r="P35" i="17"/>
  <c r="R35" i="17" s="1"/>
  <c r="P34" i="17"/>
  <c r="R34" i="17" s="1"/>
  <c r="P33" i="17"/>
  <c r="R33" i="17" s="1"/>
  <c r="P32" i="17"/>
  <c r="R32" i="17" s="1"/>
  <c r="P31" i="17"/>
  <c r="R31" i="17" s="1"/>
  <c r="P30" i="17"/>
  <c r="R30" i="17" s="1"/>
  <c r="P29" i="17"/>
  <c r="R29" i="17" s="1"/>
  <c r="P28" i="17"/>
  <c r="R28" i="17" s="1"/>
  <c r="P27" i="17"/>
  <c r="R27" i="17" s="1"/>
  <c r="P26" i="17"/>
  <c r="R26" i="17" s="1"/>
  <c r="P25" i="17"/>
  <c r="R25" i="17" s="1"/>
  <c r="P24" i="17"/>
  <c r="R24" i="17" s="1"/>
  <c r="P23" i="17"/>
  <c r="R23" i="17" s="1"/>
  <c r="P22" i="17"/>
  <c r="R22" i="17" s="1"/>
  <c r="P21" i="17"/>
  <c r="R21" i="17" s="1"/>
  <c r="P20" i="17"/>
  <c r="R20" i="17" s="1"/>
  <c r="P19" i="17"/>
  <c r="R19" i="17" s="1"/>
  <c r="P18" i="17"/>
  <c r="R18" i="17" s="1"/>
  <c r="P17" i="17"/>
  <c r="R17" i="17" s="1"/>
  <c r="P16" i="17"/>
  <c r="R16" i="17" s="1"/>
  <c r="P15" i="17"/>
  <c r="R15" i="17" s="1"/>
  <c r="P14" i="17"/>
  <c r="R14" i="17" s="1"/>
  <c r="P13" i="17"/>
  <c r="R13" i="17" s="1"/>
  <c r="P12" i="17"/>
  <c r="R12" i="17" s="1"/>
  <c r="P11" i="17"/>
  <c r="R11" i="17" s="1"/>
  <c r="P10" i="17"/>
  <c r="P9" i="17"/>
  <c r="P8" i="17"/>
  <c r="R8" i="17" s="1"/>
  <c r="P7" i="17"/>
  <c r="P6" i="17"/>
  <c r="P5" i="17"/>
  <c r="K62" i="17" l="1"/>
  <c r="F63" i="17" s="1"/>
  <c r="F66" i="17" s="1"/>
  <c r="K64" i="17" s="1"/>
  <c r="K68" i="17" s="1"/>
  <c r="Q56" i="17"/>
  <c r="R56" i="17"/>
  <c r="M56" i="17"/>
  <c r="P56" i="17" s="1"/>
  <c r="M32" i="15"/>
  <c r="M62" i="17" l="1"/>
  <c r="M31" i="15"/>
  <c r="M30" i="15"/>
  <c r="M29" i="15"/>
  <c r="M28" i="15" l="1"/>
  <c r="M27" i="15"/>
  <c r="M26" i="15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M11" i="15"/>
  <c r="M10" i="15" l="1"/>
  <c r="M9" i="15"/>
  <c r="M8" i="15"/>
  <c r="Q37" i="15"/>
  <c r="Q38" i="15"/>
  <c r="Q39" i="15"/>
  <c r="Q40" i="15"/>
  <c r="Q41" i="15"/>
  <c r="Q42" i="15"/>
  <c r="Q43" i="15"/>
  <c r="Q46" i="15"/>
  <c r="Q4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Q44" i="15" s="1"/>
  <c r="P36" i="15"/>
  <c r="Q36" i="15" s="1"/>
  <c r="P35" i="15"/>
  <c r="Q35" i="15" s="1"/>
  <c r="P34" i="15"/>
  <c r="Q34" i="15" s="1"/>
  <c r="P33" i="15"/>
  <c r="Q33" i="15" s="1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1" i="15" s="1"/>
  <c r="P10" i="15"/>
  <c r="Q10" i="15" s="1"/>
  <c r="P9" i="15"/>
  <c r="P8" i="15"/>
  <c r="Q8" i="15" s="1"/>
  <c r="P7" i="15"/>
  <c r="Q7" i="15" s="1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7" i="13" l="1"/>
  <c r="Q38" i="13"/>
  <c r="Q39" i="13"/>
  <c r="Q40" i="13"/>
  <c r="Q41" i="13"/>
  <c r="Q42" i="13"/>
  <c r="Q43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Q44" i="13" s="1"/>
  <c r="P36" i="13"/>
  <c r="P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Q45" i="13" l="1"/>
  <c r="K51" i="13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41" i="11" l="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8" i="9"/>
  <c r="P39" i="9"/>
  <c r="P40" i="9"/>
  <c r="M37" i="9"/>
  <c r="P37" i="9" s="1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Q7" i="5" s="1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<sst xmlns="http://schemas.openxmlformats.org/spreadsheetml/2006/main" count="890" uniqueCount="499">
  <si>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</si>
  <si>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</si>
  <si>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</si>
  <si>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</si>
  <si>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</si>
  <si>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</si>
  <si>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</si>
  <si>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</si>
  <si>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</si>
  <si>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</si>
  <si>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</si>
  <si>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</si>
  <si>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</si>
  <si>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</si>
  <si>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</si>
  <si>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</si>
  <si>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</si>
  <si>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</si>
  <si>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</si>
  <si>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</si>
  <si>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</si>
  <si>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</si>
  <si>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</si>
  <si>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</si>
  <si>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</si>
  <si>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</si>
  <si>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</si>
  <si>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</si>
  <si>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</si>
  <si>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</si>
  <si>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</si>
  <si>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</si>
  <si>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</si>
  <si>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</si>
  <si>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</si>
  <si>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</si>
  <si>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</si>
  <si>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</si>
  <si>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</si>
  <si>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</si>
  <si>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</si>
  <si>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</si>
  <si>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</si>
  <si>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</si>
  <si>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</si>
  <si>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</si>
  <si>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</si>
  <si>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</si>
  <si>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</si>
  <si>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</si>
  <si>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</si>
  <si>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</si>
  <si>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</si>
  <si>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</si>
  <si>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</si>
  <si>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</si>
  <si>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</si>
  <si>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</si>
  <si>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</si>
  <si>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</si>
  <si>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</si>
  <si>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</si>
  <si>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</si>
  <si>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</si>
  <si>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</si>
  <si>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</si>
  <si>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</si>
  <si>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</si>
  <si>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</si>
  <si>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</si>
  <si>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</si>
  <si>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</si>
  <si>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</si>
  <si>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</si>
  <si>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</si>
  <si>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</si>
  <si>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</si>
  <si>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</si>
  <si>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</si>
  <si>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</si>
  <si>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</si>
  <si>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</si>
  <si>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</si>
  <si>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</si>
  <si>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</si>
  <si>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</si>
  <si>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</si>
  <si>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</si>
  <si>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</si>
  <si>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</si>
  <si>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</si>
  <si>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</si>
  <si>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</si>
  <si>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</si>
  <si>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</si>
  <si>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</si>
  <si>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</si>
  <si>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</si>
  <si>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</si>
  <si>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</si>
  <si>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</si>
  <si>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</si>
  <si>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</si>
  <si>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</si>
  <si>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</si>
  <si>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</si>
  <si>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</si>
  <si>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</si>
  <si>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</si>
  <si>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</si>
  <si>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</si>
  <si>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</si>
  <si>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</si>
  <si>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</si>
  <si>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</si>
  <si>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</si>
  <si>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</si>
  <si>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</si>
  <si>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</si>
  <si>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</si>
  <si>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</si>
  <si>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</si>
  <si>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</si>
  <si>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</si>
  <si>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</si>
  <si>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</si>
  <si>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</si>
  <si>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</si>
  <si>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</si>
  <si>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</si>
  <si>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</si>
  <si>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</si>
  <si>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</si>
  <si>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</si>
  <si>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</si>
  <si>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</si>
  <si>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</si>
  <si>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</si>
  <si>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</si>
  <si>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</si>
  <si>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</si>
  <si>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</si>
  <si>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</si>
  <si>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</si>
  <si>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</si>
  <si>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</si>
  <si>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</si>
  <si>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</si>
  <si>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</si>
  <si>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</si>
  <si>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</si>
  <si>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</si>
  <si>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</si>
  <si>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</si>
  <si>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</si>
  <si>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</si>
  <si>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</si>
  <si>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</si>
  <si>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</si>
  <si>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</si>
  <si>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</si>
  <si>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</si>
  <si>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</si>
  <si>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</si>
  <si>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</si>
  <si>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</si>
  <si>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</si>
  <si>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</si>
  <si>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</si>
  <si>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</si>
  <si>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</si>
  <si>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</si>
  <si>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</si>
  <si>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</si>
  <si>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</si>
  <si>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</si>
  <si>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</si>
  <si>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</si>
  <si>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</si>
  <si>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</si>
  <si>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</si>
  <si>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</si>
  <si>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</si>
  <si>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</si>
  <si>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</si>
  <si>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</si>
  <si>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</si>
  <si>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</si>
  <si>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</si>
  <si>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</si>
  <si>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</si>
  <si>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</si>
  <si>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</si>
  <si>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</si>
  <si>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</si>
  <si>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</si>
  <si>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</si>
  <si>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</si>
  <si>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</si>
  <si>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</si>
  <si>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</si>
  <si>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</si>
  <si>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</si>
  <si>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</si>
  <si>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</si>
  <si>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</si>
  <si>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</si>
  <si>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</si>
  <si>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</si>
  <si>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</si>
  <si>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</si>
  <si>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</si>
  <si>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</si>
  <si>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</si>
  <si>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</si>
  <si>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</si>
  <si>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</si>
  <si>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</si>
  <si>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</si>
  <si>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</si>
  <si>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</si>
  <si>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</si>
  <si>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</si>
  <si>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</si>
  <si>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</si>
  <si>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</si>
  <si>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</si>
  <si>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</si>
  <si>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</si>
  <si>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</si>
  <si>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</si>
  <si>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</si>
  <si>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</si>
  <si>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</si>
  <si>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</si>
  <si>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</si>
  <si>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</si>
  <si>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</si>
  <si>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</si>
  <si>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</si>
  <si>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</si>
  <si>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</si>
  <si>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</si>
  <si>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</si>
  <si>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</si>
  <si>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</si>
  <si>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</si>
  <si>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</si>
  <si>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</si>
  <si>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</si>
  <si>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</si>
  <si>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</si>
  <si>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</si>
  <si>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</si>
  <si>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</si>
  <si>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</si>
  <si>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</si>
  <si>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</si>
  <si>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</si>
  <si>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</si>
  <si>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</si>
  <si>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</si>
  <si>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</si>
  <si>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</si>
  <si>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</si>
  <si>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</si>
  <si>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</si>
  <si>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</si>
  <si>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</si>
  <si>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</si>
  <si>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</si>
  <si>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</si>
  <si>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</si>
  <si>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</si>
  <si>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</si>
  <si>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</si>
  <si>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</si>
  <si>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</si>
  <si>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</si>
  <si>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</si>
  <si>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</si>
  <si>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</si>
  <si>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</si>
  <si>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</si>
  <si>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</si>
  <si>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</si>
  <si>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</si>
  <si>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</si>
  <si>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</si>
  <si>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</si>
  <si>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</si>
  <si>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</si>
  <si>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</si>
  <si>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</si>
  <si>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</si>
  <si>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</si>
  <si>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</si>
  <si>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</si>
  <si>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</si>
  <si>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</si>
  <si>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</si>
  <si>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</si>
  <si>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</si>
  <si>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</si>
  <si>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</si>
  <si>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</si>
  <si>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</si>
  <si>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</si>
  <si>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</si>
  <si>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</si>
  <si>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</si>
  <si>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</si>
  <si>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</si>
  <si>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</si>
  <si>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</si>
  <si>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</si>
  <si>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</si>
  <si>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</si>
  <si>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</si>
  <si>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</si>
  <si>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</si>
  <si>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</si>
  <si>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</si>
  <si>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</si>
  <si>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</si>
  <si>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</si>
  <si>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</si>
  <si>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</si>
  <si>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</si>
  <si>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</si>
  <si>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</si>
  <si>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</si>
  <si>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</si>
  <si>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</si>
  <si>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</si>
  <si>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</si>
  <si>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</si>
  <si>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</si>
  <si>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</si>
  <si>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</si>
  <si>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</si>
  <si>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</si>
  <si>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</si>
  <si>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</si>
  <si>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</si>
  <si>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</si>
  <si>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</si>
  <si>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</si>
  <si>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</si>
  <si>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</si>
  <si>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</si>
  <si>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</si>
  <si>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</si>
  <si>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</si>
  <si>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</si>
  <si>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</si>
  <si>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</si>
  <si>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</si>
  <si>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</si>
  <si>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</si>
  <si>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</si>
  <si>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</si>
  <si>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</si>
  <si>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</si>
  <si>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</si>
  <si>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</si>
  <si>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</si>
  <si>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</si>
  <si>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</si>
  <si>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</si>
  <si>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</si>
  <si>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</si>
  <si>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</si>
  <si>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</si>
  <si>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</si>
  <si>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</si>
  <si>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</si>
  <si>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</si>
  <si>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</si>
  <si>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</si>
  <si>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</si>
  <si>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</si>
  <si>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</si>
  <si>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</si>
  <si>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</si>
  <si>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</si>
  <si>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</si>
  <si>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</si>
  <si>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</si>
  <si>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</si>
  <si>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</si>
  <si>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</si>
  <si>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</si>
  <si>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</si>
  <si>
    <t>15304 E</t>
  </si>
  <si>
    <t>15348 E</t>
  </si>
  <si>
    <t>15501 E</t>
  </si>
  <si>
    <t>15578 E</t>
  </si>
  <si>
    <t>15735 E</t>
  </si>
  <si>
    <t>15751 E</t>
  </si>
  <si>
    <t>15780 E</t>
  </si>
  <si>
    <t>15785 E</t>
  </si>
  <si>
    <t>15956 E</t>
  </si>
  <si>
    <t>15825 E</t>
  </si>
  <si>
    <t>16008 E</t>
  </si>
  <si>
    <t>16078 E</t>
  </si>
  <si>
    <t>16124 E</t>
  </si>
  <si>
    <t>16182 E</t>
  </si>
  <si>
    <t>16252 E</t>
  </si>
  <si>
    <t>16253 E</t>
  </si>
  <si>
    <t>16351 E</t>
  </si>
  <si>
    <t>16502 E</t>
  </si>
  <si>
    <t>16566 E</t>
  </si>
  <si>
    <t>16567 E</t>
  </si>
  <si>
    <t>16569 E</t>
  </si>
  <si>
    <t>16654 E</t>
  </si>
  <si>
    <t>16740 E</t>
  </si>
  <si>
    <t>167587 E</t>
  </si>
  <si>
    <t>16758 E</t>
  </si>
  <si>
    <t>16831 E</t>
  </si>
  <si>
    <t>16833 E</t>
  </si>
  <si>
    <t>16836 E</t>
  </si>
  <si>
    <t>16882 E</t>
  </si>
  <si>
    <t>16986 E</t>
  </si>
  <si>
    <t>16987 E</t>
  </si>
  <si>
    <t>17005 E</t>
  </si>
  <si>
    <t>17006 E</t>
  </si>
  <si>
    <t>17079 E</t>
  </si>
  <si>
    <t>17082 E</t>
  </si>
  <si>
    <t>17243 E</t>
  </si>
  <si>
    <t>17244 E</t>
  </si>
  <si>
    <t>17245 E</t>
  </si>
  <si>
    <t>17277 E</t>
  </si>
  <si>
    <t>17278 E</t>
  </si>
  <si>
    <t>17426 E</t>
  </si>
  <si>
    <t>17427 E</t>
  </si>
  <si>
    <t>17438 E</t>
  </si>
  <si>
    <t>17439 E</t>
  </si>
  <si>
    <t>17465 E</t>
  </si>
  <si>
    <t>17516 E</t>
  </si>
  <si>
    <t>17682 E</t>
  </si>
  <si>
    <t>17683 E</t>
  </si>
  <si>
    <t>17815 E</t>
  </si>
  <si>
    <t>17822 E</t>
  </si>
  <si>
    <t>17842 E</t>
  </si>
  <si>
    <t>17922 E</t>
  </si>
  <si>
    <t>17923 E</t>
  </si>
  <si>
    <t>17951 E</t>
  </si>
  <si>
    <t>18064 E</t>
  </si>
  <si>
    <t>18065 E</t>
  </si>
  <si>
    <t>18074 E</t>
  </si>
  <si>
    <t>BALANCE      ABASTO 4 CARNES    H E R R A D U R A    AGOSTO       2 0 2 3</t>
  </si>
  <si>
    <t>EXTINTOR Rec</t>
  </si>
  <si>
    <t>GUARDIA</t>
  </si>
  <si>
    <t>XXXXXX</t>
  </si>
  <si>
    <t>Cargo Seguro</t>
  </si>
  <si>
    <t>Aduana ACCE23-08</t>
  </si>
  <si>
    <t>Flete ACCSE23-08</t>
  </si>
  <si>
    <t>F-3577  combos</t>
  </si>
  <si>
    <t>REMISIOENS</t>
  </si>
  <si>
    <t>ADUANA  ACCSE23-09</t>
  </si>
  <si>
    <t>F-1012</t>
  </si>
  <si>
    <t>FLETE      ACCSE23-09</t>
  </si>
  <si>
    <t>F-C300</t>
  </si>
  <si>
    <t xml:space="preserve">GUARDIA  </t>
  </si>
  <si>
    <t>F-908</t>
  </si>
  <si>
    <t>VECTOR  ACCSE23-10</t>
  </si>
  <si>
    <t>F-2218992</t>
  </si>
  <si>
    <t>F-807</t>
  </si>
  <si>
    <t>SEGURO DE  ACCSE23-08</t>
  </si>
  <si>
    <t>F-D-6495</t>
  </si>
  <si>
    <t>PAGOS REMISIONES</t>
  </si>
  <si>
    <t>NLP</t>
  </si>
  <si>
    <t>ADUANA   ACCSE23-10</t>
  </si>
  <si>
    <t>F-1069</t>
  </si>
  <si>
    <t>FLETE       ACCSE23-10</t>
  </si>
  <si>
    <t>VECTOR   ACCSE23-12</t>
  </si>
  <si>
    <t>F-2224377</t>
  </si>
  <si>
    <t>ADT  PRIVATE</t>
  </si>
  <si>
    <t>MAESCY SEGUROS ACCSE23-06-----ACCSE23-07   ZAVALETA</t>
  </si>
  <si>
    <t>F-4959</t>
  </si>
  <si>
    <t xml:space="preserve">debe zavaleta a herradura </t>
  </si>
  <si>
    <t>ACCSE23-01</t>
  </si>
  <si>
    <t>ADUANA ACCSE23-01</t>
  </si>
  <si>
    <t>FLETE  ACCSE23-01</t>
  </si>
  <si>
    <t>Rollos termicos</t>
  </si>
  <si>
    <t>ACCSE23-03</t>
  </si>
  <si>
    <t>ADUANA ACCSE23-03</t>
  </si>
  <si>
    <t>FLETE  ACCSE23-03</t>
  </si>
  <si>
    <t>ACCSE23-08</t>
  </si>
  <si>
    <t>ACCSE23-09</t>
  </si>
  <si>
    <t>longaniza</t>
  </si>
  <si>
    <t xml:space="preserve">compras central </t>
  </si>
  <si>
    <t>NOMINA # 31</t>
  </si>
  <si>
    <t xml:space="preserve">                                                                                   </t>
  </si>
  <si>
    <t>salsa-perigil</t>
  </si>
  <si>
    <t>NOMINA # 33</t>
  </si>
  <si>
    <t>NOMINA # 34</t>
  </si>
  <si>
    <t>NOMINA #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</si>
</sst>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5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8" xfId="0" applyNumberFormat="1" applyFont="1" applyBorder="1"/>
    <xf numFmtId="44" fontId="2" fillId="0" borderId="19" xfId="1" applyFont="1" applyFill="1" applyBorder="1"/>
    <xf numFmtId="15" fontId="2" fillId="0" borderId="20" xfId="0" applyNumberFormat="1" applyFont="1" applyBorder="1"/>
    <xf numFmtId="44" fontId="2" fillId="0" borderId="21" xfId="1" applyFont="1" applyFill="1" applyBorder="1"/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6" fontId="20" fillId="0" borderId="10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Border="1"/>
    <xf numFmtId="0" fontId="5" fillId="0" borderId="24" xfId="0" applyFont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Border="1"/>
    <xf numFmtId="166" fontId="22" fillId="0" borderId="10" xfId="0" applyNumberFormat="1" applyFont="1" applyBorder="1"/>
    <xf numFmtId="16" fontId="2" fillId="0" borderId="24" xfId="0" applyNumberFormat="1" applyFont="1" applyBorder="1"/>
    <xf numFmtId="165" fontId="21" fillId="0" borderId="26" xfId="0" applyNumberFormat="1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Border="1"/>
    <xf numFmtId="0" fontId="23" fillId="0" borderId="24" xfId="0" applyFont="1" applyBorder="1" applyAlignment="1">
      <alignment wrapText="1"/>
    </xf>
    <xf numFmtId="166" fontId="5" fillId="0" borderId="10" xfId="0" applyNumberFormat="1" applyFont="1" applyBorder="1"/>
    <xf numFmtId="0" fontId="23" fillId="0" borderId="24" xfId="0" applyFont="1" applyBorder="1"/>
    <xf numFmtId="16" fontId="24" fillId="0" borderId="26" xfId="0" applyNumberFormat="1" applyFont="1" applyBorder="1"/>
    <xf numFmtId="0" fontId="23" fillId="0" borderId="27" xfId="0" applyFont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Border="1" applyAlignment="1">
      <alignment horizontal="left"/>
    </xf>
    <xf numFmtId="16" fontId="5" fillId="0" borderId="26" xfId="0" applyNumberFormat="1" applyFont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21" fillId="0" borderId="26" xfId="0" applyFont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166" fontId="18" fillId="0" borderId="31" xfId="0" applyNumberFormat="1" applyFont="1" applyBorder="1"/>
    <xf numFmtId="16" fontId="2" fillId="0" borderId="27" xfId="0" applyNumberFormat="1" applyFont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Border="1"/>
    <xf numFmtId="44" fontId="5" fillId="0" borderId="25" xfId="1" applyFont="1" applyFill="1" applyBorder="1"/>
    <xf numFmtId="166" fontId="22" fillId="0" borderId="24" xfId="0" applyNumberFormat="1" applyFont="1" applyBorder="1"/>
    <xf numFmtId="0" fontId="5" fillId="0" borderId="24" xfId="0" applyFont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Border="1"/>
    <xf numFmtId="44" fontId="5" fillId="0" borderId="24" xfId="1" applyFont="1" applyFill="1" applyBorder="1"/>
    <xf numFmtId="166" fontId="18" fillId="0" borderId="24" xfId="0" applyNumberFormat="1" applyFont="1" applyBorder="1"/>
    <xf numFmtId="0" fontId="13" fillId="0" borderId="0" xfId="0" applyFont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22" fillId="0" borderId="24" xfId="0" applyFont="1" applyBorder="1" applyAlignment="1">
      <alignment horizontal="left" vertical="center"/>
    </xf>
    <xf numFmtId="16" fontId="18" fillId="0" borderId="24" xfId="0" applyNumberFormat="1" applyFont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Border="1"/>
    <xf numFmtId="0" fontId="26" fillId="0" borderId="32" xfId="0" applyFont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0" fillId="0" borderId="24" xfId="0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15" fontId="2" fillId="0" borderId="44" xfId="0" applyNumberFormat="1" applyFont="1" applyBorder="1"/>
    <xf numFmtId="15" fontId="2" fillId="0" borderId="24" xfId="0" applyNumberFormat="1" applyFont="1" applyBorder="1"/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Border="1"/>
    <xf numFmtId="49" fontId="3" fillId="0" borderId="59" xfId="0" applyNumberFormat="1" applyFont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0" fillId="0" borderId="24" xfId="0" applyFont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8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Border="1"/>
    <xf numFmtId="16" fontId="3" fillId="0" borderId="24" xfId="0" applyNumberFormat="1" applyFont="1" applyBorder="1"/>
    <xf numFmtId="165" fontId="3" fillId="0" borderId="26" xfId="0" applyNumberFormat="1" applyFont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Border="1" applyAlignment="1">
      <alignment wrapText="1"/>
    </xf>
    <xf numFmtId="16" fontId="50" fillId="0" borderId="26" xfId="0" applyNumberFormat="1" applyFont="1" applyBorder="1"/>
    <xf numFmtId="0" fontId="3" fillId="0" borderId="27" xfId="0" applyFont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165" fontId="3" fillId="0" borderId="7" xfId="0" applyNumberFormat="1" applyFont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Border="1" applyAlignment="1">
      <alignment horizontal="left"/>
    </xf>
    <xf numFmtId="0" fontId="13" fillId="0" borderId="24" xfId="0" applyFont="1" applyBorder="1"/>
    <xf numFmtId="44" fontId="13" fillId="0" borderId="25" xfId="1" applyFont="1" applyFill="1" applyBorder="1"/>
    <xf numFmtId="0" fontId="13" fillId="0" borderId="24" xfId="0" applyFont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Border="1" applyAlignment="1">
      <alignment horizontal="center" wrapText="1"/>
    </xf>
    <xf numFmtId="0" fontId="13" fillId="0" borderId="24" xfId="0" applyFont="1" applyBorder="1" applyAlignment="1">
      <alignment horizontal="left" vertical="center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Border="1" applyAlignment="1">
      <alignment horizontal="left" vertical="center"/>
    </xf>
    <xf numFmtId="16" fontId="13" fillId="0" borderId="24" xfId="0" applyNumberFormat="1" applyFont="1" applyBorder="1" applyAlignment="1">
      <alignment horizontal="center"/>
    </xf>
    <xf numFmtId="49" fontId="3" fillId="0" borderId="69" xfId="0" applyNumberFormat="1" applyFont="1" applyBorder="1"/>
    <xf numFmtId="49" fontId="3" fillId="0" borderId="70" xfId="0" applyNumberFormat="1" applyFont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Border="1" applyAlignment="1">
      <alignment horizontal="center"/>
    </xf>
    <xf numFmtId="15" fontId="3" fillId="0" borderId="69" xfId="0" applyNumberFormat="1" applyFont="1" applyBorder="1" applyAlignment="1">
      <alignment horizontal="center"/>
    </xf>
    <xf numFmtId="0" fontId="25" fillId="0" borderId="24" xfId="0" applyFont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" fontId="13" fillId="0" borderId="0" xfId="0" applyNumberFormat="1" applyFont="1" applyAlignment="1">
      <alignment horizontal="left" wrapText="1"/>
    </xf>
    <xf numFmtId="165" fontId="37" fillId="7" borderId="55" xfId="0" applyNumberFormat="1" applyFont="1" applyFill="1" applyBorder="1" applyAlignment="1">
      <alignment horizontal="left" vertical="center"/>
    </xf>
    <xf numFmtId="165" fontId="3" fillId="0" borderId="69" xfId="0" applyNumberFormat="1" applyFont="1" applyBorder="1" applyAlignment="1">
      <alignment horizontal="center"/>
    </xf>
    <xf numFmtId="165" fontId="48" fillId="0" borderId="24" xfId="0" applyNumberFormat="1" applyFont="1" applyBorder="1" applyAlignment="1">
      <alignment horizontal="center"/>
    </xf>
    <xf numFmtId="165" fontId="40" fillId="0" borderId="24" xfId="0" applyNumberFormat="1" applyFont="1" applyBorder="1" applyAlignment="1">
      <alignment horizontal="center"/>
    </xf>
    <xf numFmtId="165" fontId="40" fillId="0" borderId="61" xfId="0" applyNumberFormat="1" applyFont="1" applyBorder="1" applyAlignment="1">
      <alignment horizontal="center"/>
    </xf>
    <xf numFmtId="49" fontId="3" fillId="0" borderId="70" xfId="0" applyNumberFormat="1" applyFont="1" applyBorder="1" applyAlignment="1">
      <alignment horizontal="center"/>
    </xf>
    <xf numFmtId="165" fontId="13" fillId="10" borderId="24" xfId="1" applyNumberFormat="1" applyFont="1" applyFill="1" applyBorder="1" applyAlignment="1">
      <alignment horizontal="center"/>
    </xf>
    <xf numFmtId="16" fontId="5" fillId="10" borderId="24" xfId="0" applyNumberFormat="1" applyFont="1" applyFill="1" applyBorder="1" applyAlignment="1">
      <alignment horizontal="left" wrapText="1"/>
    </xf>
    <xf numFmtId="44" fontId="13" fillId="10" borderId="25" xfId="1" applyFont="1" applyFill="1" applyBorder="1"/>
    <xf numFmtId="16" fontId="3" fillId="0" borderId="0" xfId="0" applyNumberFormat="1" applyFont="1"/>
    <xf numFmtId="0" fontId="3" fillId="9" borderId="0" xfId="0" applyFont="1" applyFill="1" applyAlignment="1">
      <alignment wrapText="1"/>
    </xf>
    <xf numFmtId="44" fontId="14" fillId="4" borderId="0" xfId="1" applyFont="1" applyFill="1"/>
    <xf numFmtId="0" fontId="2" fillId="9" borderId="0" xfId="0" applyFont="1" applyFill="1"/>
    <xf numFmtId="0" fontId="0" fillId="9" borderId="0" xfId="0" applyFill="1"/>
    <xf numFmtId="44" fontId="13" fillId="4" borderId="0" xfId="1" applyFont="1" applyFill="1"/>
    <xf numFmtId="44" fontId="13" fillId="4" borderId="24" xfId="1" applyFont="1" applyFill="1" applyBorder="1"/>
    <xf numFmtId="44" fontId="2" fillId="7" borderId="17" xfId="1" applyFont="1" applyFill="1" applyBorder="1"/>
    <xf numFmtId="166" fontId="5" fillId="7" borderId="24" xfId="0" applyNumberFormat="1" applyFont="1" applyFill="1" applyBorder="1"/>
    <xf numFmtId="166" fontId="13" fillId="7" borderId="24" xfId="0" applyNumberFormat="1" applyFont="1" applyFill="1" applyBorder="1"/>
    <xf numFmtId="0" fontId="3" fillId="0" borderId="52" xfId="0" applyFont="1" applyBorder="1" applyAlignment="1">
      <alignment horizontal="left"/>
    </xf>
    <xf numFmtId="44" fontId="19" fillId="4" borderId="22" xfId="1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6" fontId="16" fillId="7" borderId="54" xfId="1" applyNumberFormat="1" applyFont="1" applyFill="1" applyBorder="1" applyAlignment="1">
      <alignment horizontal="center"/>
    </xf>
    <xf numFmtId="44" fontId="51" fillId="10" borderId="1" xfId="1" applyFont="1" applyFill="1" applyBorder="1" applyAlignment="1">
      <alignment horizontal="center" wrapText="1"/>
    </xf>
    <xf numFmtId="44" fontId="51" fillId="10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FF66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11201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11182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103155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2018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2039600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29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37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39" t="s">
        <v>4</v>
      </c>
      <c r="F4" s="340"/>
      <c r="H4" s="341" t="s">
        <v>5</v>
      </c>
      <c r="I4" s="342"/>
      <c r="J4" s="18"/>
      <c r="K4" s="19"/>
      <c r="L4" s="20"/>
      <c r="M4" s="21" t="s">
        <v>6</v>
      </c>
      <c r="N4" s="22" t="s">
        <v>7</v>
      </c>
      <c r="P4" s="343" t="s">
        <v>8</v>
      </c>
      <c r="Q4" s="344"/>
      <c r="R4" s="338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H5" s="29">
        <v>44935</v>
      </c>
      <c r="I5" s="30">
        <v>1037.5</v>
      </c>
      <c r="J5" s="8"/>
      <c r="K5" s="2"/>
      <c r="L5" s="9"/>
      <c r="M5" s="31">
        <f>119403.5+16000</f>
        <v>135403.5</v>
      </c>
      <c r="N5" s="32">
        <v>4000</v>
      </c>
      <c r="O5" s="33"/>
      <c r="P5" s="34">
        <f>N5+M5+L5+I5+C5</f>
        <v>142001</v>
      </c>
      <c r="Q5" s="13">
        <v>0</v>
      </c>
      <c r="R5" s="209">
        <v>17090</v>
      </c>
      <c r="S5" s="33"/>
    </row>
    <row r="6" spans="1:21" ht="18" thickBot="1" x14ac:dyDescent="0.35">
      <c r="A6" s="23"/>
      <c r="B6" s="24">
        <v>44936</v>
      </c>
      <c r="C6" s="25">
        <v>0</v>
      </c>
      <c r="D6" s="35"/>
      <c r="E6" s="27">
        <v>44936</v>
      </c>
      <c r="F6" s="28">
        <v>71188</v>
      </c>
      <c r="H6" s="29">
        <v>44936</v>
      </c>
      <c r="I6" s="30">
        <v>113</v>
      </c>
      <c r="J6" s="36"/>
      <c r="K6" s="37"/>
      <c r="L6" s="38"/>
      <c r="M6" s="31">
        <v>83871</v>
      </c>
      <c r="N6" s="32">
        <v>1004</v>
      </c>
      <c r="O6" s="33"/>
      <c r="P6" s="34">
        <f>N6+M6+L6+I6+C6</f>
        <v>84988</v>
      </c>
      <c r="Q6" s="13">
        <v>0</v>
      </c>
      <c r="R6" s="209">
        <v>13800</v>
      </c>
      <c r="S6" s="33"/>
      <c r="T6" s="9"/>
    </row>
    <row r="7" spans="1:21" ht="18" thickBot="1" x14ac:dyDescent="0.35">
      <c r="A7" s="23"/>
      <c r="B7" s="24">
        <v>44937</v>
      </c>
      <c r="C7" s="25">
        <v>4414</v>
      </c>
      <c r="D7" s="39" t="s">
        <v>68</v>
      </c>
      <c r="E7" s="27">
        <v>44937</v>
      </c>
      <c r="F7" s="28">
        <v>47678</v>
      </c>
      <c r="H7" s="29">
        <v>44937</v>
      </c>
      <c r="I7" s="30">
        <v>133.5</v>
      </c>
      <c r="J7" s="36"/>
      <c r="K7" s="40"/>
      <c r="L7" s="38"/>
      <c r="M7" s="31">
        <v>42630.5</v>
      </c>
      <c r="N7" s="32">
        <v>500</v>
      </c>
      <c r="O7" s="33"/>
      <c r="P7" s="34">
        <f>N7+M7+L7+I7+C7</f>
        <v>47678</v>
      </c>
      <c r="Q7" s="13">
        <f t="shared" ref="Q7:Q48" si="0">P7-F7</f>
        <v>0</v>
      </c>
      <c r="R7" s="13">
        <v>0</v>
      </c>
      <c r="S7" s="33"/>
    </row>
    <row r="8" spans="1:21" ht="18" thickBot="1" x14ac:dyDescent="0.35">
      <c r="A8" s="23"/>
      <c r="B8" s="24">
        <v>44938</v>
      </c>
      <c r="C8" s="25">
        <v>0</v>
      </c>
      <c r="D8" s="39"/>
      <c r="E8" s="27">
        <v>44938</v>
      </c>
      <c r="F8" s="28">
        <v>64345</v>
      </c>
      <c r="H8" s="29">
        <v>44938</v>
      </c>
      <c r="I8" s="30">
        <v>101.5</v>
      </c>
      <c r="J8" s="41"/>
      <c r="K8" s="42"/>
      <c r="L8" s="38"/>
      <c r="M8" s="31">
        <f>17000+50662.5</f>
        <v>67662.5</v>
      </c>
      <c r="N8" s="32">
        <v>1207</v>
      </c>
      <c r="O8" s="33"/>
      <c r="P8" s="34">
        <f t="shared" ref="P8:P49" si="1">N8+M8+L8+I8+C8</f>
        <v>68971</v>
      </c>
      <c r="Q8" s="13">
        <v>0</v>
      </c>
      <c r="R8" s="209">
        <v>4626</v>
      </c>
      <c r="S8" s="33"/>
    </row>
    <row r="9" spans="1:21" ht="18" thickBot="1" x14ac:dyDescent="0.35">
      <c r="A9" s="23"/>
      <c r="B9" s="24">
        <v>44939</v>
      </c>
      <c r="C9" s="25">
        <v>21636</v>
      </c>
      <c r="D9" s="43" t="s">
        <v>69</v>
      </c>
      <c r="E9" s="27">
        <v>44939</v>
      </c>
      <c r="F9" s="28">
        <v>109777</v>
      </c>
      <c r="H9" s="29">
        <v>44939</v>
      </c>
      <c r="I9" s="30">
        <v>168</v>
      </c>
      <c r="J9" s="36"/>
      <c r="K9" s="44"/>
      <c r="L9" s="38"/>
      <c r="M9" s="31">
        <f>50000+37473</f>
        <v>87473</v>
      </c>
      <c r="N9" s="32">
        <v>500</v>
      </c>
      <c r="O9" s="33"/>
      <c r="P9" s="34">
        <f t="shared" si="1"/>
        <v>109777</v>
      </c>
      <c r="Q9" s="13">
        <f t="shared" si="0"/>
        <v>0</v>
      </c>
      <c r="R9" s="13">
        <v>0</v>
      </c>
      <c r="S9" s="33"/>
    </row>
    <row r="10" spans="1:21" ht="18" thickBot="1" x14ac:dyDescent="0.35">
      <c r="A10" s="23"/>
      <c r="B10" s="24">
        <v>44940</v>
      </c>
      <c r="C10" s="25">
        <v>0</v>
      </c>
      <c r="D10" s="35"/>
      <c r="E10" s="27">
        <v>44940</v>
      </c>
      <c r="F10" s="28">
        <v>59345</v>
      </c>
      <c r="H10" s="29">
        <v>44940</v>
      </c>
      <c r="I10" s="30">
        <v>374</v>
      </c>
      <c r="J10" s="36">
        <v>44940</v>
      </c>
      <c r="K10" s="45" t="s">
        <v>70</v>
      </c>
      <c r="L10" s="46">
        <v>8900</v>
      </c>
      <c r="M10" s="31">
        <f>20748+20000</f>
        <v>40748</v>
      </c>
      <c r="N10" s="32">
        <v>9323</v>
      </c>
      <c r="O10" s="33"/>
      <c r="P10" s="34">
        <f>N10+M10+L10+I10+C10</f>
        <v>59345</v>
      </c>
      <c r="Q10" s="13">
        <f t="shared" si="0"/>
        <v>0</v>
      </c>
      <c r="R10" s="13">
        <v>0</v>
      </c>
      <c r="S10" s="33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5"/>
      <c r="E11" s="27">
        <v>44941</v>
      </c>
      <c r="F11" s="28">
        <v>119768</v>
      </c>
      <c r="H11" s="29">
        <v>44941</v>
      </c>
      <c r="I11" s="30">
        <v>109</v>
      </c>
      <c r="J11" s="41"/>
      <c r="K11" s="47"/>
      <c r="L11" s="38"/>
      <c r="M11" s="31">
        <f>126400+6954</f>
        <v>133354</v>
      </c>
      <c r="N11" s="32">
        <v>4125</v>
      </c>
      <c r="O11" s="33"/>
      <c r="P11" s="34">
        <f>N11+M11+L11+I11+C11</f>
        <v>137588</v>
      </c>
      <c r="Q11" s="13">
        <v>0</v>
      </c>
      <c r="R11" s="209">
        <v>17820</v>
      </c>
      <c r="S11" s="33"/>
    </row>
    <row r="12" spans="1:21" ht="31.5" thickBot="1" x14ac:dyDescent="0.35">
      <c r="A12" s="23"/>
      <c r="B12" s="24">
        <v>44942</v>
      </c>
      <c r="C12" s="25">
        <v>0</v>
      </c>
      <c r="D12" s="35"/>
      <c r="E12" s="27">
        <v>44942</v>
      </c>
      <c r="F12" s="28">
        <v>132033</v>
      </c>
      <c r="H12" s="29">
        <v>44942</v>
      </c>
      <c r="I12" s="30">
        <v>56</v>
      </c>
      <c r="J12" s="36">
        <v>44942</v>
      </c>
      <c r="K12" s="210" t="s">
        <v>71</v>
      </c>
      <c r="L12" s="38">
        <v>2600</v>
      </c>
      <c r="M12" s="31">
        <f>21000+108337</f>
        <v>129337</v>
      </c>
      <c r="N12" s="32">
        <v>40</v>
      </c>
      <c r="O12" s="33"/>
      <c r="P12" s="34">
        <f t="shared" si="1"/>
        <v>132033</v>
      </c>
      <c r="Q12" s="13">
        <f t="shared" si="0"/>
        <v>0</v>
      </c>
      <c r="R12" s="13">
        <v>0</v>
      </c>
      <c r="S12" s="33"/>
    </row>
    <row r="13" spans="1:21" ht="18" thickBot="1" x14ac:dyDescent="0.35">
      <c r="A13" s="23"/>
      <c r="B13" s="24">
        <v>44943</v>
      </c>
      <c r="C13" s="25">
        <v>0</v>
      </c>
      <c r="D13" s="39"/>
      <c r="E13" s="27">
        <v>44943</v>
      </c>
      <c r="F13" s="28">
        <v>79932</v>
      </c>
      <c r="H13" s="29">
        <v>44943</v>
      </c>
      <c r="I13" s="30">
        <v>107</v>
      </c>
      <c r="J13" s="36"/>
      <c r="K13" s="37"/>
      <c r="L13" s="38"/>
      <c r="M13" s="31">
        <f>20000+59825</f>
        <v>79825</v>
      </c>
      <c r="N13" s="32">
        <v>0</v>
      </c>
      <c r="O13" s="33"/>
      <c r="P13" s="34">
        <f t="shared" si="1"/>
        <v>79932</v>
      </c>
      <c r="Q13" s="13">
        <f t="shared" si="0"/>
        <v>0</v>
      </c>
      <c r="R13" s="13">
        <v>0</v>
      </c>
      <c r="S13" s="33"/>
    </row>
    <row r="14" spans="1:21" ht="18" thickBot="1" x14ac:dyDescent="0.35">
      <c r="A14" s="23"/>
      <c r="B14" s="24">
        <v>44944</v>
      </c>
      <c r="C14" s="25">
        <v>0</v>
      </c>
      <c r="D14" s="43"/>
      <c r="E14" s="27">
        <v>44944</v>
      </c>
      <c r="F14" s="28">
        <v>37644</v>
      </c>
      <c r="H14" s="29">
        <v>44944</v>
      </c>
      <c r="I14" s="30">
        <v>134</v>
      </c>
      <c r="J14" s="36"/>
      <c r="K14" s="42"/>
      <c r="L14" s="38"/>
      <c r="M14" s="31">
        <v>36780</v>
      </c>
      <c r="N14" s="32">
        <v>730</v>
      </c>
      <c r="O14" s="33"/>
      <c r="P14" s="34">
        <f t="shared" si="1"/>
        <v>37644</v>
      </c>
      <c r="Q14" s="13">
        <f t="shared" si="0"/>
        <v>0</v>
      </c>
      <c r="R14" s="13">
        <v>0</v>
      </c>
      <c r="S14" s="33"/>
    </row>
    <row r="15" spans="1:21" ht="18" thickBot="1" x14ac:dyDescent="0.35">
      <c r="A15" s="23"/>
      <c r="B15" s="24">
        <v>44945</v>
      </c>
      <c r="C15" s="25">
        <v>2340</v>
      </c>
      <c r="D15" s="49" t="s">
        <v>67</v>
      </c>
      <c r="E15" s="27">
        <v>44945</v>
      </c>
      <c r="F15" s="28">
        <v>87735</v>
      </c>
      <c r="H15" s="29">
        <v>44945</v>
      </c>
      <c r="I15" s="30">
        <v>179</v>
      </c>
      <c r="J15" s="36"/>
      <c r="K15" s="42"/>
      <c r="L15" s="38"/>
      <c r="M15" s="31">
        <f>36000+49217</f>
        <v>85217</v>
      </c>
      <c r="N15" s="32">
        <v>0</v>
      </c>
      <c r="O15" s="33"/>
      <c r="P15" s="34">
        <f t="shared" si="1"/>
        <v>87736</v>
      </c>
      <c r="Q15" s="13">
        <f t="shared" si="0"/>
        <v>1</v>
      </c>
      <c r="R15" s="13">
        <v>0</v>
      </c>
      <c r="S15" s="33"/>
    </row>
    <row r="16" spans="1:21" ht="18" thickBot="1" x14ac:dyDescent="0.35">
      <c r="A16" s="23"/>
      <c r="B16" s="24">
        <v>44946</v>
      </c>
      <c r="C16" s="25">
        <v>0</v>
      </c>
      <c r="D16" s="49"/>
      <c r="E16" s="27">
        <v>44946</v>
      </c>
      <c r="F16" s="28">
        <v>81640</v>
      </c>
      <c r="H16" s="29">
        <v>44946</v>
      </c>
      <c r="I16" s="30">
        <v>327</v>
      </c>
      <c r="J16" s="36">
        <v>44946</v>
      </c>
      <c r="K16" s="211" t="s">
        <v>72</v>
      </c>
      <c r="L16" s="9">
        <v>20500</v>
      </c>
      <c r="M16" s="31">
        <f>21000+37200</f>
        <v>58200</v>
      </c>
      <c r="N16" s="32">
        <v>2613</v>
      </c>
      <c r="O16" s="33"/>
      <c r="P16" s="34">
        <f t="shared" si="1"/>
        <v>81640</v>
      </c>
      <c r="Q16" s="13">
        <f t="shared" si="0"/>
        <v>0</v>
      </c>
      <c r="R16" s="13">
        <v>0</v>
      </c>
      <c r="S16" s="33"/>
    </row>
    <row r="17" spans="1:20" ht="18" thickBot="1" x14ac:dyDescent="0.35">
      <c r="A17" s="23"/>
      <c r="B17" s="24">
        <v>44947</v>
      </c>
      <c r="C17" s="25">
        <v>0</v>
      </c>
      <c r="D17" s="43"/>
      <c r="E17" s="27">
        <v>44947</v>
      </c>
      <c r="F17" s="28">
        <v>65320</v>
      </c>
      <c r="H17" s="29">
        <v>44947</v>
      </c>
      <c r="I17" s="30">
        <v>87</v>
      </c>
      <c r="J17" s="36">
        <v>44947</v>
      </c>
      <c r="K17" s="50" t="s">
        <v>73</v>
      </c>
      <c r="L17" s="46">
        <v>10600</v>
      </c>
      <c r="M17" s="31">
        <f>23000+22677</f>
        <v>45677</v>
      </c>
      <c r="N17" s="32">
        <v>8956</v>
      </c>
      <c r="O17" s="33"/>
      <c r="P17" s="34">
        <f t="shared" si="1"/>
        <v>65320</v>
      </c>
      <c r="Q17" s="13">
        <f t="shared" si="0"/>
        <v>0</v>
      </c>
      <c r="R17" s="13">
        <v>0</v>
      </c>
      <c r="S17" s="33"/>
    </row>
    <row r="18" spans="1:20" ht="18" thickBot="1" x14ac:dyDescent="0.35">
      <c r="A18" s="23"/>
      <c r="B18" s="24">
        <v>44948</v>
      </c>
      <c r="C18" s="25">
        <v>12722</v>
      </c>
      <c r="D18" s="39" t="s">
        <v>69</v>
      </c>
      <c r="E18" s="27">
        <v>44948</v>
      </c>
      <c r="F18" s="28">
        <v>110009</v>
      </c>
      <c r="H18" s="29">
        <v>44948</v>
      </c>
      <c r="I18" s="30">
        <v>125.5</v>
      </c>
      <c r="J18" s="36"/>
      <c r="K18" s="51"/>
      <c r="L18" s="38"/>
      <c r="M18" s="31">
        <f>83100+7943.5</f>
        <v>91043.5</v>
      </c>
      <c r="N18" s="32">
        <v>6118</v>
      </c>
      <c r="O18" s="33"/>
      <c r="P18" s="34">
        <f t="shared" si="1"/>
        <v>110009</v>
      </c>
      <c r="Q18" s="13">
        <f t="shared" si="0"/>
        <v>0</v>
      </c>
      <c r="R18" s="13" t="s">
        <v>9</v>
      </c>
      <c r="S18" s="33"/>
    </row>
    <row r="19" spans="1:20" ht="18" thickBot="1" x14ac:dyDescent="0.35">
      <c r="A19" s="23"/>
      <c r="B19" s="24">
        <v>44949</v>
      </c>
      <c r="C19" s="25">
        <v>2840</v>
      </c>
      <c r="D19" s="49" t="s">
        <v>67</v>
      </c>
      <c r="E19" s="27">
        <v>44949</v>
      </c>
      <c r="F19" s="28">
        <v>64409</v>
      </c>
      <c r="H19" s="29">
        <v>44949</v>
      </c>
      <c r="I19" s="30">
        <v>25</v>
      </c>
      <c r="J19" s="36"/>
      <c r="K19" s="52"/>
      <c r="L19" s="53"/>
      <c r="M19" s="31">
        <f>9000+52544</f>
        <v>61544</v>
      </c>
      <c r="N19" s="32">
        <v>0</v>
      </c>
      <c r="O19" s="33"/>
      <c r="P19" s="34">
        <f t="shared" si="1"/>
        <v>64409</v>
      </c>
      <c r="Q19" s="13">
        <f t="shared" si="0"/>
        <v>0</v>
      </c>
      <c r="R19" s="13">
        <v>0</v>
      </c>
      <c r="S19" s="33"/>
    </row>
    <row r="20" spans="1:20" ht="18" thickBot="1" x14ac:dyDescent="0.35">
      <c r="A20" s="23"/>
      <c r="B20" s="24">
        <v>44950</v>
      </c>
      <c r="C20" s="25">
        <v>0</v>
      </c>
      <c r="D20" s="35"/>
      <c r="E20" s="27">
        <v>44950</v>
      </c>
      <c r="F20" s="28">
        <v>132246</v>
      </c>
      <c r="H20" s="29">
        <v>44950</v>
      </c>
      <c r="I20" s="30">
        <v>84</v>
      </c>
      <c r="J20" s="36"/>
      <c r="K20" s="54"/>
      <c r="L20" s="46"/>
      <c r="M20" s="31">
        <f>104034+28000</f>
        <v>132034</v>
      </c>
      <c r="N20" s="32">
        <v>128</v>
      </c>
      <c r="O20" s="33"/>
      <c r="P20" s="34">
        <f t="shared" si="1"/>
        <v>132246</v>
      </c>
      <c r="Q20" s="13">
        <f t="shared" si="0"/>
        <v>0</v>
      </c>
      <c r="R20" s="13">
        <v>0</v>
      </c>
      <c r="S20" s="33"/>
    </row>
    <row r="21" spans="1:20" ht="18" thickBot="1" x14ac:dyDescent="0.35">
      <c r="A21" s="23"/>
      <c r="B21" s="24">
        <v>44951</v>
      </c>
      <c r="C21" s="25">
        <v>2842</v>
      </c>
      <c r="D21" s="49" t="s">
        <v>74</v>
      </c>
      <c r="E21" s="27">
        <v>44951</v>
      </c>
      <c r="F21" s="28">
        <v>62087</v>
      </c>
      <c r="H21" s="29">
        <v>44951</v>
      </c>
      <c r="I21" s="30">
        <v>707</v>
      </c>
      <c r="J21" s="36"/>
      <c r="K21" s="55"/>
      <c r="L21" s="46"/>
      <c r="M21" s="31">
        <f>30984+27000</f>
        <v>57984</v>
      </c>
      <c r="N21" s="32">
        <v>554</v>
      </c>
      <c r="O21" s="33"/>
      <c r="P21" s="34">
        <f t="shared" si="1"/>
        <v>62087</v>
      </c>
      <c r="Q21" s="13">
        <f t="shared" si="0"/>
        <v>0</v>
      </c>
      <c r="R21" s="13">
        <v>0</v>
      </c>
      <c r="S21" s="33"/>
    </row>
    <row r="22" spans="1:20" ht="18" thickBot="1" x14ac:dyDescent="0.35">
      <c r="A22" s="23"/>
      <c r="B22" s="24">
        <v>44952</v>
      </c>
      <c r="C22" s="25">
        <v>0</v>
      </c>
      <c r="D22" s="35"/>
      <c r="E22" s="27">
        <v>44952</v>
      </c>
      <c r="F22" s="28">
        <v>62127</v>
      </c>
      <c r="H22" s="29">
        <v>44952</v>
      </c>
      <c r="I22" s="30">
        <v>660</v>
      </c>
      <c r="J22" s="36"/>
      <c r="K22" s="42"/>
      <c r="L22" s="56"/>
      <c r="M22" s="31">
        <f>40006+21000</f>
        <v>61006</v>
      </c>
      <c r="N22" s="32">
        <v>461</v>
      </c>
      <c r="O22" s="33"/>
      <c r="P22" s="34">
        <f t="shared" si="1"/>
        <v>62127</v>
      </c>
      <c r="Q22" s="13">
        <f t="shared" si="0"/>
        <v>0</v>
      </c>
      <c r="R22" s="13">
        <v>0</v>
      </c>
      <c r="S22" s="33"/>
    </row>
    <row r="23" spans="1:20" ht="18" thickBot="1" x14ac:dyDescent="0.35">
      <c r="A23" s="23"/>
      <c r="B23" s="24">
        <v>44953</v>
      </c>
      <c r="C23" s="25">
        <f>3340+12198</f>
        <v>15538</v>
      </c>
      <c r="D23" s="43" t="s">
        <v>75</v>
      </c>
      <c r="E23" s="27">
        <v>44953</v>
      </c>
      <c r="F23" s="28">
        <v>102367</v>
      </c>
      <c r="H23" s="29">
        <v>44953</v>
      </c>
      <c r="I23" s="30">
        <v>605</v>
      </c>
      <c r="J23" s="57"/>
      <c r="K23" s="58"/>
      <c r="L23" s="46"/>
      <c r="M23" s="31">
        <f>36224+50000</f>
        <v>86224</v>
      </c>
      <c r="N23" s="32">
        <v>0</v>
      </c>
      <c r="O23" s="33"/>
      <c r="P23" s="34">
        <f t="shared" si="1"/>
        <v>102367</v>
      </c>
      <c r="Q23" s="13">
        <f t="shared" si="0"/>
        <v>0</v>
      </c>
      <c r="R23" s="13">
        <v>0</v>
      </c>
      <c r="S23" s="33"/>
    </row>
    <row r="24" spans="1:20" ht="18" thickBot="1" x14ac:dyDescent="0.35">
      <c r="A24" s="23"/>
      <c r="B24" s="24">
        <v>44954</v>
      </c>
      <c r="C24" s="25">
        <v>0</v>
      </c>
      <c r="D24" s="39"/>
      <c r="E24" s="27">
        <v>44954</v>
      </c>
      <c r="F24" s="28">
        <v>69253</v>
      </c>
      <c r="H24" s="29">
        <v>44954</v>
      </c>
      <c r="I24" s="30">
        <v>227.5</v>
      </c>
      <c r="J24" s="59">
        <v>44954</v>
      </c>
      <c r="K24" s="60" t="s">
        <v>76</v>
      </c>
      <c r="L24" s="61">
        <v>8900</v>
      </c>
      <c r="M24" s="31">
        <f>26833.5+27000</f>
        <v>53833.5</v>
      </c>
      <c r="N24" s="32">
        <v>6292</v>
      </c>
      <c r="O24" s="33"/>
      <c r="P24" s="34">
        <f t="shared" si="1"/>
        <v>69253</v>
      </c>
      <c r="Q24" s="13">
        <f t="shared" si="0"/>
        <v>0</v>
      </c>
      <c r="R24" s="13">
        <v>0</v>
      </c>
      <c r="S24" s="33"/>
    </row>
    <row r="25" spans="1:20" ht="18" thickBot="1" x14ac:dyDescent="0.35">
      <c r="A25" s="23"/>
      <c r="B25" s="24">
        <v>44955</v>
      </c>
      <c r="C25" s="25">
        <v>0</v>
      </c>
      <c r="D25" s="35"/>
      <c r="E25" s="27">
        <v>44955</v>
      </c>
      <c r="F25" s="28">
        <v>100451</v>
      </c>
      <c r="H25" s="29">
        <v>44955</v>
      </c>
      <c r="I25" s="30">
        <v>1103</v>
      </c>
      <c r="J25" s="62"/>
      <c r="K25" s="63"/>
      <c r="L25" s="64"/>
      <c r="M25" s="31">
        <f>76750+8550+11200</f>
        <v>96500</v>
      </c>
      <c r="N25" s="32">
        <v>2848</v>
      </c>
      <c r="O25" s="33"/>
      <c r="P25" s="34">
        <f t="shared" si="1"/>
        <v>100451</v>
      </c>
      <c r="Q25" s="13">
        <f t="shared" si="0"/>
        <v>0</v>
      </c>
      <c r="R25" s="13">
        <v>0</v>
      </c>
      <c r="S25" s="33"/>
    </row>
    <row r="26" spans="1:20" ht="18" thickBot="1" x14ac:dyDescent="0.35">
      <c r="A26" s="23"/>
      <c r="B26" s="24"/>
      <c r="C26" s="25"/>
      <c r="D26" s="35"/>
      <c r="E26" s="27"/>
      <c r="F26" s="28"/>
      <c r="H26" s="29"/>
      <c r="I26" s="30"/>
      <c r="J26" s="36"/>
      <c r="K26" s="60"/>
      <c r="L26" s="46"/>
      <c r="M26" s="31">
        <v>0</v>
      </c>
      <c r="N26" s="32">
        <v>0</v>
      </c>
      <c r="O26" s="33"/>
      <c r="P26" s="34">
        <f t="shared" si="1"/>
        <v>0</v>
      </c>
      <c r="Q26" s="13">
        <f t="shared" si="0"/>
        <v>0</v>
      </c>
      <c r="R26" s="13">
        <v>0</v>
      </c>
      <c r="S26" s="33"/>
    </row>
    <row r="27" spans="1:20" ht="18" thickBot="1" x14ac:dyDescent="0.35">
      <c r="A27" s="23"/>
      <c r="B27" s="24"/>
      <c r="C27" s="25"/>
      <c r="D27" s="39"/>
      <c r="E27" s="27"/>
      <c r="F27" s="28"/>
      <c r="H27" s="29"/>
      <c r="I27" s="30"/>
      <c r="J27" s="65">
        <v>44950</v>
      </c>
      <c r="K27" s="219" t="s">
        <v>108</v>
      </c>
      <c r="L27" s="64">
        <v>1392</v>
      </c>
      <c r="M27" s="31">
        <v>0</v>
      </c>
      <c r="N27" s="32">
        <v>0</v>
      </c>
      <c r="O27" s="33"/>
      <c r="P27" s="34">
        <f t="shared" si="1"/>
        <v>1392</v>
      </c>
      <c r="Q27" s="13">
        <f t="shared" si="0"/>
        <v>1392</v>
      </c>
      <c r="R27" s="13">
        <v>0</v>
      </c>
      <c r="S27" s="33"/>
    </row>
    <row r="28" spans="1:20" ht="18" hidden="1" thickBot="1" x14ac:dyDescent="0.35">
      <c r="A28" s="23"/>
      <c r="B28" s="24"/>
      <c r="C28" s="25"/>
      <c r="D28" s="39"/>
      <c r="E28" s="27"/>
      <c r="F28" s="28"/>
      <c r="H28" s="29"/>
      <c r="I28" s="30"/>
      <c r="J28" s="67"/>
      <c r="K28" s="68"/>
      <c r="L28" s="64"/>
      <c r="M28" s="31">
        <v>0</v>
      </c>
      <c r="N28" s="32">
        <v>0</v>
      </c>
      <c r="O28" s="33"/>
      <c r="P28" s="34">
        <f t="shared" si="1"/>
        <v>0</v>
      </c>
      <c r="Q28" s="13">
        <f t="shared" si="0"/>
        <v>0</v>
      </c>
      <c r="R28" s="13">
        <v>0</v>
      </c>
      <c r="S28" s="33"/>
    </row>
    <row r="29" spans="1:20" ht="18" hidden="1" thickBot="1" x14ac:dyDescent="0.35">
      <c r="A29" s="23"/>
      <c r="B29" s="24"/>
      <c r="C29" s="25"/>
      <c r="D29" s="69"/>
      <c r="E29" s="27"/>
      <c r="F29" s="28"/>
      <c r="H29" s="29"/>
      <c r="I29" s="30"/>
      <c r="J29" s="65"/>
      <c r="K29" s="70"/>
      <c r="L29" s="64"/>
      <c r="M29" s="31">
        <v>0</v>
      </c>
      <c r="N29" s="32">
        <v>0</v>
      </c>
      <c r="O29" s="33"/>
      <c r="P29" s="34">
        <f t="shared" si="1"/>
        <v>0</v>
      </c>
      <c r="Q29" s="13">
        <f t="shared" si="0"/>
        <v>0</v>
      </c>
      <c r="R29" s="13">
        <v>0</v>
      </c>
      <c r="S29" s="33"/>
      <c r="T29" s="9"/>
    </row>
    <row r="30" spans="1:20" ht="18" hidden="1" thickBot="1" x14ac:dyDescent="0.35">
      <c r="A30" s="23"/>
      <c r="B30" s="24"/>
      <c r="C30" s="25"/>
      <c r="D30" s="69"/>
      <c r="E30" s="27"/>
      <c r="F30" s="28"/>
      <c r="H30" s="29"/>
      <c r="I30" s="30"/>
      <c r="J30" s="71"/>
      <c r="K30" s="72"/>
      <c r="L30" s="73"/>
      <c r="M30" s="31">
        <v>0</v>
      </c>
      <c r="N30" s="32">
        <v>0</v>
      </c>
      <c r="O30" s="33"/>
      <c r="P30" s="34">
        <f t="shared" si="1"/>
        <v>0</v>
      </c>
      <c r="Q30" s="13">
        <f t="shared" si="0"/>
        <v>0</v>
      </c>
      <c r="R30" s="13">
        <v>0</v>
      </c>
      <c r="S30" s="33"/>
    </row>
    <row r="31" spans="1:20" ht="18" hidden="1" thickBot="1" x14ac:dyDescent="0.35">
      <c r="A31" s="23"/>
      <c r="B31" s="24"/>
      <c r="C31" s="25"/>
      <c r="D31" s="74"/>
      <c r="E31" s="27"/>
      <c r="F31" s="28"/>
      <c r="H31" s="29"/>
      <c r="I31" s="30"/>
      <c r="J31" s="71"/>
      <c r="K31" s="75"/>
      <c r="L31" s="76"/>
      <c r="M31" s="31">
        <v>0</v>
      </c>
      <c r="N31" s="32">
        <v>0</v>
      </c>
      <c r="O31" s="33"/>
      <c r="P31" s="34">
        <f t="shared" si="1"/>
        <v>0</v>
      </c>
      <c r="Q31" s="13">
        <f t="shared" si="0"/>
        <v>0</v>
      </c>
      <c r="R31" s="13">
        <v>0</v>
      </c>
      <c r="S31" s="33"/>
    </row>
    <row r="32" spans="1:20" ht="18" hidden="1" thickBot="1" x14ac:dyDescent="0.35">
      <c r="A32" s="23"/>
      <c r="B32" s="24"/>
      <c r="C32" s="25"/>
      <c r="D32" s="79"/>
      <c r="E32" s="27"/>
      <c r="F32" s="28"/>
      <c r="H32" s="29"/>
      <c r="I32" s="30"/>
      <c r="J32" s="71"/>
      <c r="K32" s="72"/>
      <c r="L32" s="73"/>
      <c r="M32" s="31">
        <v>0</v>
      </c>
      <c r="N32" s="32">
        <v>0</v>
      </c>
      <c r="O32" s="33"/>
      <c r="P32" s="34">
        <f t="shared" si="1"/>
        <v>0</v>
      </c>
      <c r="Q32" s="13">
        <f t="shared" si="0"/>
        <v>0</v>
      </c>
      <c r="R32" s="13">
        <v>0</v>
      </c>
      <c r="S32" s="33"/>
    </row>
    <row r="33" spans="1:19" ht="18" hidden="1" thickBot="1" x14ac:dyDescent="0.35">
      <c r="A33" s="23"/>
      <c r="B33" s="24"/>
      <c r="C33" s="25"/>
      <c r="D33" s="77"/>
      <c r="E33" s="27"/>
      <c r="F33" s="28"/>
      <c r="H33" s="29"/>
      <c r="I33" s="30"/>
      <c r="J33" s="71"/>
      <c r="K33" s="75"/>
      <c r="L33" s="78"/>
      <c r="M33" s="31">
        <v>0</v>
      </c>
      <c r="N33" s="32">
        <v>0</v>
      </c>
      <c r="O33" s="33"/>
      <c r="P33" s="34">
        <f t="shared" si="1"/>
        <v>0</v>
      </c>
      <c r="Q33" s="13">
        <f t="shared" si="0"/>
        <v>0</v>
      </c>
      <c r="R33" s="13">
        <v>0</v>
      </c>
      <c r="S33" s="33"/>
    </row>
    <row r="34" spans="1:19" ht="18" hidden="1" thickBot="1" x14ac:dyDescent="0.35">
      <c r="A34" s="23"/>
      <c r="B34" s="24"/>
      <c r="C34" s="25"/>
      <c r="D34" s="79"/>
      <c r="E34" s="27"/>
      <c r="F34" s="28"/>
      <c r="H34" s="29"/>
      <c r="I34" s="30"/>
      <c r="J34" s="71"/>
      <c r="K34" s="80"/>
      <c r="L34" s="81"/>
      <c r="M34" s="31">
        <v>0</v>
      </c>
      <c r="N34" s="32">
        <v>0</v>
      </c>
      <c r="O34" s="33"/>
      <c r="P34" s="34">
        <f t="shared" si="1"/>
        <v>0</v>
      </c>
      <c r="Q34" s="13">
        <f t="shared" si="0"/>
        <v>0</v>
      </c>
      <c r="R34" s="13">
        <v>0</v>
      </c>
      <c r="S34" s="33"/>
    </row>
    <row r="35" spans="1:19" ht="18" hidden="1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34">
        <f t="shared" si="1"/>
        <v>0</v>
      </c>
      <c r="Q35" s="13">
        <f t="shared" si="0"/>
        <v>0</v>
      </c>
      <c r="R35" s="13">
        <v>0</v>
      </c>
      <c r="S35" s="33"/>
    </row>
    <row r="36" spans="1:19" ht="19.5" hidden="1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34">
        <f t="shared" si="1"/>
        <v>0</v>
      </c>
      <c r="Q36" s="13">
        <f t="shared" si="0"/>
        <v>0</v>
      </c>
      <c r="R36" s="13">
        <v>0</v>
      </c>
      <c r="S36" s="33"/>
    </row>
    <row r="37" spans="1:19" ht="18" hidden="1" thickBot="1" x14ac:dyDescent="0.35">
      <c r="A37" s="23"/>
      <c r="B37" s="24"/>
      <c r="C37" s="25"/>
      <c r="D37" s="79"/>
      <c r="E37" s="27"/>
      <c r="F37" s="28"/>
      <c r="H37" s="29"/>
      <c r="I37" s="30"/>
      <c r="J37" s="71"/>
      <c r="K37" s="85"/>
      <c r="L37" s="78"/>
      <c r="M37" s="31">
        <v>0</v>
      </c>
      <c r="N37" s="32">
        <v>0</v>
      </c>
      <c r="O37" s="33"/>
      <c r="P37" s="34">
        <f t="shared" si="1"/>
        <v>0</v>
      </c>
      <c r="Q37" s="13">
        <f t="shared" si="0"/>
        <v>0</v>
      </c>
      <c r="R37" s="13">
        <v>0</v>
      </c>
      <c r="S37" s="33"/>
    </row>
    <row r="38" spans="1:19" ht="18" hidden="1" thickBot="1" x14ac:dyDescent="0.35">
      <c r="A38" s="23"/>
      <c r="B38" s="24"/>
      <c r="C38" s="25"/>
      <c r="D38" s="77"/>
      <c r="E38" s="27"/>
      <c r="F38" s="28"/>
      <c r="H38" s="29"/>
      <c r="I38" s="30"/>
      <c r="J38" s="71"/>
      <c r="K38" s="40"/>
      <c r="L38" s="78"/>
      <c r="M38" s="31">
        <v>0</v>
      </c>
      <c r="N38" s="32">
        <v>0</v>
      </c>
      <c r="O38" s="33"/>
      <c r="P38" s="34">
        <f t="shared" si="1"/>
        <v>0</v>
      </c>
      <c r="Q38" s="13">
        <f t="shared" si="0"/>
        <v>0</v>
      </c>
      <c r="R38" s="13">
        <v>0</v>
      </c>
      <c r="S38" s="33"/>
    </row>
    <row r="39" spans="1:19" ht="18" hidden="1" thickBot="1" x14ac:dyDescent="0.35">
      <c r="A39" s="23"/>
      <c r="B39" s="24"/>
      <c r="C39" s="25"/>
      <c r="D39" s="77"/>
      <c r="E39" s="27"/>
      <c r="F39" s="28"/>
      <c r="H39" s="29"/>
      <c r="I39" s="30"/>
      <c r="J39" s="71"/>
      <c r="K39" s="86"/>
      <c r="L39" s="73"/>
      <c r="M39" s="31">
        <v>0</v>
      </c>
      <c r="N39" s="32">
        <v>0</v>
      </c>
      <c r="O39" s="33"/>
      <c r="P39" s="34">
        <f t="shared" si="1"/>
        <v>0</v>
      </c>
      <c r="Q39" s="13">
        <f t="shared" si="0"/>
        <v>0</v>
      </c>
      <c r="R39" s="13">
        <v>0</v>
      </c>
      <c r="S39" s="33"/>
    </row>
    <row r="40" spans="1:19" ht="18" hidden="1" thickBot="1" x14ac:dyDescent="0.35">
      <c r="A40" s="23"/>
      <c r="B40" s="24"/>
      <c r="C40" s="25"/>
      <c r="D40" s="77"/>
      <c r="E40" s="27"/>
      <c r="F40" s="28"/>
      <c r="H40" s="29"/>
      <c r="I40" s="30"/>
      <c r="J40" s="71"/>
      <c r="K40" s="86"/>
      <c r="L40" s="73"/>
      <c r="M40" s="31">
        <v>0</v>
      </c>
      <c r="N40" s="32">
        <v>0</v>
      </c>
      <c r="O40" s="33"/>
      <c r="P40" s="34">
        <f t="shared" si="1"/>
        <v>0</v>
      </c>
      <c r="Q40" s="13">
        <f t="shared" si="0"/>
        <v>0</v>
      </c>
      <c r="R40" s="13">
        <v>0</v>
      </c>
      <c r="S40" s="33"/>
    </row>
    <row r="41" spans="1:19" ht="18" hidden="1" thickBot="1" x14ac:dyDescent="0.35">
      <c r="A41" s="23"/>
      <c r="B41" s="24"/>
      <c r="C41" s="25"/>
      <c r="D41" s="77"/>
      <c r="E41" s="27"/>
      <c r="F41" s="28"/>
      <c r="H41" s="29"/>
      <c r="I41" s="30"/>
      <c r="J41" s="71"/>
      <c r="K41" s="86"/>
      <c r="L41" s="73"/>
      <c r="M41" s="31">
        <v>0</v>
      </c>
      <c r="N41" s="32">
        <v>0</v>
      </c>
      <c r="O41" s="33"/>
      <c r="P41" s="34">
        <f t="shared" si="1"/>
        <v>0</v>
      </c>
      <c r="Q41" s="13">
        <f t="shared" si="0"/>
        <v>0</v>
      </c>
      <c r="R41" s="13">
        <v>0</v>
      </c>
      <c r="S41" s="33"/>
    </row>
    <row r="42" spans="1:19" ht="18" hidden="1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34">
        <f t="shared" si="1"/>
        <v>0</v>
      </c>
      <c r="Q42" s="13">
        <f t="shared" si="0"/>
        <v>0</v>
      </c>
      <c r="R42" s="13">
        <v>0</v>
      </c>
      <c r="S42" s="33"/>
    </row>
    <row r="43" spans="1:19" ht="18" hidden="1" thickBot="1" x14ac:dyDescent="0.35">
      <c r="A43" s="23"/>
      <c r="B43" s="24"/>
      <c r="C43" s="25"/>
      <c r="D43" s="77"/>
      <c r="E43" s="27"/>
      <c r="F43" s="28"/>
      <c r="H43" s="29"/>
      <c r="I43" s="30"/>
      <c r="J43" s="71"/>
      <c r="K43" s="86"/>
      <c r="L43" s="73"/>
      <c r="M43" s="31">
        <v>0</v>
      </c>
      <c r="N43" s="32">
        <v>0</v>
      </c>
      <c r="O43" s="33"/>
      <c r="P43" s="34">
        <f t="shared" si="1"/>
        <v>0</v>
      </c>
      <c r="Q43" s="13">
        <f t="shared" si="0"/>
        <v>0</v>
      </c>
      <c r="R43" s="13">
        <v>0</v>
      </c>
      <c r="S43" s="33"/>
    </row>
    <row r="44" spans="1:19" ht="18" hidden="1" thickBot="1" x14ac:dyDescent="0.35">
      <c r="A44" s="23"/>
      <c r="B44" s="24"/>
      <c r="C44" s="25"/>
      <c r="D44" s="77"/>
      <c r="E44" s="27"/>
      <c r="F44" s="28"/>
      <c r="H44" s="29"/>
      <c r="I44" s="30"/>
      <c r="J44" s="71"/>
      <c r="K44" s="86"/>
      <c r="L44" s="73"/>
      <c r="M44" s="31">
        <v>0</v>
      </c>
      <c r="N44" s="32">
        <v>0</v>
      </c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" hidden="1" thickBot="1" x14ac:dyDescent="0.35">
      <c r="A45" s="23"/>
      <c r="B45" s="24"/>
      <c r="C45" s="25"/>
      <c r="D45" s="77"/>
      <c r="E45" s="27"/>
      <c r="F45" s="28"/>
      <c r="H45" s="29"/>
      <c r="I45" s="30"/>
      <c r="J45" s="71"/>
      <c r="K45" s="86"/>
      <c r="L45" s="73"/>
      <c r="M45" s="31">
        <v>0</v>
      </c>
      <c r="N45" s="32">
        <v>0</v>
      </c>
      <c r="O45" s="33"/>
      <c r="P45" s="34">
        <f t="shared" si="1"/>
        <v>0</v>
      </c>
      <c r="Q45" s="13">
        <f t="shared" si="0"/>
        <v>0</v>
      </c>
      <c r="R45" s="13">
        <v>0</v>
      </c>
      <c r="S45" s="33"/>
    </row>
    <row r="46" spans="1:19" ht="18" hidden="1" thickBot="1" x14ac:dyDescent="0.35">
      <c r="A46" s="23"/>
      <c r="B46" s="24"/>
      <c r="C46" s="25"/>
      <c r="D46" s="77"/>
      <c r="E46" s="27"/>
      <c r="F46" s="28"/>
      <c r="H46" s="29"/>
      <c r="I46" s="30"/>
      <c r="J46" s="71"/>
      <c r="K46" s="86"/>
      <c r="L46" s="73"/>
      <c r="M46" s="31">
        <v>0</v>
      </c>
      <c r="N46" s="32">
        <v>0</v>
      </c>
      <c r="O46" s="33"/>
      <c r="P46" s="34">
        <f t="shared" si="1"/>
        <v>0</v>
      </c>
      <c r="Q46" s="13">
        <f t="shared" si="0"/>
        <v>0</v>
      </c>
      <c r="R46" s="13">
        <v>0</v>
      </c>
      <c r="S46" s="33"/>
    </row>
    <row r="47" spans="1:19" ht="18" hidden="1" thickBot="1" x14ac:dyDescent="0.35">
      <c r="A47" s="23"/>
      <c r="B47" s="24"/>
      <c r="C47" s="25"/>
      <c r="D47" s="77"/>
      <c r="E47" s="27"/>
      <c r="F47" s="87"/>
      <c r="H47" s="29"/>
      <c r="I47" s="88"/>
      <c r="J47" s="71"/>
      <c r="K47" s="86"/>
      <c r="L47" s="73"/>
      <c r="M47" s="31">
        <v>0</v>
      </c>
      <c r="N47" s="32">
        <v>0</v>
      </c>
      <c r="O47" s="33"/>
      <c r="P47" s="34">
        <f t="shared" si="1"/>
        <v>0</v>
      </c>
      <c r="Q47" s="13">
        <f t="shared" si="0"/>
        <v>0</v>
      </c>
      <c r="R47" s="13">
        <v>0</v>
      </c>
      <c r="S47" s="33"/>
    </row>
    <row r="48" spans="1:19" ht="18" thickBot="1" x14ac:dyDescent="0.35">
      <c r="A48" s="23"/>
      <c r="B48" s="24"/>
      <c r="C48" s="25"/>
      <c r="D48" s="77"/>
      <c r="E48" s="27"/>
      <c r="F48" s="87"/>
      <c r="H48" s="29"/>
      <c r="I48" s="88"/>
      <c r="J48" s="71">
        <v>44951</v>
      </c>
      <c r="K48" s="218" t="s">
        <v>109</v>
      </c>
      <c r="L48" s="73">
        <v>979.68</v>
      </c>
      <c r="M48" s="89">
        <v>0</v>
      </c>
      <c r="N48" s="90"/>
      <c r="O48" s="33"/>
      <c r="P48" s="34">
        <f t="shared" si="1"/>
        <v>979.68</v>
      </c>
      <c r="Q48" s="13">
        <f t="shared" si="0"/>
        <v>979.68</v>
      </c>
      <c r="R48" s="13">
        <v>0</v>
      </c>
      <c r="S48" s="33"/>
    </row>
    <row r="49" spans="1:18" ht="18.75" thickTop="1" thickBot="1" x14ac:dyDescent="0.35">
      <c r="A49" s="23"/>
      <c r="B49" s="24"/>
      <c r="C49" s="25"/>
      <c r="D49" s="91"/>
      <c r="E49" s="27"/>
      <c r="F49" s="92"/>
      <c r="H49" s="29"/>
      <c r="I49" s="93"/>
      <c r="J49" s="71">
        <v>44942</v>
      </c>
      <c r="K49" s="94" t="s">
        <v>111</v>
      </c>
      <c r="L49" s="73">
        <v>549</v>
      </c>
      <c r="M49" s="361">
        <f>SUM(M5:M39)</f>
        <v>1666347.5</v>
      </c>
      <c r="N49" s="346">
        <f>SUM(N5:N39)</f>
        <v>49399</v>
      </c>
      <c r="P49" s="95">
        <f t="shared" si="1"/>
        <v>1716295.5</v>
      </c>
      <c r="Q49" s="96">
        <f>SUM(Q5:Q39)</f>
        <v>1393</v>
      </c>
      <c r="R49" s="13">
        <v>0</v>
      </c>
    </row>
    <row r="50" spans="1:18" ht="18" thickBot="1" x14ac:dyDescent="0.35">
      <c r="A50" s="23"/>
      <c r="B50" s="24"/>
      <c r="C50" s="97"/>
      <c r="D50" s="91"/>
      <c r="E50" s="27"/>
      <c r="F50" s="98"/>
      <c r="H50" s="29"/>
      <c r="I50" s="93"/>
      <c r="J50" s="71">
        <v>44955</v>
      </c>
      <c r="K50" s="220" t="s">
        <v>112</v>
      </c>
      <c r="L50" s="73">
        <v>2591.1799999999998</v>
      </c>
      <c r="M50" s="362"/>
      <c r="N50" s="347"/>
      <c r="P50" s="34"/>
      <c r="Q50" s="9"/>
      <c r="R50" s="13">
        <v>0</v>
      </c>
    </row>
    <row r="51" spans="1:18" ht="17.25" customHeight="1" thickBot="1" x14ac:dyDescent="0.35">
      <c r="A51" s="23"/>
      <c r="B51" s="24"/>
      <c r="C51" s="97"/>
      <c r="D51" s="91"/>
      <c r="E51" s="27"/>
      <c r="F51" s="100"/>
      <c r="G51" s="101"/>
      <c r="H51" s="29"/>
      <c r="I51" s="88"/>
      <c r="J51" s="71"/>
      <c r="K51" s="100"/>
      <c r="L51" s="73"/>
      <c r="M51" s="102"/>
      <c r="N51" s="103"/>
      <c r="P51" s="34"/>
      <c r="Q51" s="9"/>
    </row>
    <row r="52" spans="1:18" ht="15.75" thickBot="1" x14ac:dyDescent="0.3">
      <c r="A52" s="23"/>
      <c r="B52" s="24"/>
      <c r="C52" s="25">
        <v>0</v>
      </c>
      <c r="D52" s="108"/>
      <c r="E52" s="109"/>
      <c r="F52" s="104"/>
      <c r="H52" s="110"/>
      <c r="I52" s="88"/>
      <c r="J52" s="111"/>
      <c r="K52" s="112"/>
      <c r="L52" s="9"/>
      <c r="M52" s="113"/>
      <c r="N52" s="32"/>
      <c r="P52" s="34"/>
      <c r="Q52" s="9"/>
    </row>
    <row r="53" spans="1:18" ht="16.5" thickBot="1" x14ac:dyDescent="0.3">
      <c r="B53" s="114" t="s">
        <v>10</v>
      </c>
      <c r="C53" s="115">
        <f>SUM(C5:C52)</f>
        <v>63892</v>
      </c>
      <c r="D53" s="116"/>
      <c r="E53" s="117" t="s">
        <v>10</v>
      </c>
      <c r="F53" s="118">
        <f>SUM(F5:F52)</f>
        <v>1784265</v>
      </c>
      <c r="G53" s="116"/>
      <c r="H53" s="119" t="s">
        <v>11</v>
      </c>
      <c r="I53" s="120">
        <f>SUM(I5:I52)</f>
        <v>6463.5</v>
      </c>
      <c r="J53" s="121"/>
      <c r="K53" s="122" t="s">
        <v>12</v>
      </c>
      <c r="L53" s="123">
        <f>SUM(L5:L52)</f>
        <v>57011.86</v>
      </c>
      <c r="M53" s="124"/>
      <c r="N53" s="124"/>
      <c r="P53" s="34"/>
      <c r="Q53" s="9"/>
    </row>
    <row r="54" spans="1:18" ht="16.5" thickTop="1" thickBot="1" x14ac:dyDescent="0.3">
      <c r="C54" s="4" t="s">
        <v>9</v>
      </c>
      <c r="P54" s="34"/>
      <c r="Q54" s="9"/>
    </row>
    <row r="55" spans="1:18" ht="19.5" thickBot="1" x14ac:dyDescent="0.3">
      <c r="A55" s="126"/>
      <c r="B55" s="127"/>
      <c r="C55" s="1"/>
      <c r="H55" s="348" t="s">
        <v>13</v>
      </c>
      <c r="I55" s="349"/>
      <c r="J55" s="128"/>
      <c r="K55" s="350">
        <f>I53+L53</f>
        <v>63475.360000000001</v>
      </c>
      <c r="L55" s="351"/>
      <c r="M55" s="352">
        <f>N49+M49</f>
        <v>1715746.5</v>
      </c>
      <c r="N55" s="353"/>
      <c r="P55" s="34"/>
      <c r="Q55" s="9"/>
    </row>
    <row r="56" spans="1:18" ht="15.75" x14ac:dyDescent="0.25">
      <c r="D56" s="345" t="s">
        <v>14</v>
      </c>
      <c r="E56" s="345"/>
      <c r="F56" s="129">
        <f>F53-K55-C53</f>
        <v>1656897.64</v>
      </c>
      <c r="I56" s="130"/>
      <c r="J56" s="131"/>
      <c r="P56" s="34"/>
      <c r="Q56" s="9"/>
    </row>
    <row r="57" spans="1:18" ht="18.75" x14ac:dyDescent="0.3">
      <c r="D57" s="363" t="s">
        <v>15</v>
      </c>
      <c r="E57" s="363"/>
      <c r="F57" s="124">
        <v>-1524395.48</v>
      </c>
      <c r="I57" s="364" t="s">
        <v>16</v>
      </c>
      <c r="J57" s="365"/>
      <c r="K57" s="366">
        <f>F59+F60+F61</f>
        <v>393764.05999999994</v>
      </c>
      <c r="L57" s="367"/>
      <c r="P57" s="34"/>
      <c r="Q57" s="9"/>
    </row>
    <row r="58" spans="1:18" ht="19.5" thickBot="1" x14ac:dyDescent="0.35">
      <c r="D58" s="132"/>
      <c r="E58" s="133"/>
      <c r="F58" s="134">
        <v>0</v>
      </c>
      <c r="I58" s="135"/>
      <c r="J58" s="136"/>
      <c r="K58" s="137"/>
      <c r="L58" s="138"/>
    </row>
    <row r="59" spans="1:18" ht="19.5" thickTop="1" x14ac:dyDescent="0.3">
      <c r="C59" s="5" t="s">
        <v>9</v>
      </c>
      <c r="E59" s="126" t="s">
        <v>17</v>
      </c>
      <c r="F59" s="124">
        <f>SUM(F56:F58)</f>
        <v>132502.15999999992</v>
      </c>
      <c r="H59" s="23"/>
      <c r="I59" s="139" t="s">
        <v>18</v>
      </c>
      <c r="J59" s="140"/>
      <c r="K59" s="368">
        <f>-C4</f>
        <v>-373948.72</v>
      </c>
      <c r="L59" s="369"/>
    </row>
    <row r="60" spans="1:18" ht="16.5" thickBot="1" x14ac:dyDescent="0.3">
      <c r="D60" s="141" t="s">
        <v>19</v>
      </c>
      <c r="E60" s="126" t="s">
        <v>20</v>
      </c>
      <c r="F60" s="142">
        <v>37733</v>
      </c>
    </row>
    <row r="61" spans="1:18" ht="20.25" thickTop="1" thickBot="1" x14ac:dyDescent="0.35">
      <c r="C61" s="143">
        <v>44955</v>
      </c>
      <c r="D61" s="370" t="s">
        <v>21</v>
      </c>
      <c r="E61" s="371"/>
      <c r="F61" s="144">
        <v>223528.9</v>
      </c>
      <c r="I61" s="372" t="s">
        <v>22</v>
      </c>
      <c r="J61" s="373"/>
      <c r="K61" s="374">
        <f>K57+K59</f>
        <v>19815.339999999967</v>
      </c>
      <c r="L61" s="374"/>
    </row>
    <row r="62" spans="1:18" ht="17.25" x14ac:dyDescent="0.3">
      <c r="C62" s="145"/>
      <c r="D62" s="146"/>
      <c r="E62" s="147"/>
      <c r="F62" s="148"/>
      <c r="J62" s="149"/>
    </row>
    <row r="63" spans="1:18" ht="15" customHeight="1" x14ac:dyDescent="0.25">
      <c r="I63" s="150"/>
      <c r="J63" s="150"/>
      <c r="K63" s="151"/>
      <c r="L63" s="151"/>
    </row>
    <row r="64" spans="1:18" ht="16.5" customHeight="1" x14ac:dyDescent="0.25">
      <c r="B64" s="152"/>
      <c r="C64" s="153"/>
      <c r="D64" s="154"/>
      <c r="E64" s="34"/>
      <c r="I64" s="150"/>
      <c r="J64" s="150"/>
      <c r="K64" s="151"/>
      <c r="L64" s="151"/>
      <c r="M64" s="155"/>
      <c r="N64" s="126"/>
    </row>
    <row r="65" spans="2:14" ht="15.75" x14ac:dyDescent="0.25">
      <c r="B65" s="152"/>
      <c r="C65" s="156"/>
      <c r="E65" s="34"/>
      <c r="M65" s="155"/>
      <c r="N65" s="126"/>
    </row>
    <row r="66" spans="2:14" ht="15.75" x14ac:dyDescent="0.25">
      <c r="B66" s="152"/>
      <c r="C66" s="156"/>
      <c r="E66" s="34"/>
      <c r="F66" s="157"/>
      <c r="L66" s="158"/>
      <c r="M66" s="1"/>
    </row>
    <row r="67" spans="2:14" ht="15.75" x14ac:dyDescent="0.25">
      <c r="B67" s="152"/>
      <c r="C67" s="156"/>
      <c r="E67" s="34"/>
      <c r="M67" s="1"/>
    </row>
    <row r="68" spans="2:14" ht="15.75" x14ac:dyDescent="0.25">
      <c r="B68" s="152"/>
      <c r="C68" s="156"/>
      <c r="E68" s="34"/>
      <c r="F68" s="159"/>
      <c r="M68" s="1"/>
    </row>
    <row r="69" spans="2:14" x14ac:dyDescent="0.25">
      <c r="E69" s="160"/>
      <c r="F69" s="34"/>
      <c r="M69" s="1"/>
    </row>
    <row r="70" spans="2:14" x14ac:dyDescent="0.25">
      <c r="E70" s="160"/>
      <c r="F70" s="34"/>
      <c r="M70" s="1"/>
    </row>
    <row r="71" spans="2:14" x14ac:dyDescent="0.25">
      <c r="E71" s="160"/>
      <c r="F71" s="34"/>
      <c r="M71" s="1"/>
    </row>
    <row r="72" spans="2:14" x14ac:dyDescent="0.25">
      <c r="E72" s="160"/>
      <c r="F72" s="34"/>
      <c r="M72" s="1"/>
    </row>
    <row r="73" spans="2:14" x14ac:dyDescent="0.25">
      <c r="E73" s="160"/>
      <c r="F73" s="34"/>
      <c r="M73" s="1"/>
    </row>
    <row r="74" spans="2:14" x14ac:dyDescent="0.25">
      <c r="E74" s="160"/>
      <c r="F74" s="34"/>
      <c r="M74" s="1"/>
    </row>
    <row r="75" spans="2:14" x14ac:dyDescent="0.25">
      <c r="E75" s="160"/>
      <c r="F75" s="34"/>
      <c r="M75" s="1"/>
    </row>
    <row r="76" spans="2:14" x14ac:dyDescent="0.25">
      <c r="E76" s="160"/>
      <c r="F76" s="34"/>
      <c r="M76" s="1"/>
    </row>
    <row r="77" spans="2:14" x14ac:dyDescent="0.25">
      <c r="E77" s="160"/>
      <c r="F77" s="34"/>
      <c r="M77" s="1"/>
    </row>
    <row r="78" spans="2:14" x14ac:dyDescent="0.25">
      <c r="E78" s="160"/>
      <c r="F78" s="34"/>
      <c r="M78" s="1"/>
    </row>
    <row r="79" spans="2:14" x14ac:dyDescent="0.25">
      <c r="E79" s="160"/>
      <c r="F79" s="34"/>
      <c r="M79" s="1"/>
    </row>
    <row r="80" spans="2:14" x14ac:dyDescent="0.25">
      <c r="E80" s="160"/>
      <c r="F80" s="34"/>
    </row>
    <row r="81" spans="6:6" x14ac:dyDescent="0.25">
      <c r="F81" s="159"/>
    </row>
    <row r="82" spans="6:6" x14ac:dyDescent="0.25">
      <c r="F82" s="159"/>
    </row>
    <row r="83" spans="6:6" x14ac:dyDescent="0.25">
      <c r="F83" s="159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45051</v>
      </c>
      <c r="B3" s="175" t="s">
        <v>232</v>
      </c>
      <c r="C3" s="142">
        <v>23621.200000000001</v>
      </c>
      <c r="D3" s="208"/>
      <c r="E3" s="207"/>
      <c r="F3" s="173">
        <f>C3-E3</f>
        <v>23621.200000000001</v>
      </c>
    </row>
    <row r="4" spans="1:7" ht="22.5" customHeight="1" x14ac:dyDescent="0.25">
      <c r="A4" s="174">
        <v>45051</v>
      </c>
      <c r="B4" s="175" t="s">
        <v>233</v>
      </c>
      <c r="C4" s="142">
        <v>17961</v>
      </c>
      <c r="D4" s="208"/>
      <c r="E4" s="207"/>
      <c r="F4" s="176">
        <f>C4-E4+F3</f>
        <v>41582.199999999997</v>
      </c>
    </row>
    <row r="5" spans="1:7" ht="21" customHeight="1" x14ac:dyDescent="0.25">
      <c r="A5" s="174">
        <v>45051</v>
      </c>
      <c r="B5" s="175" t="s">
        <v>234</v>
      </c>
      <c r="C5" s="142">
        <v>38048</v>
      </c>
      <c r="D5" s="208"/>
      <c r="E5" s="207"/>
      <c r="F5" s="176">
        <f t="shared" ref="F5:F68" si="0">C5-E5+F4</f>
        <v>79630.2</v>
      </c>
    </row>
    <row r="6" spans="1:7" ht="21" customHeight="1" x14ac:dyDescent="0.3">
      <c r="A6" s="174">
        <v>45051</v>
      </c>
      <c r="B6" s="175" t="s">
        <v>235</v>
      </c>
      <c r="C6" s="142">
        <v>17139.599999999999</v>
      </c>
      <c r="D6" s="208"/>
      <c r="E6" s="207"/>
      <c r="F6" s="176">
        <f t="shared" si="0"/>
        <v>96769.799999999988</v>
      </c>
      <c r="G6" s="177"/>
    </row>
    <row r="7" spans="1:7" ht="21" customHeight="1" x14ac:dyDescent="0.25">
      <c r="A7" s="174">
        <v>45051</v>
      </c>
      <c r="B7" s="175" t="s">
        <v>236</v>
      </c>
      <c r="C7" s="142">
        <v>46544</v>
      </c>
      <c r="D7" s="208"/>
      <c r="E7" s="207"/>
      <c r="F7" s="176">
        <f t="shared" si="0"/>
        <v>143313.79999999999</v>
      </c>
    </row>
    <row r="8" spans="1:7" ht="21" customHeight="1" x14ac:dyDescent="0.25">
      <c r="A8" s="174">
        <v>45052</v>
      </c>
      <c r="B8" s="175" t="s">
        <v>237</v>
      </c>
      <c r="C8" s="142">
        <v>7382.8</v>
      </c>
      <c r="D8" s="208"/>
      <c r="E8" s="207"/>
      <c r="F8" s="176">
        <f t="shared" si="0"/>
        <v>150696.59999999998</v>
      </c>
    </row>
    <row r="9" spans="1:7" ht="21" customHeight="1" x14ac:dyDescent="0.25">
      <c r="A9" s="174">
        <v>45052</v>
      </c>
      <c r="B9" s="175" t="s">
        <v>238</v>
      </c>
      <c r="C9" s="142">
        <v>154193.70000000001</v>
      </c>
      <c r="D9" s="174"/>
      <c r="E9" s="142"/>
      <c r="F9" s="176">
        <f t="shared" si="0"/>
        <v>304890.3</v>
      </c>
    </row>
    <row r="10" spans="1:7" ht="21" customHeight="1" x14ac:dyDescent="0.25">
      <c r="A10" s="174">
        <v>45052</v>
      </c>
      <c r="B10" s="175" t="s">
        <v>239</v>
      </c>
      <c r="C10" s="142">
        <v>27348.16</v>
      </c>
      <c r="D10" s="174"/>
      <c r="E10" s="142"/>
      <c r="F10" s="176">
        <f t="shared" si="0"/>
        <v>332238.45999999996</v>
      </c>
    </row>
    <row r="11" spans="1:7" ht="21" customHeight="1" x14ac:dyDescent="0.25">
      <c r="A11" s="174">
        <v>45054</v>
      </c>
      <c r="B11" s="175" t="s">
        <v>240</v>
      </c>
      <c r="C11" s="142">
        <v>108330.2</v>
      </c>
      <c r="D11" s="174"/>
      <c r="E11" s="142"/>
      <c r="F11" s="176">
        <f t="shared" si="0"/>
        <v>440568.66</v>
      </c>
    </row>
    <row r="12" spans="1:7" ht="21" customHeight="1" x14ac:dyDescent="0.3">
      <c r="A12" s="174">
        <v>45054</v>
      </c>
      <c r="B12" s="175" t="s">
        <v>241</v>
      </c>
      <c r="C12" s="142">
        <v>4400</v>
      </c>
      <c r="D12" s="174"/>
      <c r="E12" s="142"/>
      <c r="F12" s="176">
        <f t="shared" si="0"/>
        <v>444968.66</v>
      </c>
      <c r="G12" s="177"/>
    </row>
    <row r="13" spans="1:7" ht="21" customHeight="1" x14ac:dyDescent="0.25">
      <c r="A13" s="174">
        <v>45055</v>
      </c>
      <c r="B13" s="175" t="s">
        <v>242</v>
      </c>
      <c r="C13" s="142">
        <v>89158.2</v>
      </c>
      <c r="D13" s="174"/>
      <c r="E13" s="142"/>
      <c r="F13" s="176">
        <f t="shared" si="0"/>
        <v>534126.86</v>
      </c>
    </row>
    <row r="14" spans="1:7" ht="21" customHeight="1" x14ac:dyDescent="0.25">
      <c r="A14" s="174">
        <v>45055</v>
      </c>
      <c r="B14" s="175" t="s">
        <v>243</v>
      </c>
      <c r="C14" s="142">
        <v>1938</v>
      </c>
      <c r="D14" s="174"/>
      <c r="E14" s="142"/>
      <c r="F14" s="176">
        <f t="shared" si="0"/>
        <v>536064.86</v>
      </c>
    </row>
    <row r="15" spans="1:7" ht="21" customHeight="1" x14ac:dyDescent="0.25">
      <c r="A15" s="174">
        <v>45056</v>
      </c>
      <c r="B15" s="175" t="s">
        <v>244</v>
      </c>
      <c r="C15" s="142">
        <v>154181.06</v>
      </c>
      <c r="D15" s="174"/>
      <c r="E15" s="142"/>
      <c r="F15" s="176">
        <f t="shared" si="0"/>
        <v>690245.91999999993</v>
      </c>
    </row>
    <row r="16" spans="1:7" ht="21" customHeight="1" x14ac:dyDescent="0.25">
      <c r="A16" s="174">
        <v>45057</v>
      </c>
      <c r="B16" s="175" t="s">
        <v>245</v>
      </c>
      <c r="C16" s="142">
        <v>15564.8</v>
      </c>
      <c r="D16" s="174"/>
      <c r="E16" s="142"/>
      <c r="F16" s="176">
        <f t="shared" si="0"/>
        <v>705810.72</v>
      </c>
    </row>
    <row r="17" spans="1:10" ht="21" customHeight="1" x14ac:dyDescent="0.25">
      <c r="A17" s="174">
        <v>45057</v>
      </c>
      <c r="B17" s="175" t="s">
        <v>246</v>
      </c>
      <c r="C17" s="142">
        <v>39017.879999999997</v>
      </c>
      <c r="D17" s="174"/>
      <c r="E17" s="142"/>
      <c r="F17" s="176">
        <f t="shared" si="0"/>
        <v>744828.6</v>
      </c>
    </row>
    <row r="18" spans="1:10" ht="21" customHeight="1" x14ac:dyDescent="0.25">
      <c r="A18" s="174">
        <v>45057</v>
      </c>
      <c r="B18" s="175" t="s">
        <v>247</v>
      </c>
      <c r="C18" s="142">
        <v>13727.52</v>
      </c>
      <c r="D18" s="174"/>
      <c r="E18" s="142"/>
      <c r="F18" s="176">
        <f t="shared" si="0"/>
        <v>758556.12</v>
      </c>
    </row>
    <row r="19" spans="1:10" ht="21" customHeight="1" x14ac:dyDescent="0.25">
      <c r="A19" s="174">
        <v>45057</v>
      </c>
      <c r="B19" s="175" t="s">
        <v>248</v>
      </c>
      <c r="C19" s="142">
        <v>161854.88</v>
      </c>
      <c r="D19" s="174"/>
      <c r="E19" s="142"/>
      <c r="F19" s="176">
        <f t="shared" si="0"/>
        <v>920411</v>
      </c>
    </row>
    <row r="20" spans="1:10" ht="21" customHeight="1" x14ac:dyDescent="0.25">
      <c r="A20" s="174">
        <v>45059</v>
      </c>
      <c r="B20" s="175" t="s">
        <v>249</v>
      </c>
      <c r="C20" s="142">
        <v>69357.02</v>
      </c>
      <c r="D20" s="174"/>
      <c r="E20" s="142"/>
      <c r="F20" s="176">
        <f t="shared" si="0"/>
        <v>989768.02</v>
      </c>
    </row>
    <row r="21" spans="1:10" ht="24.75" customHeight="1" x14ac:dyDescent="0.25">
      <c r="A21" s="174">
        <v>45059</v>
      </c>
      <c r="B21" s="175" t="s">
        <v>250</v>
      </c>
      <c r="C21" s="142">
        <v>11116.8</v>
      </c>
      <c r="D21" s="174"/>
      <c r="E21" s="142"/>
      <c r="F21" s="176">
        <f t="shared" si="0"/>
        <v>1000884.8200000001</v>
      </c>
    </row>
    <row r="22" spans="1:10" ht="21" customHeight="1" x14ac:dyDescent="0.25">
      <c r="A22" s="174">
        <v>45059</v>
      </c>
      <c r="B22" s="175" t="s">
        <v>251</v>
      </c>
      <c r="C22" s="142">
        <v>46897.2</v>
      </c>
      <c r="D22" s="174"/>
      <c r="E22" s="142"/>
      <c r="F22" s="176">
        <f t="shared" si="0"/>
        <v>1047782.02</v>
      </c>
    </row>
    <row r="23" spans="1:10" ht="33" x14ac:dyDescent="0.3">
      <c r="A23" s="174">
        <v>45059</v>
      </c>
      <c r="B23" s="292" t="s">
        <v>252</v>
      </c>
      <c r="C23" s="215">
        <v>23556.1</v>
      </c>
      <c r="D23" s="174"/>
      <c r="E23" s="142"/>
      <c r="F23" s="176">
        <f t="shared" si="0"/>
        <v>1071338.1200000001</v>
      </c>
    </row>
    <row r="24" spans="1:10" ht="21" customHeight="1" x14ac:dyDescent="0.3">
      <c r="A24" s="174">
        <v>45061</v>
      </c>
      <c r="B24" s="175" t="s">
        <v>253</v>
      </c>
      <c r="C24" s="142">
        <v>53010.8</v>
      </c>
      <c r="D24" s="174"/>
      <c r="E24" s="142"/>
      <c r="F24" s="176">
        <f t="shared" si="0"/>
        <v>1124348.9200000002</v>
      </c>
      <c r="G24" s="177"/>
    </row>
    <row r="25" spans="1:10" ht="21" customHeight="1" x14ac:dyDescent="0.25">
      <c r="A25" s="174">
        <v>45061</v>
      </c>
      <c r="B25" s="175" t="s">
        <v>254</v>
      </c>
      <c r="C25" s="142">
        <v>63878.6</v>
      </c>
      <c r="D25" s="174"/>
      <c r="E25" s="142"/>
      <c r="F25" s="176">
        <f t="shared" si="0"/>
        <v>1188227.5200000003</v>
      </c>
    </row>
    <row r="26" spans="1:10" ht="21" customHeight="1" x14ac:dyDescent="0.25">
      <c r="A26" s="174">
        <v>45062</v>
      </c>
      <c r="B26" s="175" t="s">
        <v>255</v>
      </c>
      <c r="C26" s="142">
        <v>52068.58</v>
      </c>
      <c r="D26" s="174"/>
      <c r="E26" s="142"/>
      <c r="F26" s="176">
        <f t="shared" si="0"/>
        <v>1240296.1000000003</v>
      </c>
    </row>
    <row r="27" spans="1:10" ht="21" customHeight="1" x14ac:dyDescent="0.25">
      <c r="A27" s="174">
        <v>45063</v>
      </c>
      <c r="B27" s="175" t="s">
        <v>256</v>
      </c>
      <c r="C27" s="142">
        <v>43958.2</v>
      </c>
      <c r="D27" s="174"/>
      <c r="E27" s="142"/>
      <c r="F27" s="176">
        <f t="shared" si="0"/>
        <v>1284254.3000000003</v>
      </c>
    </row>
    <row r="28" spans="1:10" ht="21" customHeight="1" x14ac:dyDescent="0.25">
      <c r="A28" s="174">
        <v>45064</v>
      </c>
      <c r="B28" s="175" t="s">
        <v>257</v>
      </c>
      <c r="C28" s="142">
        <v>138935.70000000001</v>
      </c>
      <c r="D28" s="174"/>
      <c r="E28" s="142"/>
      <c r="F28" s="176">
        <f t="shared" si="0"/>
        <v>1423190.0000000002</v>
      </c>
    </row>
    <row r="29" spans="1:10" ht="21" customHeight="1" x14ac:dyDescent="0.25">
      <c r="A29" s="174">
        <v>45065</v>
      </c>
      <c r="B29" s="175" t="s">
        <v>258</v>
      </c>
      <c r="C29" s="142">
        <v>60468.800000000003</v>
      </c>
      <c r="D29" s="174"/>
      <c r="E29" s="142"/>
      <c r="F29" s="176">
        <f t="shared" si="0"/>
        <v>1483658.8000000003</v>
      </c>
      <c r="J29" s="142">
        <v>0</v>
      </c>
    </row>
    <row r="30" spans="1:10" ht="21" customHeight="1" x14ac:dyDescent="0.25">
      <c r="A30" s="174">
        <v>45065</v>
      </c>
      <c r="B30" s="175" t="s">
        <v>259</v>
      </c>
      <c r="C30" s="142">
        <v>99046.94</v>
      </c>
      <c r="D30" s="174"/>
      <c r="E30" s="142"/>
      <c r="F30" s="176">
        <f t="shared" si="0"/>
        <v>1582705.7400000002</v>
      </c>
      <c r="J30" s="142">
        <v>0</v>
      </c>
    </row>
    <row r="31" spans="1:10" ht="21" customHeight="1" x14ac:dyDescent="0.25">
      <c r="A31" s="174">
        <v>45066</v>
      </c>
      <c r="B31" s="175" t="s">
        <v>260</v>
      </c>
      <c r="C31" s="142">
        <v>56108.36</v>
      </c>
      <c r="D31" s="174"/>
      <c r="E31" s="142"/>
      <c r="F31" s="176">
        <f t="shared" si="0"/>
        <v>1638814.1000000003</v>
      </c>
      <c r="J31" s="142">
        <v>0</v>
      </c>
    </row>
    <row r="32" spans="1:10" ht="21" customHeight="1" x14ac:dyDescent="0.3">
      <c r="A32" s="174">
        <v>45066</v>
      </c>
      <c r="B32" s="175" t="s">
        <v>261</v>
      </c>
      <c r="C32" s="142">
        <v>107958.5</v>
      </c>
      <c r="D32" s="174"/>
      <c r="E32" s="142"/>
      <c r="F32" s="176">
        <f t="shared" si="0"/>
        <v>1746772.6000000003</v>
      </c>
      <c r="G32" s="177"/>
      <c r="J32" s="142">
        <v>0</v>
      </c>
    </row>
    <row r="33" spans="1:10" ht="21" customHeight="1" x14ac:dyDescent="0.25">
      <c r="A33" s="174">
        <v>45066</v>
      </c>
      <c r="B33" s="175" t="s">
        <v>262</v>
      </c>
      <c r="C33" s="142">
        <v>8315.2000000000007</v>
      </c>
      <c r="D33" s="174"/>
      <c r="E33" s="142"/>
      <c r="F33" s="176">
        <f t="shared" si="0"/>
        <v>1755087.8000000003</v>
      </c>
      <c r="J33" s="142">
        <v>0</v>
      </c>
    </row>
    <row r="34" spans="1:10" ht="21" customHeight="1" x14ac:dyDescent="0.25">
      <c r="A34" s="174">
        <v>45066</v>
      </c>
      <c r="B34" s="175" t="s">
        <v>263</v>
      </c>
      <c r="C34" s="142">
        <v>6609.6</v>
      </c>
      <c r="D34" s="174"/>
      <c r="E34" s="142"/>
      <c r="F34" s="176">
        <f t="shared" si="0"/>
        <v>1761697.4000000004</v>
      </c>
      <c r="J34" s="142">
        <v>0</v>
      </c>
    </row>
    <row r="35" spans="1:10" ht="23.25" customHeight="1" x14ac:dyDescent="0.25">
      <c r="A35" s="174">
        <v>45068</v>
      </c>
      <c r="B35" s="175" t="s">
        <v>264</v>
      </c>
      <c r="C35" s="142">
        <v>57648.99</v>
      </c>
      <c r="D35" s="174"/>
      <c r="E35" s="142"/>
      <c r="F35" s="176">
        <f t="shared" si="0"/>
        <v>1819346.3900000004</v>
      </c>
      <c r="J35" s="142">
        <v>0</v>
      </c>
    </row>
    <row r="36" spans="1:10" ht="23.25" customHeight="1" x14ac:dyDescent="0.25">
      <c r="A36" s="174">
        <v>45069</v>
      </c>
      <c r="B36" s="175" t="s">
        <v>265</v>
      </c>
      <c r="C36" s="142">
        <v>61833.43</v>
      </c>
      <c r="D36" s="174"/>
      <c r="E36" s="142"/>
      <c r="F36" s="176">
        <f t="shared" si="0"/>
        <v>1881179.8200000003</v>
      </c>
      <c r="J36" s="126">
        <v>0</v>
      </c>
    </row>
    <row r="37" spans="1:10" ht="23.25" customHeight="1" x14ac:dyDescent="0.25">
      <c r="A37" s="174">
        <v>45070</v>
      </c>
      <c r="B37" s="175" t="s">
        <v>277</v>
      </c>
      <c r="C37" s="142">
        <v>80529.399999999994</v>
      </c>
      <c r="D37" s="174"/>
      <c r="E37" s="142"/>
      <c r="F37" s="176">
        <f t="shared" si="0"/>
        <v>1961709.2200000002</v>
      </c>
      <c r="J37" s="178">
        <f>SUM(J29:J36)</f>
        <v>0</v>
      </c>
    </row>
    <row r="38" spans="1:10" ht="23.25" customHeight="1" x14ac:dyDescent="0.25">
      <c r="A38" s="174">
        <v>45070</v>
      </c>
      <c r="B38" s="175" t="s">
        <v>278</v>
      </c>
      <c r="C38" s="142">
        <v>42103.8</v>
      </c>
      <c r="D38" s="174"/>
      <c r="E38" s="142"/>
      <c r="F38" s="176">
        <f t="shared" si="0"/>
        <v>2003813.0200000003</v>
      </c>
    </row>
    <row r="39" spans="1:10" ht="23.25" customHeight="1" x14ac:dyDescent="0.25">
      <c r="A39" s="174">
        <v>45071</v>
      </c>
      <c r="B39" s="175" t="s">
        <v>279</v>
      </c>
      <c r="C39" s="142">
        <v>93750.64</v>
      </c>
      <c r="D39" s="174"/>
      <c r="E39" s="142"/>
      <c r="F39" s="176">
        <f t="shared" si="0"/>
        <v>2097563.66</v>
      </c>
    </row>
    <row r="40" spans="1:10" ht="23.25" customHeight="1" x14ac:dyDescent="0.25">
      <c r="A40" s="174">
        <v>45072</v>
      </c>
      <c r="B40" s="175" t="s">
        <v>281</v>
      </c>
      <c r="C40" s="142">
        <v>68130.36</v>
      </c>
      <c r="D40" s="174"/>
      <c r="E40" s="97"/>
      <c r="F40" s="176">
        <f t="shared" si="0"/>
        <v>2165694.02</v>
      </c>
    </row>
    <row r="41" spans="1:10" ht="23.25" customHeight="1" x14ac:dyDescent="0.25">
      <c r="A41" s="174">
        <v>45073</v>
      </c>
      <c r="B41" s="175" t="s">
        <v>282</v>
      </c>
      <c r="C41" s="142">
        <v>81290.36</v>
      </c>
      <c r="D41" s="174"/>
      <c r="E41" s="97"/>
      <c r="F41" s="176">
        <f t="shared" si="0"/>
        <v>2246984.38</v>
      </c>
    </row>
    <row r="42" spans="1:10" ht="23.25" customHeight="1" x14ac:dyDescent="0.25">
      <c r="A42" s="174">
        <v>45073</v>
      </c>
      <c r="B42" s="175" t="s">
        <v>283</v>
      </c>
      <c r="C42" s="142">
        <v>81272.33</v>
      </c>
      <c r="D42" s="174"/>
      <c r="E42" s="97"/>
      <c r="F42" s="176">
        <f t="shared" si="0"/>
        <v>2328256.71</v>
      </c>
    </row>
    <row r="43" spans="1:10" ht="23.25" customHeight="1" x14ac:dyDescent="0.25">
      <c r="A43" s="231">
        <v>45076</v>
      </c>
      <c r="B43" s="232" t="s">
        <v>284</v>
      </c>
      <c r="C43" s="142">
        <v>3381.4</v>
      </c>
      <c r="D43" s="183"/>
      <c r="E43" s="97"/>
      <c r="F43" s="176">
        <f t="shared" si="0"/>
        <v>2331638.11</v>
      </c>
    </row>
    <row r="44" spans="1:10" ht="23.25" customHeight="1" x14ac:dyDescent="0.25">
      <c r="A44" s="231">
        <v>45076</v>
      </c>
      <c r="B44" s="232" t="s">
        <v>285</v>
      </c>
      <c r="C44" s="142">
        <v>2936.2</v>
      </c>
      <c r="D44" s="183"/>
      <c r="E44" s="97"/>
      <c r="F44" s="176">
        <f t="shared" si="0"/>
        <v>2334574.31</v>
      </c>
    </row>
    <row r="45" spans="1:10" ht="23.25" customHeight="1" x14ac:dyDescent="0.25">
      <c r="A45" s="231">
        <v>45076</v>
      </c>
      <c r="B45" s="232" t="s">
        <v>286</v>
      </c>
      <c r="C45" s="142">
        <v>5871.2</v>
      </c>
      <c r="D45" s="183"/>
      <c r="E45" s="97"/>
      <c r="F45" s="176">
        <f t="shared" si="0"/>
        <v>2340445.5100000002</v>
      </c>
    </row>
    <row r="46" spans="1:10" ht="23.25" customHeight="1" x14ac:dyDescent="0.25">
      <c r="A46" s="231">
        <v>45076</v>
      </c>
      <c r="B46" s="232" t="s">
        <v>287</v>
      </c>
      <c r="C46" s="142">
        <v>102416.92</v>
      </c>
      <c r="D46" s="183"/>
      <c r="E46" s="97"/>
      <c r="F46" s="176">
        <f t="shared" si="0"/>
        <v>2442862.4300000002</v>
      </c>
    </row>
    <row r="47" spans="1:10" ht="23.25" customHeight="1" x14ac:dyDescent="0.25">
      <c r="A47" s="231">
        <v>45078</v>
      </c>
      <c r="B47" s="232" t="s">
        <v>288</v>
      </c>
      <c r="C47" s="142">
        <v>123067.92</v>
      </c>
      <c r="D47" s="183"/>
      <c r="E47" s="97"/>
      <c r="F47" s="176">
        <f t="shared" si="0"/>
        <v>2565930.35</v>
      </c>
    </row>
    <row r="48" spans="1:10" ht="23.25" customHeight="1" x14ac:dyDescent="0.25">
      <c r="A48" s="231">
        <v>45078</v>
      </c>
      <c r="B48" s="232" t="s">
        <v>289</v>
      </c>
      <c r="C48" s="142">
        <v>60041</v>
      </c>
      <c r="D48" s="183"/>
      <c r="E48" s="97"/>
      <c r="F48" s="176">
        <f t="shared" si="0"/>
        <v>2625971.35</v>
      </c>
    </row>
    <row r="49" spans="1:6" ht="23.25" customHeight="1" x14ac:dyDescent="0.25">
      <c r="A49" s="231">
        <v>45079</v>
      </c>
      <c r="B49" s="232" t="s">
        <v>280</v>
      </c>
      <c r="C49" s="142">
        <v>111551.03999999999</v>
      </c>
      <c r="D49" s="183"/>
      <c r="E49" s="97"/>
      <c r="F49" s="176">
        <f t="shared" si="0"/>
        <v>2737522.39</v>
      </c>
    </row>
    <row r="50" spans="1:6" ht="23.25" customHeight="1" x14ac:dyDescent="0.25">
      <c r="A50" s="231">
        <v>45080</v>
      </c>
      <c r="B50" s="232" t="s">
        <v>290</v>
      </c>
      <c r="C50" s="142">
        <v>123774.8</v>
      </c>
      <c r="D50" s="183"/>
      <c r="E50" s="97"/>
      <c r="F50" s="176">
        <f t="shared" si="0"/>
        <v>2861297.19</v>
      </c>
    </row>
    <row r="51" spans="1:6" ht="23.25" customHeight="1" x14ac:dyDescent="0.25">
      <c r="A51" s="231">
        <v>45080</v>
      </c>
      <c r="B51" s="232" t="s">
        <v>291</v>
      </c>
      <c r="C51" s="142">
        <v>82069.899999999994</v>
      </c>
      <c r="D51" s="183"/>
      <c r="E51" s="97"/>
      <c r="F51" s="176">
        <f t="shared" si="0"/>
        <v>2943367.09</v>
      </c>
    </row>
    <row r="52" spans="1:6" ht="23.25" customHeight="1" x14ac:dyDescent="0.25">
      <c r="A52" s="231">
        <v>45080</v>
      </c>
      <c r="B52" s="232" t="s">
        <v>292</v>
      </c>
      <c r="C52" s="142">
        <v>12435.2</v>
      </c>
      <c r="D52" s="183"/>
      <c r="E52" s="97"/>
      <c r="F52" s="176">
        <f t="shared" si="0"/>
        <v>2955802.29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2955802.29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2955802.29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2955802.29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2955802.29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2955802.29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2955802.29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2955802.29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2955802.29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2955802.29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2955802.29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2955802.29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2955802.29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2955802.29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2955802.29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2955802.29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2955802.29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2955802.29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2955802.29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2955802.29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2955802.29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2955802.29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2955802.29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2955802.29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2955802.29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2955802.29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2955802.29</v>
      </c>
    </row>
    <row r="79" spans="1:6" ht="39.75" customHeight="1" thickBot="1" x14ac:dyDescent="0.35">
      <c r="A79" s="188"/>
      <c r="B79" s="189"/>
      <c r="C79" s="300">
        <f>SUM(C3:C78)</f>
        <v>2955802.29</v>
      </c>
      <c r="D79" s="168"/>
      <c r="E79" s="191">
        <f>SUM(E3:E78)</f>
        <v>0</v>
      </c>
      <c r="F79" s="192">
        <f>F78</f>
        <v>2955802.29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380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0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290">
        <v>45081</v>
      </c>
      <c r="E4" s="339" t="s">
        <v>4</v>
      </c>
      <c r="F4" s="340"/>
      <c r="H4" s="341" t="s">
        <v>5</v>
      </c>
      <c r="I4" s="342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91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H5" s="29">
        <v>45082</v>
      </c>
      <c r="I5" s="30">
        <v>135</v>
      </c>
      <c r="J5" s="235"/>
      <c r="K5" s="241"/>
      <c r="L5" s="13"/>
      <c r="M5" s="31">
        <f>73000+62801</f>
        <v>135801</v>
      </c>
      <c r="N5" s="32">
        <v>8009.28</v>
      </c>
      <c r="O5" s="33"/>
      <c r="P5" s="222">
        <f>N5+M5+L5+I5+C5</f>
        <v>145910.28</v>
      </c>
      <c r="Q5" s="223">
        <v>233.28</v>
      </c>
      <c r="R5" s="224">
        <v>23660</v>
      </c>
      <c r="S5" s="33"/>
    </row>
    <row r="6" spans="1:21" ht="18" thickBot="1" x14ac:dyDescent="0.35">
      <c r="A6" s="23"/>
      <c r="B6" s="24">
        <v>45083</v>
      </c>
      <c r="C6" s="25">
        <v>0</v>
      </c>
      <c r="D6" s="35"/>
      <c r="E6" s="27">
        <v>45083</v>
      </c>
      <c r="F6" s="28">
        <v>79057</v>
      </c>
      <c r="H6" s="29">
        <v>45083</v>
      </c>
      <c r="I6" s="30">
        <v>0</v>
      </c>
      <c r="J6" s="242"/>
      <c r="K6" s="68"/>
      <c r="L6" s="243"/>
      <c r="M6" s="31">
        <f>20500+58034</f>
        <v>78534</v>
      </c>
      <c r="N6" s="32">
        <v>757</v>
      </c>
      <c r="O6" s="33"/>
      <c r="P6" s="222">
        <f>N6+M6+L6+I6+C6</f>
        <v>79291</v>
      </c>
      <c r="Q6" s="223">
        <v>23</v>
      </c>
      <c r="R6" s="224">
        <v>211</v>
      </c>
      <c r="S6" s="33"/>
      <c r="T6" s="9"/>
    </row>
    <row r="7" spans="1:21" ht="18" thickBot="1" x14ac:dyDescent="0.35">
      <c r="A7" s="23"/>
      <c r="B7" s="24">
        <v>45084</v>
      </c>
      <c r="C7" s="25">
        <v>0</v>
      </c>
      <c r="D7" s="39"/>
      <c r="E7" s="27">
        <v>45084</v>
      </c>
      <c r="F7" s="28">
        <v>70746</v>
      </c>
      <c r="H7" s="29">
        <v>45084</v>
      </c>
      <c r="I7" s="30">
        <v>180</v>
      </c>
      <c r="J7" s="242"/>
      <c r="K7" s="99"/>
      <c r="L7" s="243"/>
      <c r="M7" s="31">
        <v>73359</v>
      </c>
      <c r="N7" s="32">
        <v>526</v>
      </c>
      <c r="O7" s="33"/>
      <c r="P7" s="222">
        <f>N7+M7+L7+I7+C7</f>
        <v>74065</v>
      </c>
      <c r="Q7" s="223">
        <v>16</v>
      </c>
      <c r="R7" s="224">
        <v>3303</v>
      </c>
      <c r="S7" s="33"/>
    </row>
    <row r="8" spans="1:21" ht="18" thickBot="1" x14ac:dyDescent="0.35">
      <c r="A8" s="23"/>
      <c r="B8" s="24">
        <v>45085</v>
      </c>
      <c r="C8" s="25">
        <v>0</v>
      </c>
      <c r="D8" s="39"/>
      <c r="E8" s="27">
        <v>45085</v>
      </c>
      <c r="F8" s="28">
        <v>122318</v>
      </c>
      <c r="H8" s="29">
        <v>45085</v>
      </c>
      <c r="I8" s="30">
        <v>100</v>
      </c>
      <c r="J8" s="242"/>
      <c r="K8" s="244"/>
      <c r="L8" s="243"/>
      <c r="M8" s="31">
        <f>36400+85590</f>
        <v>121990</v>
      </c>
      <c r="N8" s="32">
        <v>235</v>
      </c>
      <c r="O8" s="33"/>
      <c r="P8" s="222">
        <f t="shared" ref="P8:P45" si="0">N8+M8+L8+I8+C8</f>
        <v>122325</v>
      </c>
      <c r="Q8" s="223">
        <f t="shared" ref="Q8:Q44" si="1">P8-F8</f>
        <v>7</v>
      </c>
      <c r="R8" s="225">
        <v>0</v>
      </c>
      <c r="S8" s="33"/>
    </row>
    <row r="9" spans="1:21" ht="18" thickBot="1" x14ac:dyDescent="0.35">
      <c r="A9" s="23"/>
      <c r="B9" s="24">
        <v>45086</v>
      </c>
      <c r="C9" s="25">
        <v>11989</v>
      </c>
      <c r="D9" s="43" t="s">
        <v>69</v>
      </c>
      <c r="E9" s="27">
        <v>45086</v>
      </c>
      <c r="F9" s="28">
        <v>102953</v>
      </c>
      <c r="H9" s="29">
        <v>45086</v>
      </c>
      <c r="I9" s="30">
        <v>201</v>
      </c>
      <c r="J9" s="242"/>
      <c r="K9" s="245"/>
      <c r="L9" s="243"/>
      <c r="M9" s="31">
        <v>90763</v>
      </c>
      <c r="N9" s="32">
        <v>0</v>
      </c>
      <c r="O9" s="33"/>
      <c r="P9" s="222">
        <f t="shared" si="0"/>
        <v>102953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45087</v>
      </c>
      <c r="C10" s="25">
        <v>3480</v>
      </c>
      <c r="D10" s="35" t="s">
        <v>213</v>
      </c>
      <c r="E10" s="27">
        <v>45087</v>
      </c>
      <c r="F10" s="28">
        <v>109011</v>
      </c>
      <c r="H10" s="29">
        <v>45087</v>
      </c>
      <c r="I10" s="30">
        <v>116</v>
      </c>
      <c r="J10" s="242">
        <v>45087</v>
      </c>
      <c r="K10" s="246" t="s">
        <v>366</v>
      </c>
      <c r="L10" s="247">
        <v>8700</v>
      </c>
      <c r="M10" s="31">
        <f>34600+53069</f>
        <v>87669</v>
      </c>
      <c r="N10" s="32">
        <v>9317</v>
      </c>
      <c r="O10" s="33"/>
      <c r="P10" s="222">
        <f>N10+M10+L10+I10+C10</f>
        <v>109282</v>
      </c>
      <c r="Q10" s="223">
        <f t="shared" si="1"/>
        <v>271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5"/>
      <c r="E11" s="27">
        <v>45088</v>
      </c>
      <c r="F11" s="28">
        <v>90289</v>
      </c>
      <c r="H11" s="29">
        <v>45088</v>
      </c>
      <c r="I11" s="30">
        <v>0</v>
      </c>
      <c r="J11" s="242"/>
      <c r="K11" s="245"/>
      <c r="L11" s="243"/>
      <c r="M11" s="31">
        <f>65600+38070</f>
        <v>103670</v>
      </c>
      <c r="N11" s="32">
        <v>896</v>
      </c>
      <c r="O11" s="33"/>
      <c r="P11" s="222">
        <f>N11+M11+L11+I11+C11</f>
        <v>104566</v>
      </c>
      <c r="Q11" s="223">
        <v>27</v>
      </c>
      <c r="R11" s="224">
        <v>14250</v>
      </c>
      <c r="S11" s="33"/>
    </row>
    <row r="12" spans="1:21" ht="18" thickBot="1" x14ac:dyDescent="0.35">
      <c r="A12" s="23"/>
      <c r="B12" s="24">
        <v>45089</v>
      </c>
      <c r="C12" s="25">
        <v>0</v>
      </c>
      <c r="D12" s="35"/>
      <c r="E12" s="27">
        <v>45089</v>
      </c>
      <c r="F12" s="28">
        <v>158875</v>
      </c>
      <c r="H12" s="29">
        <v>45089</v>
      </c>
      <c r="I12" s="30">
        <v>130</v>
      </c>
      <c r="J12" s="242"/>
      <c r="K12" s="248"/>
      <c r="L12" s="243"/>
      <c r="M12" s="31">
        <f>46000+14200+98545</f>
        <v>158745</v>
      </c>
      <c r="N12" s="32">
        <v>0</v>
      </c>
      <c r="O12" s="33"/>
      <c r="P12" s="222">
        <f t="shared" si="0"/>
        <v>158875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45090</v>
      </c>
      <c r="C13" s="25">
        <v>0</v>
      </c>
      <c r="D13" s="39"/>
      <c r="E13" s="27">
        <v>45090</v>
      </c>
      <c r="F13" s="28">
        <v>90002</v>
      </c>
      <c r="H13" s="29">
        <v>45090</v>
      </c>
      <c r="I13" s="30">
        <v>5</v>
      </c>
      <c r="J13" s="242"/>
      <c r="K13" s="68"/>
      <c r="L13" s="243"/>
      <c r="M13" s="31">
        <f>56576+33200</f>
        <v>89776</v>
      </c>
      <c r="N13" s="32">
        <v>227</v>
      </c>
      <c r="O13" s="33"/>
      <c r="P13" s="222">
        <f t="shared" si="0"/>
        <v>90008</v>
      </c>
      <c r="Q13" s="223">
        <f t="shared" si="1"/>
        <v>6</v>
      </c>
      <c r="R13" s="225">
        <v>0</v>
      </c>
      <c r="S13" s="33"/>
    </row>
    <row r="14" spans="1:21" ht="18" thickBot="1" x14ac:dyDescent="0.35">
      <c r="A14" s="23"/>
      <c r="B14" s="24">
        <v>45091</v>
      </c>
      <c r="C14" s="25">
        <v>0</v>
      </c>
      <c r="D14" s="43"/>
      <c r="E14" s="27">
        <v>45091</v>
      </c>
      <c r="F14" s="28">
        <v>101786</v>
      </c>
      <c r="H14" s="29">
        <v>45091</v>
      </c>
      <c r="I14" s="30">
        <v>214</v>
      </c>
      <c r="J14" s="242"/>
      <c r="K14" s="244"/>
      <c r="L14" s="243"/>
      <c r="M14" s="31">
        <f>16000+85572</f>
        <v>101572</v>
      </c>
      <c r="N14" s="32">
        <v>0</v>
      </c>
      <c r="O14" s="33"/>
      <c r="P14" s="222">
        <f t="shared" si="0"/>
        <v>101786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45092</v>
      </c>
      <c r="C15" s="25">
        <v>0</v>
      </c>
      <c r="D15" s="43"/>
      <c r="E15" s="27">
        <v>45092</v>
      </c>
      <c r="F15" s="28">
        <v>127207</v>
      </c>
      <c r="H15" s="29">
        <v>45092</v>
      </c>
      <c r="I15" s="30">
        <v>118</v>
      </c>
      <c r="J15" s="242"/>
      <c r="K15" s="244"/>
      <c r="L15" s="243"/>
      <c r="M15" s="31">
        <f>94589+200+32300</f>
        <v>127089</v>
      </c>
      <c r="N15" s="32">
        <v>0</v>
      </c>
      <c r="O15" s="297"/>
      <c r="P15" s="222">
        <f t="shared" si="0"/>
        <v>127207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45093</v>
      </c>
      <c r="C16" s="25">
        <v>8396</v>
      </c>
      <c r="D16" s="49" t="s">
        <v>69</v>
      </c>
      <c r="E16" s="27">
        <v>45093</v>
      </c>
      <c r="F16" s="28">
        <v>176461</v>
      </c>
      <c r="H16" s="29">
        <v>45093</v>
      </c>
      <c r="I16" s="30">
        <v>53</v>
      </c>
      <c r="J16" s="242"/>
      <c r="K16" s="244"/>
      <c r="L16" s="13"/>
      <c r="M16" s="31">
        <f>42400+123810</f>
        <v>166210</v>
      </c>
      <c r="N16" s="32">
        <v>1857</v>
      </c>
      <c r="O16" s="33"/>
      <c r="P16" s="222">
        <f t="shared" si="0"/>
        <v>176516</v>
      </c>
      <c r="Q16" s="223">
        <f t="shared" si="1"/>
        <v>55</v>
      </c>
      <c r="R16" s="225">
        <v>0</v>
      </c>
      <c r="S16" s="33"/>
    </row>
    <row r="17" spans="1:20" ht="18" thickBot="1" x14ac:dyDescent="0.35">
      <c r="A17" s="23"/>
      <c r="B17" s="24">
        <v>45094</v>
      </c>
      <c r="C17" s="25">
        <v>3900</v>
      </c>
      <c r="D17" s="43" t="s">
        <v>213</v>
      </c>
      <c r="E17" s="27">
        <v>45094</v>
      </c>
      <c r="F17" s="28">
        <v>119489</v>
      </c>
      <c r="H17" s="29">
        <v>45094</v>
      </c>
      <c r="I17" s="30">
        <v>140</v>
      </c>
      <c r="J17" s="242">
        <v>45094</v>
      </c>
      <c r="K17" s="309" t="s">
        <v>367</v>
      </c>
      <c r="L17" s="247">
        <v>9950</v>
      </c>
      <c r="M17" s="31">
        <f>12200+92087</f>
        <v>104287</v>
      </c>
      <c r="N17" s="32">
        <v>1249</v>
      </c>
      <c r="O17" s="33"/>
      <c r="P17" s="222">
        <f t="shared" si="0"/>
        <v>119526</v>
      </c>
      <c r="Q17" s="223">
        <f t="shared" si="1"/>
        <v>37</v>
      </c>
      <c r="R17" s="225">
        <v>0</v>
      </c>
      <c r="S17" s="33"/>
    </row>
    <row r="18" spans="1:20" ht="18" thickBot="1" x14ac:dyDescent="0.35">
      <c r="A18" s="23"/>
      <c r="B18" s="24">
        <v>45095</v>
      </c>
      <c r="C18" s="25">
        <v>0</v>
      </c>
      <c r="D18" s="35"/>
      <c r="E18" s="27">
        <v>45095</v>
      </c>
      <c r="F18" s="28">
        <v>83403</v>
      </c>
      <c r="H18" s="29">
        <v>45095</v>
      </c>
      <c r="I18" s="30">
        <v>50</v>
      </c>
      <c r="J18" s="242"/>
      <c r="K18" s="249"/>
      <c r="L18" s="243"/>
      <c r="M18" s="31">
        <f>67100+16253</f>
        <v>83353</v>
      </c>
      <c r="N18" s="32">
        <v>0</v>
      </c>
      <c r="O18" s="33"/>
      <c r="P18" s="222">
        <f t="shared" si="0"/>
        <v>83403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45096</v>
      </c>
      <c r="C19" s="25">
        <v>0</v>
      </c>
      <c r="D19" s="35"/>
      <c r="E19" s="27">
        <v>45096</v>
      </c>
      <c r="F19" s="28">
        <v>121449</v>
      </c>
      <c r="H19" s="29">
        <v>45096</v>
      </c>
      <c r="I19" s="30">
        <v>929</v>
      </c>
      <c r="J19" s="242"/>
      <c r="K19" s="250"/>
      <c r="L19" s="251"/>
      <c r="M19" s="31">
        <f>79520+41000</f>
        <v>120520</v>
      </c>
      <c r="N19" s="32">
        <v>0</v>
      </c>
      <c r="O19" s="33"/>
      <c r="P19" s="222">
        <f t="shared" si="0"/>
        <v>121449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45097</v>
      </c>
      <c r="C20" s="25">
        <v>0</v>
      </c>
      <c r="D20" s="35"/>
      <c r="E20" s="27">
        <v>45097</v>
      </c>
      <c r="F20" s="28">
        <v>146120</v>
      </c>
      <c r="H20" s="29">
        <v>45097</v>
      </c>
      <c r="I20" s="30">
        <v>80</v>
      </c>
      <c r="J20" s="242"/>
      <c r="K20" s="246"/>
      <c r="L20" s="247"/>
      <c r="M20" s="31">
        <f>5000+141040</f>
        <v>146040</v>
      </c>
      <c r="N20" s="32">
        <v>0</v>
      </c>
      <c r="O20" s="33"/>
      <c r="P20" s="222">
        <f t="shared" si="0"/>
        <v>146120</v>
      </c>
      <c r="Q20" s="223" t="s">
        <v>9</v>
      </c>
      <c r="R20" s="225">
        <v>0</v>
      </c>
      <c r="S20" s="33"/>
    </row>
    <row r="21" spans="1:20" ht="18" thickBot="1" x14ac:dyDescent="0.35">
      <c r="A21" s="23"/>
      <c r="B21" s="24">
        <v>45098</v>
      </c>
      <c r="C21" s="25">
        <v>0</v>
      </c>
      <c r="D21" s="35"/>
      <c r="E21" s="27">
        <v>45098</v>
      </c>
      <c r="F21" s="28">
        <v>34428</v>
      </c>
      <c r="H21" s="29">
        <v>45098</v>
      </c>
      <c r="I21" s="30">
        <v>200</v>
      </c>
      <c r="J21" s="242"/>
      <c r="K21" s="252"/>
      <c r="L21" s="247"/>
      <c r="M21" s="31">
        <f>7000+27228</f>
        <v>34228</v>
      </c>
      <c r="N21" s="32">
        <v>0</v>
      </c>
      <c r="O21" s="33"/>
      <c r="P21" s="222">
        <f t="shared" si="0"/>
        <v>34428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45099</v>
      </c>
      <c r="C22" s="25">
        <v>12689</v>
      </c>
      <c r="D22" s="43" t="s">
        <v>69</v>
      </c>
      <c r="E22" s="27">
        <v>45099</v>
      </c>
      <c r="F22" s="28">
        <v>204772</v>
      </c>
      <c r="H22" s="29">
        <v>45099</v>
      </c>
      <c r="I22" s="30">
        <v>31</v>
      </c>
      <c r="J22" s="242"/>
      <c r="K22" s="285"/>
      <c r="L22" s="253"/>
      <c r="M22" s="31">
        <f>90000+102052</f>
        <v>192052</v>
      </c>
      <c r="N22" s="32">
        <v>0</v>
      </c>
      <c r="O22" s="298"/>
      <c r="P22" s="222">
        <f t="shared" si="0"/>
        <v>204772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45100</v>
      </c>
      <c r="C23" s="25">
        <v>9833</v>
      </c>
      <c r="D23" s="43"/>
      <c r="E23" s="27">
        <v>45100</v>
      </c>
      <c r="F23" s="28">
        <v>184445</v>
      </c>
      <c r="H23" s="29">
        <v>45100</v>
      </c>
      <c r="I23" s="30">
        <v>204</v>
      </c>
      <c r="J23" s="254"/>
      <c r="K23" s="255"/>
      <c r="L23" s="247"/>
      <c r="M23" s="31">
        <f>15500+158659</f>
        <v>174159</v>
      </c>
      <c r="N23" s="32">
        <v>256.47000000000003</v>
      </c>
      <c r="O23" s="33"/>
      <c r="P23" s="222">
        <f t="shared" si="0"/>
        <v>184452.47</v>
      </c>
      <c r="Q23" s="223">
        <f t="shared" si="1"/>
        <v>7.4700000000011642</v>
      </c>
      <c r="R23" s="225">
        <v>0</v>
      </c>
      <c r="S23" s="33"/>
    </row>
    <row r="24" spans="1:20" ht="18" thickBot="1" x14ac:dyDescent="0.35">
      <c r="A24" s="23"/>
      <c r="B24" s="24">
        <v>45101</v>
      </c>
      <c r="C24" s="25">
        <v>5616</v>
      </c>
      <c r="D24" s="39" t="s">
        <v>368</v>
      </c>
      <c r="E24" s="27">
        <v>45101</v>
      </c>
      <c r="F24" s="28">
        <v>114135</v>
      </c>
      <c r="H24" s="29">
        <v>45101</v>
      </c>
      <c r="I24" s="30">
        <v>38</v>
      </c>
      <c r="J24" s="256">
        <v>45101</v>
      </c>
      <c r="K24" s="255" t="s">
        <v>369</v>
      </c>
      <c r="L24" s="257">
        <v>8017</v>
      </c>
      <c r="M24" s="31">
        <f>26000+73808</f>
        <v>99808</v>
      </c>
      <c r="N24" s="32">
        <v>675.88</v>
      </c>
      <c r="O24" s="33"/>
      <c r="P24" s="222">
        <f t="shared" si="0"/>
        <v>114154.88</v>
      </c>
      <c r="Q24" s="223">
        <f t="shared" si="1"/>
        <v>19.880000000004657</v>
      </c>
      <c r="R24" s="225">
        <v>0</v>
      </c>
      <c r="S24" s="33"/>
    </row>
    <row r="25" spans="1:20" ht="18" thickBot="1" x14ac:dyDescent="0.35">
      <c r="A25" s="23"/>
      <c r="B25" s="24">
        <v>45102</v>
      </c>
      <c r="C25" s="25">
        <v>0</v>
      </c>
      <c r="D25" s="35"/>
      <c r="E25" s="27">
        <v>45102</v>
      </c>
      <c r="F25" s="28">
        <v>122912</v>
      </c>
      <c r="H25" s="29">
        <v>45102</v>
      </c>
      <c r="I25" s="30">
        <v>5</v>
      </c>
      <c r="J25" s="258"/>
      <c r="K25" s="259"/>
      <c r="L25" s="260"/>
      <c r="M25" s="31">
        <f>101000+19010+500</f>
        <v>120510</v>
      </c>
      <c r="N25" s="32">
        <v>2468.91</v>
      </c>
      <c r="O25" s="33"/>
      <c r="P25" s="222">
        <f t="shared" si="0"/>
        <v>122983.91</v>
      </c>
      <c r="Q25" s="223">
        <f t="shared" si="1"/>
        <v>71.910000000003492</v>
      </c>
      <c r="R25" s="225">
        <v>0</v>
      </c>
      <c r="S25" s="33"/>
    </row>
    <row r="26" spans="1:20" ht="18" thickBot="1" x14ac:dyDescent="0.35">
      <c r="A26" s="23"/>
      <c r="B26" s="24">
        <v>45103</v>
      </c>
      <c r="C26" s="25">
        <v>0</v>
      </c>
      <c r="D26" s="35"/>
      <c r="E26" s="27">
        <v>45103</v>
      </c>
      <c r="F26" s="28">
        <v>156919</v>
      </c>
      <c r="H26" s="29">
        <v>45103</v>
      </c>
      <c r="I26" s="30">
        <v>199</v>
      </c>
      <c r="J26" s="242"/>
      <c r="K26" s="255"/>
      <c r="L26" s="247"/>
      <c r="M26" s="31">
        <f>23000+133406</f>
        <v>156406</v>
      </c>
      <c r="N26" s="32">
        <v>323.42</v>
      </c>
      <c r="O26" s="33"/>
      <c r="P26" s="222">
        <f t="shared" si="0"/>
        <v>156928.42000000001</v>
      </c>
      <c r="Q26" s="223">
        <f t="shared" si="1"/>
        <v>9.4200000000128057</v>
      </c>
      <c r="R26" s="225">
        <v>0</v>
      </c>
      <c r="S26" s="33"/>
    </row>
    <row r="27" spans="1:20" ht="18" thickBot="1" x14ac:dyDescent="0.35">
      <c r="A27" s="23"/>
      <c r="B27" s="24">
        <v>45104</v>
      </c>
      <c r="C27" s="25">
        <v>16</v>
      </c>
      <c r="D27" s="39"/>
      <c r="E27" s="27">
        <v>45104</v>
      </c>
      <c r="F27" s="28">
        <v>86884</v>
      </c>
      <c r="H27" s="29">
        <v>45104</v>
      </c>
      <c r="I27" s="30">
        <v>144</v>
      </c>
      <c r="J27" s="261"/>
      <c r="K27" s="259"/>
      <c r="L27" s="260"/>
      <c r="M27" s="31">
        <f>54724+32000</f>
        <v>86724</v>
      </c>
      <c r="N27" s="32">
        <v>0</v>
      </c>
      <c r="O27" s="33"/>
      <c r="P27" s="222">
        <f t="shared" si="0"/>
        <v>86884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45105</v>
      </c>
      <c r="C28" s="25">
        <v>0</v>
      </c>
      <c r="D28" s="39"/>
      <c r="E28" s="27">
        <v>45105</v>
      </c>
      <c r="F28" s="28">
        <v>115082</v>
      </c>
      <c r="H28" s="29">
        <v>45105</v>
      </c>
      <c r="I28" s="30">
        <v>152</v>
      </c>
      <c r="J28" s="262"/>
      <c r="K28" s="68"/>
      <c r="L28" s="260"/>
      <c r="M28" s="31">
        <f>67303+47000</f>
        <v>114303</v>
      </c>
      <c r="N28" s="32">
        <v>645.80999999999995</v>
      </c>
      <c r="O28" s="33"/>
      <c r="P28" s="222">
        <f t="shared" si="0"/>
        <v>115100.81</v>
      </c>
      <c r="Q28" s="223">
        <f t="shared" si="1"/>
        <v>18.809999999997672</v>
      </c>
      <c r="R28" s="225">
        <v>0</v>
      </c>
      <c r="S28" s="33"/>
    </row>
    <row r="29" spans="1:20" ht="18" thickBot="1" x14ac:dyDescent="0.35">
      <c r="A29" s="23"/>
      <c r="B29" s="24">
        <v>45106</v>
      </c>
      <c r="C29" s="25">
        <v>0</v>
      </c>
      <c r="D29" s="69"/>
      <c r="E29" s="27">
        <v>45106</v>
      </c>
      <c r="F29" s="28">
        <v>98065</v>
      </c>
      <c r="H29" s="29">
        <v>45106</v>
      </c>
      <c r="I29" s="30">
        <v>130</v>
      </c>
      <c r="J29" s="261"/>
      <c r="K29" s="263"/>
      <c r="L29" s="260"/>
      <c r="M29" s="31">
        <f>68310+29000</f>
        <v>97310</v>
      </c>
      <c r="N29" s="32">
        <v>643.75</v>
      </c>
      <c r="O29" s="33"/>
      <c r="P29" s="222">
        <f t="shared" si="0"/>
        <v>98083.75</v>
      </c>
      <c r="Q29" s="223">
        <f t="shared" si="1"/>
        <v>18.75</v>
      </c>
      <c r="R29" s="225">
        <v>0</v>
      </c>
      <c r="S29" s="33"/>
      <c r="T29" s="9"/>
    </row>
    <row r="30" spans="1:20" ht="18" thickBot="1" x14ac:dyDescent="0.35">
      <c r="A30" s="23"/>
      <c r="B30" s="24">
        <v>45107</v>
      </c>
      <c r="C30" s="25">
        <v>9696</v>
      </c>
      <c r="D30" s="69" t="s">
        <v>69</v>
      </c>
      <c r="E30" s="27">
        <v>45107</v>
      </c>
      <c r="F30" s="28">
        <v>120962</v>
      </c>
      <c r="H30" s="29">
        <v>45107</v>
      </c>
      <c r="I30" s="30">
        <v>103</v>
      </c>
      <c r="J30" s="83"/>
      <c r="K30" s="264"/>
      <c r="L30" s="265"/>
      <c r="M30" s="31">
        <f>98289+12000</f>
        <v>110289</v>
      </c>
      <c r="N30" s="32">
        <v>900.22</v>
      </c>
      <c r="O30" s="33"/>
      <c r="P30" s="222">
        <f t="shared" si="0"/>
        <v>120988.22</v>
      </c>
      <c r="Q30" s="223">
        <f t="shared" si="1"/>
        <v>26.220000000001164</v>
      </c>
      <c r="R30" s="225">
        <v>0</v>
      </c>
      <c r="S30" s="33"/>
    </row>
    <row r="31" spans="1:20" ht="18" thickBot="1" x14ac:dyDescent="0.35">
      <c r="A31" s="23"/>
      <c r="B31" s="24">
        <v>45108</v>
      </c>
      <c r="C31" s="25">
        <v>3000</v>
      </c>
      <c r="D31" s="74" t="s">
        <v>67</v>
      </c>
      <c r="E31" s="27">
        <v>45108</v>
      </c>
      <c r="F31" s="28">
        <v>141525</v>
      </c>
      <c r="H31" s="29">
        <v>45108</v>
      </c>
      <c r="I31" s="30">
        <v>148</v>
      </c>
      <c r="J31" s="262">
        <v>45108</v>
      </c>
      <c r="K31" s="259" t="s">
        <v>370</v>
      </c>
      <c r="L31" s="260">
        <v>8233</v>
      </c>
      <c r="M31" s="31">
        <f>24500+103972</f>
        <v>128472</v>
      </c>
      <c r="N31" s="32">
        <v>1722.16</v>
      </c>
      <c r="O31" s="33"/>
      <c r="P31" s="222">
        <f t="shared" si="0"/>
        <v>141575.16</v>
      </c>
      <c r="Q31" s="223">
        <f t="shared" si="1"/>
        <v>50.160000000003492</v>
      </c>
      <c r="R31" s="225">
        <v>0</v>
      </c>
      <c r="S31" s="33"/>
    </row>
    <row r="32" spans="1:20" ht="18" thickBot="1" x14ac:dyDescent="0.35">
      <c r="A32" s="23"/>
      <c r="B32" s="24">
        <v>45109</v>
      </c>
      <c r="C32" s="25">
        <v>0</v>
      </c>
      <c r="D32" s="79"/>
      <c r="E32" s="27">
        <v>45109</v>
      </c>
      <c r="F32" s="28">
        <v>68123</v>
      </c>
      <c r="H32" s="29">
        <v>45109</v>
      </c>
      <c r="I32" s="30">
        <v>0</v>
      </c>
      <c r="J32" s="83"/>
      <c r="K32" s="264"/>
      <c r="L32" s="265"/>
      <c r="M32" s="31">
        <f>56000+11112</f>
        <v>67112</v>
      </c>
      <c r="N32" s="32">
        <v>1041.33</v>
      </c>
      <c r="O32" s="33"/>
      <c r="P32" s="222">
        <f t="shared" si="0"/>
        <v>68153.33</v>
      </c>
      <c r="Q32" s="223">
        <f t="shared" si="1"/>
        <v>30.330000000001746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/>
      <c r="C34" s="25"/>
      <c r="D34" s="79"/>
      <c r="E34" s="27"/>
      <c r="F34" s="28"/>
      <c r="H34" s="29"/>
      <c r="I34" s="30"/>
      <c r="J34" s="83"/>
      <c r="K34" s="80"/>
      <c r="L34" s="268"/>
      <c r="M34" s="31">
        <v>0</v>
      </c>
      <c r="N34" s="32">
        <v>0</v>
      </c>
      <c r="O34" s="33"/>
      <c r="P34" s="222">
        <f t="shared" si="0"/>
        <v>0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/>
      <c r="H35" s="29"/>
      <c r="I35" s="30"/>
      <c r="J35" s="83">
        <v>45083</v>
      </c>
      <c r="K35" s="266" t="s">
        <v>371</v>
      </c>
      <c r="L35" s="203">
        <v>365.4</v>
      </c>
      <c r="M35" s="31">
        <v>0</v>
      </c>
      <c r="N35" s="32">
        <v>0</v>
      </c>
      <c r="O35" s="33"/>
      <c r="P35" s="222">
        <f t="shared" si="0"/>
        <v>365.4</v>
      </c>
      <c r="Q35" s="223">
        <v>0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>
        <v>45084</v>
      </c>
      <c r="K36" s="269" t="s">
        <v>372</v>
      </c>
      <c r="L36" s="203">
        <v>1225.1199999999999</v>
      </c>
      <c r="M36" s="31">
        <v>0</v>
      </c>
      <c r="N36" s="32">
        <v>0</v>
      </c>
      <c r="O36" s="33"/>
      <c r="P36" s="222">
        <f t="shared" si="0"/>
        <v>1225.1199999999999</v>
      </c>
      <c r="Q36" s="223"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45084</v>
      </c>
      <c r="K37" s="313" t="s">
        <v>378</v>
      </c>
      <c r="L37" s="203">
        <v>6902.3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45086</v>
      </c>
      <c r="K38" s="266" t="s">
        <v>373</v>
      </c>
      <c r="L38" s="203">
        <v>14500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45091</v>
      </c>
      <c r="K39" s="302" t="s">
        <v>379</v>
      </c>
      <c r="L39" s="265">
        <v>522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45093</v>
      </c>
      <c r="K40" s="218" t="s">
        <v>374</v>
      </c>
      <c r="L40" s="265">
        <v>664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45097</v>
      </c>
      <c r="K41" s="288" t="s">
        <v>375</v>
      </c>
      <c r="L41" s="265">
        <v>1392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45105</v>
      </c>
      <c r="K42" s="218" t="s">
        <v>376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45107</v>
      </c>
      <c r="K43" s="86" t="s">
        <v>377</v>
      </c>
      <c r="L43" s="265">
        <v>786.07</v>
      </c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310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1">
        <f>SUM(M5:M39)</f>
        <v>3170751</v>
      </c>
      <c r="N45" s="346">
        <f>SUM(N5:N39)</f>
        <v>31751.230000000003</v>
      </c>
      <c r="P45" s="95">
        <f t="shared" si="0"/>
        <v>3202502.23</v>
      </c>
      <c r="Q45" s="311">
        <f>SUM(Q21:Q44)</f>
        <v>252.95000000002619</v>
      </c>
      <c r="R45" s="312">
        <f>SUM(R5:R39)</f>
        <v>41424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2"/>
      <c r="N46" s="347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70580</v>
      </c>
      <c r="D49" s="116"/>
      <c r="E49" s="117" t="s">
        <v>10</v>
      </c>
      <c r="F49" s="118">
        <f>SUM(F5:F48)</f>
        <v>3269435</v>
      </c>
      <c r="G49" s="116"/>
      <c r="H49" s="119" t="s">
        <v>11</v>
      </c>
      <c r="I49" s="120">
        <f>SUM(I5:I48)</f>
        <v>3805</v>
      </c>
      <c r="J49" s="273"/>
      <c r="K49" s="274" t="s">
        <v>12</v>
      </c>
      <c r="L49" s="275">
        <f>SUM(L5:L48)</f>
        <v>62288.360000000008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8" t="s">
        <v>13</v>
      </c>
      <c r="I51" s="349"/>
      <c r="J51" s="128"/>
      <c r="K51" s="350">
        <f>I49+L49</f>
        <v>66093.360000000015</v>
      </c>
      <c r="L51" s="351"/>
      <c r="M51" s="352">
        <f>N45+M45</f>
        <v>3202502.23</v>
      </c>
      <c r="N51" s="353"/>
      <c r="P51" s="34"/>
      <c r="Q51" s="9"/>
    </row>
    <row r="52" spans="1:17" x14ac:dyDescent="0.25">
      <c r="D52" s="345" t="s">
        <v>14</v>
      </c>
      <c r="E52" s="345"/>
      <c r="F52" s="129">
        <f>F49-K51-C49</f>
        <v>3132761.64</v>
      </c>
      <c r="I52" s="130"/>
      <c r="J52" s="131"/>
      <c r="P52" s="34"/>
      <c r="Q52" s="9"/>
    </row>
    <row r="53" spans="1:17" x14ac:dyDescent="0.25">
      <c r="D53" s="363" t="s">
        <v>15</v>
      </c>
      <c r="E53" s="363"/>
      <c r="F53" s="124">
        <v>-3128572.23</v>
      </c>
      <c r="I53" s="364" t="s">
        <v>16</v>
      </c>
      <c r="J53" s="365"/>
      <c r="K53" s="378">
        <f>F55+F56+F57</f>
        <v>417897.52000000014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4189.410000000149</v>
      </c>
      <c r="H55" s="23"/>
      <c r="I55" s="139" t="s">
        <v>18</v>
      </c>
      <c r="J55" s="140"/>
      <c r="K55" s="380">
        <f>-C4</f>
        <v>-345633.69</v>
      </c>
      <c r="L55" s="381"/>
    </row>
    <row r="56" spans="1:17" ht="16.5" thickBot="1" x14ac:dyDescent="0.3">
      <c r="D56" s="141" t="s">
        <v>19</v>
      </c>
      <c r="E56" s="126" t="s">
        <v>20</v>
      </c>
      <c r="F56" s="142">
        <v>54600</v>
      </c>
    </row>
    <row r="57" spans="1:17" ht="20.25" thickTop="1" thickBot="1" x14ac:dyDescent="0.35">
      <c r="C57" s="143">
        <v>45109</v>
      </c>
      <c r="D57" s="370" t="s">
        <v>21</v>
      </c>
      <c r="E57" s="371"/>
      <c r="F57" s="299">
        <v>359108.11</v>
      </c>
      <c r="I57" s="387" t="s">
        <v>22</v>
      </c>
      <c r="J57" s="388"/>
      <c r="K57" s="389">
        <f>K53+K55</f>
        <v>72263.830000000133</v>
      </c>
      <c r="L57" s="389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34" workbookViewId="0">
      <selection activeCell="A49" sqref="A49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03" t="s">
        <v>299</v>
      </c>
      <c r="B3" s="304" t="s">
        <v>300</v>
      </c>
      <c r="C3" s="306">
        <v>3978.8</v>
      </c>
      <c r="D3" s="208"/>
      <c r="E3" s="207"/>
      <c r="F3" s="173">
        <f>C3-E3</f>
        <v>3978.8</v>
      </c>
    </row>
    <row r="4" spans="1:7" ht="22.5" customHeight="1" x14ac:dyDescent="0.25">
      <c r="A4" s="303" t="s">
        <v>299</v>
      </c>
      <c r="B4" s="304" t="s">
        <v>301</v>
      </c>
      <c r="C4" s="306">
        <v>64419.48</v>
      </c>
      <c r="D4" s="208"/>
      <c r="E4" s="207"/>
      <c r="F4" s="176">
        <f>C4-E4+F3</f>
        <v>68398.28</v>
      </c>
    </row>
    <row r="5" spans="1:7" ht="21" customHeight="1" x14ac:dyDescent="0.25">
      <c r="A5" s="303" t="s">
        <v>299</v>
      </c>
      <c r="B5" s="304" t="s">
        <v>302</v>
      </c>
      <c r="C5" s="306">
        <v>95868.9</v>
      </c>
      <c r="D5" s="208"/>
      <c r="E5" s="207"/>
      <c r="F5" s="176">
        <f t="shared" ref="F5:F68" si="0">C5-E5+F4</f>
        <v>164267.18</v>
      </c>
    </row>
    <row r="6" spans="1:7" ht="21" customHeight="1" x14ac:dyDescent="0.3">
      <c r="A6" s="303" t="s">
        <v>303</v>
      </c>
      <c r="B6" s="304" t="s">
        <v>304</v>
      </c>
      <c r="C6" s="306">
        <v>44423.7</v>
      </c>
      <c r="D6" s="208"/>
      <c r="E6" s="207"/>
      <c r="F6" s="176">
        <f t="shared" si="0"/>
        <v>208690.88</v>
      </c>
      <c r="G6" s="177"/>
    </row>
    <row r="7" spans="1:7" ht="21" customHeight="1" x14ac:dyDescent="0.25">
      <c r="A7" s="303" t="s">
        <v>305</v>
      </c>
      <c r="B7" s="304" t="s">
        <v>306</v>
      </c>
      <c r="C7" s="306">
        <v>170743.1</v>
      </c>
      <c r="D7" s="208"/>
      <c r="E7" s="207"/>
      <c r="F7" s="176">
        <f t="shared" si="0"/>
        <v>379433.98</v>
      </c>
    </row>
    <row r="8" spans="1:7" ht="21" customHeight="1" x14ac:dyDescent="0.25">
      <c r="A8" s="303" t="s">
        <v>305</v>
      </c>
      <c r="B8" s="304" t="s">
        <v>307</v>
      </c>
      <c r="C8" s="306">
        <v>60459.24</v>
      </c>
      <c r="D8" s="208"/>
      <c r="E8" s="207"/>
      <c r="F8" s="176">
        <f t="shared" si="0"/>
        <v>439893.22</v>
      </c>
    </row>
    <row r="9" spans="1:7" ht="21" customHeight="1" x14ac:dyDescent="0.25">
      <c r="A9" s="303" t="s">
        <v>308</v>
      </c>
      <c r="B9" s="304" t="s">
        <v>309</v>
      </c>
      <c r="C9" s="306">
        <v>7758.5</v>
      </c>
      <c r="D9" s="174"/>
      <c r="E9" s="142"/>
      <c r="F9" s="176">
        <f t="shared" si="0"/>
        <v>447651.72</v>
      </c>
    </row>
    <row r="10" spans="1:7" ht="21" customHeight="1" x14ac:dyDescent="0.25">
      <c r="A10" s="303" t="s">
        <v>308</v>
      </c>
      <c r="B10" s="304" t="s">
        <v>310</v>
      </c>
      <c r="C10" s="306">
        <v>132173.82</v>
      </c>
      <c r="D10" s="174"/>
      <c r="E10" s="142"/>
      <c r="F10" s="176">
        <f t="shared" si="0"/>
        <v>579825.54</v>
      </c>
    </row>
    <row r="11" spans="1:7" ht="21" customHeight="1" x14ac:dyDescent="0.25">
      <c r="A11" s="303" t="s">
        <v>311</v>
      </c>
      <c r="B11" s="304" t="s">
        <v>312</v>
      </c>
      <c r="C11" s="306">
        <v>120438.76</v>
      </c>
      <c r="D11" s="174"/>
      <c r="E11" s="142"/>
      <c r="F11" s="176">
        <f t="shared" si="0"/>
        <v>700264.3</v>
      </c>
    </row>
    <row r="12" spans="1:7" ht="21" customHeight="1" x14ac:dyDescent="0.3">
      <c r="A12" s="303" t="s">
        <v>311</v>
      </c>
      <c r="B12" s="304" t="s">
        <v>313</v>
      </c>
      <c r="C12" s="306">
        <v>7203.42</v>
      </c>
      <c r="D12" s="174"/>
      <c r="E12" s="142"/>
      <c r="F12" s="176">
        <f t="shared" si="0"/>
        <v>707467.72000000009</v>
      </c>
      <c r="G12" s="177"/>
    </row>
    <row r="13" spans="1:7" ht="21" customHeight="1" x14ac:dyDescent="0.25">
      <c r="A13" s="303" t="s">
        <v>314</v>
      </c>
      <c r="B13" s="304" t="s">
        <v>315</v>
      </c>
      <c r="C13" s="306">
        <v>107201.98</v>
      </c>
      <c r="D13" s="174"/>
      <c r="E13" s="142"/>
      <c r="F13" s="176">
        <f t="shared" si="0"/>
        <v>814669.70000000007</v>
      </c>
    </row>
    <row r="14" spans="1:7" ht="21" customHeight="1" x14ac:dyDescent="0.25">
      <c r="A14" s="303" t="s">
        <v>314</v>
      </c>
      <c r="B14" s="304" t="s">
        <v>316</v>
      </c>
      <c r="C14" s="306">
        <v>16000.8</v>
      </c>
      <c r="D14" s="174"/>
      <c r="E14" s="142"/>
      <c r="F14" s="176">
        <f t="shared" si="0"/>
        <v>830670.50000000012</v>
      </c>
    </row>
    <row r="15" spans="1:7" ht="21" customHeight="1" x14ac:dyDescent="0.25">
      <c r="A15" s="303" t="s">
        <v>317</v>
      </c>
      <c r="B15" s="304" t="s">
        <v>318</v>
      </c>
      <c r="C15" s="306">
        <v>10953.36</v>
      </c>
      <c r="D15" s="174"/>
      <c r="E15" s="142"/>
      <c r="F15" s="176">
        <f t="shared" si="0"/>
        <v>841623.8600000001</v>
      </c>
    </row>
    <row r="16" spans="1:7" ht="21" customHeight="1" x14ac:dyDescent="0.25">
      <c r="A16" s="303" t="s">
        <v>317</v>
      </c>
      <c r="B16" s="304" t="s">
        <v>319</v>
      </c>
      <c r="C16" s="306">
        <v>97086.17</v>
      </c>
      <c r="D16" s="174"/>
      <c r="E16" s="142"/>
      <c r="F16" s="176">
        <f t="shared" si="0"/>
        <v>938710.03000000014</v>
      </c>
    </row>
    <row r="17" spans="1:10" ht="21" customHeight="1" x14ac:dyDescent="0.25">
      <c r="A17" s="303" t="s">
        <v>320</v>
      </c>
      <c r="B17" s="304" t="s">
        <v>321</v>
      </c>
      <c r="C17" s="306">
        <v>1822.2</v>
      </c>
      <c r="D17" s="174"/>
      <c r="E17" s="142"/>
      <c r="F17" s="176">
        <f t="shared" si="0"/>
        <v>940532.2300000001</v>
      </c>
    </row>
    <row r="18" spans="1:10" ht="21" customHeight="1" x14ac:dyDescent="0.25">
      <c r="A18" s="303" t="s">
        <v>320</v>
      </c>
      <c r="B18" s="304" t="s">
        <v>322</v>
      </c>
      <c r="C18" s="306">
        <v>161998.60999999999</v>
      </c>
      <c r="D18" s="174"/>
      <c r="E18" s="142"/>
      <c r="F18" s="176">
        <f t="shared" si="0"/>
        <v>1102530.8400000001</v>
      </c>
      <c r="J18" s="126" t="s">
        <v>363</v>
      </c>
    </row>
    <row r="19" spans="1:10" ht="21" customHeight="1" x14ac:dyDescent="0.25">
      <c r="A19" s="303" t="s">
        <v>320</v>
      </c>
      <c r="B19" s="304" t="s">
        <v>323</v>
      </c>
      <c r="C19" s="306">
        <v>134198.39999999999</v>
      </c>
      <c r="D19" s="174"/>
      <c r="E19" s="142"/>
      <c r="F19" s="176">
        <f t="shared" si="0"/>
        <v>1236729.24</v>
      </c>
    </row>
    <row r="20" spans="1:10" ht="21" customHeight="1" x14ac:dyDescent="0.25">
      <c r="A20" s="303" t="s">
        <v>324</v>
      </c>
      <c r="B20" s="304" t="s">
        <v>325</v>
      </c>
      <c r="C20" s="306">
        <v>22309.25</v>
      </c>
      <c r="D20" s="174"/>
      <c r="E20" s="142"/>
      <c r="F20" s="176">
        <f t="shared" si="0"/>
        <v>1259038.49</v>
      </c>
    </row>
    <row r="21" spans="1:10" ht="24.75" customHeight="1" x14ac:dyDescent="0.25">
      <c r="A21" s="303" t="s">
        <v>326</v>
      </c>
      <c r="B21" s="304" t="s">
        <v>327</v>
      </c>
      <c r="C21" s="306">
        <v>123022.82</v>
      </c>
      <c r="D21" s="174"/>
      <c r="E21" s="142"/>
      <c r="F21" s="176">
        <f t="shared" si="0"/>
        <v>1382061.31</v>
      </c>
    </row>
    <row r="22" spans="1:10" ht="21" customHeight="1" x14ac:dyDescent="0.25">
      <c r="A22" s="303" t="s">
        <v>326</v>
      </c>
      <c r="B22" s="304" t="s">
        <v>328</v>
      </c>
      <c r="C22" s="306">
        <v>68289.399999999994</v>
      </c>
      <c r="D22" s="174"/>
      <c r="E22" s="142"/>
      <c r="F22" s="176">
        <f t="shared" si="0"/>
        <v>1450350.71</v>
      </c>
    </row>
    <row r="23" spans="1:10" ht="24.75" customHeight="1" x14ac:dyDescent="0.25">
      <c r="A23" s="303" t="s">
        <v>326</v>
      </c>
      <c r="B23" s="304" t="s">
        <v>329</v>
      </c>
      <c r="C23" s="306">
        <v>71866.8</v>
      </c>
      <c r="D23" s="174"/>
      <c r="E23" s="142"/>
      <c r="F23" s="176">
        <f t="shared" si="0"/>
        <v>1522217.51</v>
      </c>
    </row>
    <row r="24" spans="1:10" ht="21" customHeight="1" x14ac:dyDescent="0.3">
      <c r="A24" s="303" t="s">
        <v>330</v>
      </c>
      <c r="B24" s="304" t="s">
        <v>331</v>
      </c>
      <c r="C24" s="306">
        <v>96915.5</v>
      </c>
      <c r="D24" s="174"/>
      <c r="E24" s="142"/>
      <c r="F24" s="176">
        <f t="shared" si="0"/>
        <v>1619133.01</v>
      </c>
      <c r="G24" s="177"/>
    </row>
    <row r="25" spans="1:10" ht="21" customHeight="1" x14ac:dyDescent="0.25">
      <c r="A25" s="303" t="s">
        <v>332</v>
      </c>
      <c r="B25" s="304" t="s">
        <v>333</v>
      </c>
      <c r="C25" s="306">
        <v>146054.39999999999</v>
      </c>
      <c r="D25" s="174"/>
      <c r="E25" s="142"/>
      <c r="F25" s="176">
        <f t="shared" si="0"/>
        <v>1765187.41</v>
      </c>
    </row>
    <row r="26" spans="1:10" ht="21" customHeight="1" x14ac:dyDescent="0.25">
      <c r="A26" s="303" t="s">
        <v>332</v>
      </c>
      <c r="B26" s="304" t="s">
        <v>334</v>
      </c>
      <c r="C26" s="306">
        <v>37448.699999999997</v>
      </c>
      <c r="D26" s="174"/>
      <c r="E26" s="142"/>
      <c r="F26" s="176">
        <f t="shared" si="0"/>
        <v>1802636.1099999999</v>
      </c>
    </row>
    <row r="27" spans="1:10" ht="21" customHeight="1" x14ac:dyDescent="0.25">
      <c r="A27" s="303" t="s">
        <v>335</v>
      </c>
      <c r="B27" s="304" t="s">
        <v>336</v>
      </c>
      <c r="C27" s="306">
        <v>25900.95</v>
      </c>
      <c r="D27" s="174"/>
      <c r="E27" s="142"/>
      <c r="F27" s="176">
        <f t="shared" si="0"/>
        <v>1828537.0599999998</v>
      </c>
    </row>
    <row r="28" spans="1:10" ht="21" customHeight="1" x14ac:dyDescent="0.25">
      <c r="A28" s="303" t="s">
        <v>335</v>
      </c>
      <c r="B28" s="304" t="s">
        <v>337</v>
      </c>
      <c r="C28" s="306">
        <v>60133.8</v>
      </c>
      <c r="D28" s="174"/>
      <c r="E28" s="142"/>
      <c r="F28" s="176">
        <f t="shared" si="0"/>
        <v>1888670.8599999999</v>
      </c>
    </row>
    <row r="29" spans="1:10" ht="21" customHeight="1" x14ac:dyDescent="0.25">
      <c r="A29" s="303" t="s">
        <v>335</v>
      </c>
      <c r="B29" s="304" t="s">
        <v>338</v>
      </c>
      <c r="C29" s="306">
        <v>90966.99</v>
      </c>
      <c r="D29" s="174"/>
      <c r="E29" s="142"/>
      <c r="F29" s="176">
        <f t="shared" si="0"/>
        <v>1979637.8499999999</v>
      </c>
      <c r="J29" s="142">
        <v>0</v>
      </c>
    </row>
    <row r="30" spans="1:10" ht="21" customHeight="1" x14ac:dyDescent="0.25">
      <c r="A30" s="303" t="s">
        <v>335</v>
      </c>
      <c r="B30" s="304" t="s">
        <v>339</v>
      </c>
      <c r="C30" s="306">
        <v>2249.6</v>
      </c>
      <c r="D30" s="174"/>
      <c r="E30" s="142"/>
      <c r="F30" s="176">
        <f t="shared" si="0"/>
        <v>1981887.45</v>
      </c>
      <c r="J30" s="142">
        <v>0</v>
      </c>
    </row>
    <row r="31" spans="1:10" ht="21" customHeight="1" x14ac:dyDescent="0.25">
      <c r="A31" s="303" t="s">
        <v>335</v>
      </c>
      <c r="B31" s="304" t="s">
        <v>340</v>
      </c>
      <c r="C31" s="306">
        <v>76221.8</v>
      </c>
      <c r="D31" s="174"/>
      <c r="E31" s="142"/>
      <c r="F31" s="176">
        <f t="shared" si="0"/>
        <v>2058109.25</v>
      </c>
      <c r="J31" s="142">
        <v>0</v>
      </c>
    </row>
    <row r="32" spans="1:10" ht="21" customHeight="1" x14ac:dyDescent="0.3">
      <c r="A32" s="303" t="s">
        <v>341</v>
      </c>
      <c r="B32" s="304" t="s">
        <v>342</v>
      </c>
      <c r="C32" s="306">
        <v>151130.51999999999</v>
      </c>
      <c r="D32" s="174"/>
      <c r="E32" s="142"/>
      <c r="F32" s="176">
        <f t="shared" si="0"/>
        <v>2209239.77</v>
      </c>
      <c r="G32" s="177"/>
      <c r="J32" s="142">
        <v>0</v>
      </c>
    </row>
    <row r="33" spans="1:10" ht="21" customHeight="1" x14ac:dyDescent="0.25">
      <c r="A33" s="303" t="s">
        <v>341</v>
      </c>
      <c r="B33" s="304" t="s">
        <v>343</v>
      </c>
      <c r="C33" s="306">
        <v>12096</v>
      </c>
      <c r="D33" s="174"/>
      <c r="E33" s="142"/>
      <c r="F33" s="176">
        <f t="shared" si="0"/>
        <v>2221335.77</v>
      </c>
      <c r="J33" s="142">
        <v>0</v>
      </c>
    </row>
    <row r="34" spans="1:10" ht="21" customHeight="1" x14ac:dyDescent="0.25">
      <c r="A34" s="303" t="s">
        <v>341</v>
      </c>
      <c r="B34" s="304" t="s">
        <v>344</v>
      </c>
      <c r="C34" s="306">
        <v>2859.98</v>
      </c>
      <c r="D34" s="174"/>
      <c r="E34" s="142"/>
      <c r="F34" s="176">
        <f t="shared" si="0"/>
        <v>2224195.75</v>
      </c>
      <c r="J34" s="142">
        <v>0</v>
      </c>
    </row>
    <row r="35" spans="1:10" ht="23.25" customHeight="1" x14ac:dyDescent="0.25">
      <c r="A35" s="303" t="s">
        <v>345</v>
      </c>
      <c r="B35" s="304" t="s">
        <v>346</v>
      </c>
      <c r="C35" s="306">
        <v>108017.5</v>
      </c>
      <c r="D35" s="174"/>
      <c r="E35" s="142"/>
      <c r="F35" s="176">
        <f t="shared" si="0"/>
        <v>2332213.25</v>
      </c>
      <c r="J35" s="142">
        <v>0</v>
      </c>
    </row>
    <row r="36" spans="1:10" ht="23.25" customHeight="1" x14ac:dyDescent="0.25">
      <c r="A36" s="303" t="s">
        <v>345</v>
      </c>
      <c r="B36" s="304" t="s">
        <v>347</v>
      </c>
      <c r="C36" s="306">
        <v>78286</v>
      </c>
      <c r="D36" s="174"/>
      <c r="E36" s="142"/>
      <c r="F36" s="176">
        <f t="shared" si="0"/>
        <v>2410499.25</v>
      </c>
      <c r="J36" s="126">
        <v>0</v>
      </c>
    </row>
    <row r="37" spans="1:10" ht="23.25" customHeight="1" x14ac:dyDescent="0.25">
      <c r="A37" s="303" t="s">
        <v>348</v>
      </c>
      <c r="B37" s="304" t="s">
        <v>349</v>
      </c>
      <c r="C37" s="306">
        <v>21014.12</v>
      </c>
      <c r="D37" s="174"/>
      <c r="E37" s="142"/>
      <c r="F37" s="176">
        <f t="shared" si="0"/>
        <v>2431513.37</v>
      </c>
      <c r="J37" s="178">
        <f>SUM(J29:J36)</f>
        <v>0</v>
      </c>
    </row>
    <row r="38" spans="1:10" ht="23.25" customHeight="1" x14ac:dyDescent="0.25">
      <c r="A38" s="303" t="s">
        <v>348</v>
      </c>
      <c r="B38" s="304" t="s">
        <v>350</v>
      </c>
      <c r="C38" s="306">
        <v>19076.400000000001</v>
      </c>
      <c r="D38" s="174"/>
      <c r="E38" s="142"/>
      <c r="F38" s="176">
        <f t="shared" si="0"/>
        <v>2450589.77</v>
      </c>
    </row>
    <row r="39" spans="1:10" ht="23.25" customHeight="1" x14ac:dyDescent="0.25">
      <c r="A39" s="303" t="s">
        <v>351</v>
      </c>
      <c r="B39" s="304" t="s">
        <v>352</v>
      </c>
      <c r="C39" s="306">
        <v>74198.06</v>
      </c>
      <c r="D39" s="174"/>
      <c r="E39" s="142"/>
      <c r="F39" s="176">
        <f t="shared" si="0"/>
        <v>2524787.83</v>
      </c>
    </row>
    <row r="40" spans="1:10" ht="23.25" customHeight="1" x14ac:dyDescent="0.25">
      <c r="A40" s="303" t="s">
        <v>353</v>
      </c>
      <c r="B40" s="304" t="s">
        <v>354</v>
      </c>
      <c r="C40" s="306">
        <v>20015.7</v>
      </c>
      <c r="D40" s="174"/>
      <c r="E40" s="97"/>
      <c r="F40" s="176">
        <f t="shared" si="0"/>
        <v>2544803.5300000003</v>
      </c>
    </row>
    <row r="41" spans="1:10" ht="23.25" customHeight="1" x14ac:dyDescent="0.25">
      <c r="A41" s="303" t="s">
        <v>353</v>
      </c>
      <c r="B41" s="304" t="s">
        <v>355</v>
      </c>
      <c r="C41" s="306">
        <v>98367.76</v>
      </c>
      <c r="D41" s="174"/>
      <c r="E41" s="97"/>
      <c r="F41" s="176">
        <f t="shared" si="0"/>
        <v>2643171.29</v>
      </c>
    </row>
    <row r="42" spans="1:10" ht="23.25" customHeight="1" x14ac:dyDescent="0.25">
      <c r="A42" s="303" t="s">
        <v>356</v>
      </c>
      <c r="B42" s="304" t="s">
        <v>357</v>
      </c>
      <c r="C42" s="306">
        <v>36491.4</v>
      </c>
      <c r="D42" s="174"/>
      <c r="E42" s="97"/>
      <c r="F42" s="176">
        <f t="shared" si="0"/>
        <v>2679662.69</v>
      </c>
    </row>
    <row r="43" spans="1:10" ht="23.25" customHeight="1" x14ac:dyDescent="0.25">
      <c r="A43" s="303" t="s">
        <v>356</v>
      </c>
      <c r="B43" s="304" t="s">
        <v>358</v>
      </c>
      <c r="C43" s="306">
        <v>83135.100000000006</v>
      </c>
      <c r="D43" s="183"/>
      <c r="E43" s="97"/>
      <c r="F43" s="176">
        <f t="shared" si="0"/>
        <v>2762797.79</v>
      </c>
    </row>
    <row r="44" spans="1:10" ht="23.25" customHeight="1" x14ac:dyDescent="0.25">
      <c r="A44" s="303" t="s">
        <v>356</v>
      </c>
      <c r="B44" s="304" t="s">
        <v>359</v>
      </c>
      <c r="C44" s="306">
        <v>91182.07</v>
      </c>
      <c r="D44" s="183"/>
      <c r="E44" s="97"/>
      <c r="F44" s="176">
        <f t="shared" si="0"/>
        <v>2853979.86</v>
      </c>
    </row>
    <row r="45" spans="1:10" ht="23.25" customHeight="1" x14ac:dyDescent="0.25">
      <c r="A45" s="303" t="s">
        <v>356</v>
      </c>
      <c r="B45" s="304" t="s">
        <v>360</v>
      </c>
      <c r="C45" s="306">
        <v>375</v>
      </c>
      <c r="D45" s="183"/>
      <c r="E45" s="97"/>
      <c r="F45" s="176">
        <f t="shared" si="0"/>
        <v>2854354.86</v>
      </c>
    </row>
    <row r="46" spans="1:10" ht="23.25" customHeight="1" x14ac:dyDescent="0.25">
      <c r="A46" s="303" t="s">
        <v>361</v>
      </c>
      <c r="B46" s="304" t="s">
        <v>362</v>
      </c>
      <c r="C46" s="306">
        <v>117319.28</v>
      </c>
      <c r="D46" s="183"/>
      <c r="E46" s="97"/>
      <c r="F46" s="176">
        <f t="shared" si="0"/>
        <v>2971674.1399999997</v>
      </c>
    </row>
    <row r="47" spans="1:10" ht="23.25" customHeight="1" x14ac:dyDescent="0.25">
      <c r="A47" s="308">
        <v>45108</v>
      </c>
      <c r="B47" s="304" t="s">
        <v>364</v>
      </c>
      <c r="C47" s="305">
        <v>155507.29</v>
      </c>
      <c r="D47" s="183"/>
      <c r="E47" s="97"/>
      <c r="F47" s="176">
        <f t="shared" si="0"/>
        <v>3127181.4299999997</v>
      </c>
    </row>
    <row r="48" spans="1:10" ht="23.25" customHeight="1" x14ac:dyDescent="0.25">
      <c r="A48" s="308">
        <v>45108</v>
      </c>
      <c r="B48" s="304" t="s">
        <v>365</v>
      </c>
      <c r="C48" s="305">
        <v>1390.8</v>
      </c>
      <c r="D48" s="183"/>
      <c r="E48" s="97"/>
      <c r="F48" s="176">
        <f t="shared" si="0"/>
        <v>3128572.2299999995</v>
      </c>
    </row>
    <row r="49" spans="1:6" ht="23.25" customHeight="1" x14ac:dyDescent="0.25">
      <c r="A49" s="308" t="s">
        <v>9</v>
      </c>
      <c r="B49" s="304"/>
      <c r="C49" s="305"/>
      <c r="D49" s="183"/>
      <c r="E49" s="97"/>
      <c r="F49" s="176">
        <f t="shared" si="0"/>
        <v>3128572.2299999995</v>
      </c>
    </row>
    <row r="50" spans="1:6" ht="23.25" customHeight="1" x14ac:dyDescent="0.25">
      <c r="A50" s="308"/>
      <c r="B50" s="304"/>
      <c r="C50" s="305"/>
      <c r="D50" s="183"/>
      <c r="E50" s="97"/>
      <c r="F50" s="176">
        <f t="shared" si="0"/>
        <v>3128572.2299999995</v>
      </c>
    </row>
    <row r="51" spans="1:6" ht="23.25" customHeight="1" x14ac:dyDescent="0.25">
      <c r="A51" s="308"/>
      <c r="B51" s="304"/>
      <c r="C51" s="305"/>
      <c r="D51" s="183"/>
      <c r="E51" s="97"/>
      <c r="F51" s="176">
        <f t="shared" si="0"/>
        <v>3128572.2299999995</v>
      </c>
    </row>
    <row r="52" spans="1:6" ht="23.25" customHeight="1" x14ac:dyDescent="0.25">
      <c r="A52" s="307"/>
      <c r="B52" s="232"/>
      <c r="C52" s="142"/>
      <c r="D52" s="183"/>
      <c r="E52" s="97"/>
      <c r="F52" s="176">
        <f t="shared" si="0"/>
        <v>3128572.2299999995</v>
      </c>
    </row>
    <row r="53" spans="1:6" ht="23.25" customHeight="1" x14ac:dyDescent="0.25">
      <c r="A53" s="307"/>
      <c r="B53" s="232"/>
      <c r="C53" s="142"/>
      <c r="D53" s="183"/>
      <c r="E53" s="97"/>
      <c r="F53" s="176">
        <f t="shared" si="0"/>
        <v>3128572.2299999995</v>
      </c>
    </row>
    <row r="54" spans="1:6" ht="23.25" customHeight="1" x14ac:dyDescent="0.25">
      <c r="A54" s="307"/>
      <c r="B54" s="232"/>
      <c r="C54" s="142"/>
      <c r="D54" s="183"/>
      <c r="E54" s="97"/>
      <c r="F54" s="176">
        <f t="shared" si="0"/>
        <v>3128572.2299999995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3128572.2299999995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3128572.2299999995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3128572.2299999995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3128572.2299999995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3128572.2299999995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3128572.2299999995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3128572.2299999995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3128572.2299999995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3128572.2299999995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3128572.2299999995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3128572.2299999995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3128572.2299999995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3128572.2299999995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3128572.2299999995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3128572.2299999995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3128572.2299999995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3128572.2299999995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3128572.2299999995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3128572.2299999995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3128572.2299999995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3128572.2299999995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3128572.2299999995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3128572.2299999995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3128572.2299999995</v>
      </c>
    </row>
    <row r="79" spans="1:6" ht="39.75" customHeight="1" thickBot="1" x14ac:dyDescent="0.35">
      <c r="A79" s="188"/>
      <c r="B79" s="189"/>
      <c r="C79" s="300">
        <f>SUM(C3:C78)</f>
        <v>3128572.2299999995</v>
      </c>
      <c r="D79" s="168"/>
      <c r="E79" s="191">
        <f>SUM(E3:E78)</f>
        <v>0</v>
      </c>
      <c r="F79" s="192">
        <f>F78</f>
        <v>3128572.2299999995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opLeftCell="A25" workbookViewId="0">
      <selection activeCell="C41" sqref="C4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381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0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290">
        <v>45109</v>
      </c>
      <c r="E4" s="339" t="s">
        <v>4</v>
      </c>
      <c r="F4" s="340"/>
      <c r="H4" s="341" t="s">
        <v>5</v>
      </c>
      <c r="I4" s="342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91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H5" s="29">
        <v>45110</v>
      </c>
      <c r="I5" s="30">
        <v>132</v>
      </c>
      <c r="J5" s="235"/>
      <c r="K5" s="241"/>
      <c r="L5" s="13"/>
      <c r="M5" s="31">
        <f>33500+141071</f>
        <v>174571</v>
      </c>
      <c r="N5" s="32">
        <v>0</v>
      </c>
      <c r="O5" s="33"/>
      <c r="P5" s="222">
        <f>N5+M5+L5+I5+C5</f>
        <v>174703</v>
      </c>
      <c r="Q5" s="223">
        <v>0</v>
      </c>
      <c r="R5" s="224">
        <f>M5-F5</f>
        <v>23223</v>
      </c>
      <c r="S5" s="33"/>
    </row>
    <row r="6" spans="1:21" ht="18" thickBot="1" x14ac:dyDescent="0.35">
      <c r="A6" s="23"/>
      <c r="B6" s="24">
        <v>45111</v>
      </c>
      <c r="C6" s="25">
        <v>4380</v>
      </c>
      <c r="D6" s="35" t="s">
        <v>269</v>
      </c>
      <c r="E6" s="27">
        <v>45111</v>
      </c>
      <c r="F6" s="28">
        <v>94080</v>
      </c>
      <c r="H6" s="29">
        <v>45111</v>
      </c>
      <c r="I6" s="30">
        <v>81</v>
      </c>
      <c r="J6" s="242"/>
      <c r="K6" s="68"/>
      <c r="L6" s="243"/>
      <c r="M6" s="31">
        <f>8000+91353</f>
        <v>99353</v>
      </c>
      <c r="N6" s="32">
        <v>464</v>
      </c>
      <c r="O6" s="33"/>
      <c r="P6" s="222">
        <f>N6+M6+L6+I6+C6</f>
        <v>104278</v>
      </c>
      <c r="Q6" s="223">
        <f>P6-F6-10184</f>
        <v>14</v>
      </c>
      <c r="R6" s="224">
        <v>10184</v>
      </c>
      <c r="S6" s="33"/>
      <c r="T6" s="9"/>
    </row>
    <row r="7" spans="1:21" ht="18" thickBot="1" x14ac:dyDescent="0.35">
      <c r="A7" s="23"/>
      <c r="B7" s="24">
        <v>45112</v>
      </c>
      <c r="C7" s="25">
        <v>0</v>
      </c>
      <c r="D7" s="39"/>
      <c r="E7" s="27">
        <v>45112</v>
      </c>
      <c r="F7" s="28">
        <v>54602</v>
      </c>
      <c r="H7" s="29">
        <v>45112</v>
      </c>
      <c r="I7" s="30">
        <v>147</v>
      </c>
      <c r="J7" s="242"/>
      <c r="K7" s="99"/>
      <c r="L7" s="243"/>
      <c r="M7" s="31">
        <v>54455</v>
      </c>
      <c r="N7" s="32">
        <v>0</v>
      </c>
      <c r="O7" s="33"/>
      <c r="P7" s="222">
        <f>N7+M7+L7+I7+C7</f>
        <v>54602</v>
      </c>
      <c r="Q7" s="223">
        <f>P7-F7</f>
        <v>0</v>
      </c>
      <c r="R7" s="225">
        <v>0</v>
      </c>
      <c r="S7" s="33"/>
    </row>
    <row r="8" spans="1:21" ht="18" thickBot="1" x14ac:dyDescent="0.35">
      <c r="A8" s="23"/>
      <c r="B8" s="24">
        <v>45113</v>
      </c>
      <c r="C8" s="25"/>
      <c r="D8" s="39"/>
      <c r="E8" s="27">
        <v>45113</v>
      </c>
      <c r="F8" s="28">
        <v>117199</v>
      </c>
      <c r="H8" s="29">
        <v>45113</v>
      </c>
      <c r="I8" s="30">
        <v>15</v>
      </c>
      <c r="J8" s="242"/>
      <c r="K8" s="244"/>
      <c r="L8" s="243"/>
      <c r="M8" s="31">
        <f>64800+52384</f>
        <v>117184</v>
      </c>
      <c r="N8" s="32">
        <v>0</v>
      </c>
      <c r="O8" s="33"/>
      <c r="P8" s="222">
        <f t="shared" ref="P8:P45" si="0">N8+M8+L8+I8+C8</f>
        <v>117199</v>
      </c>
      <c r="Q8" s="223">
        <f t="shared" ref="Q8:Q47" si="1">P8-F8</f>
        <v>0</v>
      </c>
      <c r="R8" s="225">
        <v>0</v>
      </c>
      <c r="S8" s="33"/>
    </row>
    <row r="9" spans="1:21" ht="18" thickBot="1" x14ac:dyDescent="0.35">
      <c r="A9" s="23"/>
      <c r="B9" s="24">
        <v>45114</v>
      </c>
      <c r="C9" s="25">
        <v>4661</v>
      </c>
      <c r="D9" s="43" t="s">
        <v>69</v>
      </c>
      <c r="E9" s="27">
        <v>45114</v>
      </c>
      <c r="F9" s="28">
        <v>153829</v>
      </c>
      <c r="H9" s="29">
        <v>45114</v>
      </c>
      <c r="I9" s="30">
        <v>168</v>
      </c>
      <c r="J9" s="242"/>
      <c r="K9" s="245"/>
      <c r="L9" s="243"/>
      <c r="M9" s="31">
        <f>40800+114763</f>
        <v>155563</v>
      </c>
      <c r="N9" s="32">
        <v>834</v>
      </c>
      <c r="O9" s="33"/>
      <c r="P9" s="222">
        <f t="shared" si="0"/>
        <v>161226</v>
      </c>
      <c r="Q9" s="223">
        <v>0</v>
      </c>
      <c r="R9" s="224">
        <v>7397</v>
      </c>
      <c r="S9" s="33"/>
    </row>
    <row r="10" spans="1:21" ht="18" thickBot="1" x14ac:dyDescent="0.35">
      <c r="A10" s="23"/>
      <c r="B10" s="24">
        <v>45115</v>
      </c>
      <c r="C10" s="25">
        <v>0</v>
      </c>
      <c r="D10" s="35"/>
      <c r="E10" s="27">
        <v>45115</v>
      </c>
      <c r="F10" s="28">
        <v>148445</v>
      </c>
      <c r="H10" s="29">
        <v>45115</v>
      </c>
      <c r="I10" s="30">
        <v>208</v>
      </c>
      <c r="J10" s="242">
        <v>45115</v>
      </c>
      <c r="K10" s="246" t="s">
        <v>382</v>
      </c>
      <c r="L10" s="247">
        <v>9055</v>
      </c>
      <c r="M10" s="31">
        <f>50500+87880</f>
        <v>138380</v>
      </c>
      <c r="N10" s="32">
        <v>828</v>
      </c>
      <c r="O10" s="33"/>
      <c r="P10" s="222">
        <f>N10+M10+L10+I10+C10</f>
        <v>148471</v>
      </c>
      <c r="Q10" s="223">
        <f t="shared" si="1"/>
        <v>26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5"/>
      <c r="E11" s="27">
        <v>45116</v>
      </c>
      <c r="F11" s="28">
        <v>82418</v>
      </c>
      <c r="H11" s="29">
        <v>45116</v>
      </c>
      <c r="I11" s="30">
        <v>69</v>
      </c>
      <c r="J11" s="242"/>
      <c r="K11" s="245"/>
      <c r="L11" s="243"/>
      <c r="M11" s="31">
        <f>81000+14139</f>
        <v>95139</v>
      </c>
      <c r="N11" s="32">
        <v>901</v>
      </c>
      <c r="O11" s="33"/>
      <c r="P11" s="222">
        <f>N11+M11+L11+I11+C11</f>
        <v>96109</v>
      </c>
      <c r="Q11" s="223">
        <f>P11-F11-13664</f>
        <v>27</v>
      </c>
      <c r="R11" s="224">
        <v>13664</v>
      </c>
      <c r="S11" s="33"/>
    </row>
    <row r="12" spans="1:21" ht="18" thickBot="1" x14ac:dyDescent="0.35">
      <c r="A12" s="23"/>
      <c r="B12" s="24">
        <v>45117</v>
      </c>
      <c r="C12" s="25">
        <v>0</v>
      </c>
      <c r="D12" s="35"/>
      <c r="E12" s="27">
        <v>45117</v>
      </c>
      <c r="F12" s="28">
        <v>195880</v>
      </c>
      <c r="H12" s="29">
        <v>45117</v>
      </c>
      <c r="I12" s="30">
        <v>167</v>
      </c>
      <c r="J12" s="242"/>
      <c r="K12" s="248"/>
      <c r="L12" s="243"/>
      <c r="M12" s="31">
        <f>68000+127713</f>
        <v>195713</v>
      </c>
      <c r="N12" s="32">
        <v>0</v>
      </c>
      <c r="O12" s="33"/>
      <c r="P12" s="222">
        <f t="shared" si="0"/>
        <v>195880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45118</v>
      </c>
      <c r="C13" s="25">
        <v>3480</v>
      </c>
      <c r="D13" s="39" t="s">
        <v>211</v>
      </c>
      <c r="E13" s="27">
        <v>45118</v>
      </c>
      <c r="F13" s="28">
        <v>136861</v>
      </c>
      <c r="H13" s="29">
        <v>45118</v>
      </c>
      <c r="I13" s="30">
        <v>70</v>
      </c>
      <c r="J13" s="242"/>
      <c r="K13" s="68"/>
      <c r="L13" s="243"/>
      <c r="M13" s="31">
        <f>51000+81929</f>
        <v>132929</v>
      </c>
      <c r="N13" s="32">
        <v>394</v>
      </c>
      <c r="O13" s="33"/>
      <c r="P13" s="222">
        <f t="shared" si="0"/>
        <v>136873</v>
      </c>
      <c r="Q13" s="223">
        <f t="shared" si="1"/>
        <v>12</v>
      </c>
      <c r="R13" s="225">
        <v>0</v>
      </c>
      <c r="S13" s="33"/>
    </row>
    <row r="14" spans="1:21" ht="18" thickBot="1" x14ac:dyDescent="0.35">
      <c r="A14" s="23"/>
      <c r="B14" s="24">
        <v>45119</v>
      </c>
      <c r="C14" s="25">
        <v>900</v>
      </c>
      <c r="D14" s="43" t="s">
        <v>294</v>
      </c>
      <c r="E14" s="27">
        <v>45119</v>
      </c>
      <c r="F14" s="28">
        <v>28904</v>
      </c>
      <c r="H14" s="29">
        <v>45119</v>
      </c>
      <c r="I14" s="30">
        <v>193</v>
      </c>
      <c r="J14" s="242"/>
      <c r="K14" s="244"/>
      <c r="L14" s="243"/>
      <c r="M14" s="31">
        <v>27811</v>
      </c>
      <c r="N14" s="32">
        <v>0</v>
      </c>
      <c r="O14" s="33"/>
      <c r="P14" s="222">
        <f t="shared" si="0"/>
        <v>28904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45120</v>
      </c>
      <c r="C15" s="25">
        <v>0</v>
      </c>
      <c r="D15" s="43"/>
      <c r="E15" s="27">
        <v>45120</v>
      </c>
      <c r="F15" s="28">
        <v>147109</v>
      </c>
      <c r="H15" s="29">
        <v>45120</v>
      </c>
      <c r="I15" s="30">
        <v>0</v>
      </c>
      <c r="J15" s="242"/>
      <c r="K15" s="244"/>
      <c r="L15" s="243"/>
      <c r="M15" s="31">
        <f>29000+116085</f>
        <v>145085</v>
      </c>
      <c r="N15" s="32">
        <v>2086</v>
      </c>
      <c r="O15" s="297"/>
      <c r="P15" s="222">
        <f t="shared" si="0"/>
        <v>147171</v>
      </c>
      <c r="Q15" s="223">
        <f t="shared" si="1"/>
        <v>62</v>
      </c>
      <c r="R15" s="225">
        <v>0</v>
      </c>
      <c r="S15" s="33"/>
    </row>
    <row r="16" spans="1:21" ht="18" thickBot="1" x14ac:dyDescent="0.35">
      <c r="A16" s="23"/>
      <c r="B16" s="24">
        <v>45121</v>
      </c>
      <c r="C16" s="25">
        <v>11732</v>
      </c>
      <c r="D16" s="39" t="s">
        <v>69</v>
      </c>
      <c r="E16" s="27">
        <v>45121</v>
      </c>
      <c r="F16" s="28">
        <v>177601</v>
      </c>
      <c r="H16" s="29">
        <v>45121</v>
      </c>
      <c r="I16" s="30">
        <v>158</v>
      </c>
      <c r="J16" s="242"/>
      <c r="K16" s="244"/>
      <c r="L16" s="13"/>
      <c r="M16" s="31">
        <f>57500+106095</f>
        <v>163595</v>
      </c>
      <c r="N16" s="32">
        <v>2180</v>
      </c>
      <c r="O16" s="33"/>
      <c r="P16" s="222">
        <f t="shared" si="0"/>
        <v>177665</v>
      </c>
      <c r="Q16" s="223">
        <f t="shared" si="1"/>
        <v>64</v>
      </c>
      <c r="R16" s="225">
        <v>0</v>
      </c>
      <c r="S16" s="33"/>
    </row>
    <row r="17" spans="1:20" ht="18" thickBot="1" x14ac:dyDescent="0.35">
      <c r="A17" s="23"/>
      <c r="B17" s="24">
        <v>45122</v>
      </c>
      <c r="C17" s="25">
        <v>0</v>
      </c>
      <c r="D17" s="43"/>
      <c r="E17" s="27">
        <v>45122</v>
      </c>
      <c r="F17" s="28">
        <v>169447</v>
      </c>
      <c r="H17" s="29">
        <v>45122</v>
      </c>
      <c r="I17" s="30">
        <v>198</v>
      </c>
      <c r="J17" s="242">
        <v>45122</v>
      </c>
      <c r="K17" s="42" t="s">
        <v>383</v>
      </c>
      <c r="L17" s="247">
        <v>8733</v>
      </c>
      <c r="M17" s="31">
        <f>64500+95113</f>
        <v>159613</v>
      </c>
      <c r="N17" s="32">
        <v>931</v>
      </c>
      <c r="O17" s="33"/>
      <c r="P17" s="222">
        <f t="shared" si="0"/>
        <v>169475</v>
      </c>
      <c r="Q17" s="223">
        <f t="shared" si="1"/>
        <v>28</v>
      </c>
      <c r="R17" s="225">
        <v>0</v>
      </c>
      <c r="S17" s="33"/>
    </row>
    <row r="18" spans="1:20" ht="18" thickBot="1" x14ac:dyDescent="0.35">
      <c r="A18" s="23"/>
      <c r="B18" s="24">
        <v>45123</v>
      </c>
      <c r="C18" s="25">
        <v>1980</v>
      </c>
      <c r="D18" s="35" t="s">
        <v>384</v>
      </c>
      <c r="E18" s="27">
        <v>45123</v>
      </c>
      <c r="F18" s="28">
        <v>144827</v>
      </c>
      <c r="H18" s="29">
        <v>45123</v>
      </c>
      <c r="I18" s="30">
        <v>15</v>
      </c>
      <c r="J18" s="242"/>
      <c r="K18" s="249"/>
      <c r="L18" s="243"/>
      <c r="M18" s="31">
        <f>128100+14367</f>
        <v>142467</v>
      </c>
      <c r="N18" s="32">
        <v>376</v>
      </c>
      <c r="O18" s="33"/>
      <c r="P18" s="222">
        <f t="shared" si="0"/>
        <v>144838</v>
      </c>
      <c r="Q18" s="223">
        <f t="shared" si="1"/>
        <v>11</v>
      </c>
      <c r="R18" s="225">
        <v>0</v>
      </c>
      <c r="S18" s="33"/>
    </row>
    <row r="19" spans="1:20" ht="17.25" customHeight="1" thickBot="1" x14ac:dyDescent="0.35">
      <c r="A19" s="23"/>
      <c r="B19" s="24">
        <v>45124</v>
      </c>
      <c r="C19" s="25">
        <v>0</v>
      </c>
      <c r="D19" s="35"/>
      <c r="E19" s="27">
        <v>45124</v>
      </c>
      <c r="F19" s="28">
        <v>174056</v>
      </c>
      <c r="H19" s="29">
        <v>45124</v>
      </c>
      <c r="I19" s="30">
        <v>234</v>
      </c>
      <c r="J19" s="242"/>
      <c r="K19" s="250"/>
      <c r="L19" s="251"/>
      <c r="M19" s="31">
        <f>35800+138022</f>
        <v>173822</v>
      </c>
      <c r="N19" s="32">
        <v>0</v>
      </c>
      <c r="O19" s="33"/>
      <c r="P19" s="222">
        <f t="shared" si="0"/>
        <v>174056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45125</v>
      </c>
      <c r="C20" s="25">
        <v>0</v>
      </c>
      <c r="D20" s="35"/>
      <c r="E20" s="27">
        <v>45125</v>
      </c>
      <c r="F20" s="28">
        <v>154400</v>
      </c>
      <c r="H20" s="29">
        <v>45125</v>
      </c>
      <c r="I20" s="30">
        <v>47</v>
      </c>
      <c r="J20" s="242"/>
      <c r="K20" s="246"/>
      <c r="L20" s="247"/>
      <c r="M20" s="31">
        <f>82600+71397</f>
        <v>153997</v>
      </c>
      <c r="N20" s="32">
        <v>367</v>
      </c>
      <c r="O20" s="33"/>
      <c r="P20" s="222">
        <f t="shared" si="0"/>
        <v>154411</v>
      </c>
      <c r="Q20" s="223">
        <f t="shared" si="1"/>
        <v>11</v>
      </c>
      <c r="R20" s="225">
        <v>0</v>
      </c>
      <c r="S20" s="33"/>
    </row>
    <row r="21" spans="1:20" ht="18" thickBot="1" x14ac:dyDescent="0.35">
      <c r="A21" s="23"/>
      <c r="B21" s="24">
        <v>45126</v>
      </c>
      <c r="C21" s="25">
        <v>0</v>
      </c>
      <c r="D21" s="35"/>
      <c r="E21" s="27">
        <v>45126</v>
      </c>
      <c r="F21" s="28">
        <v>86346</v>
      </c>
      <c r="H21" s="29">
        <v>45126</v>
      </c>
      <c r="I21" s="30">
        <v>159</v>
      </c>
      <c r="J21" s="242"/>
      <c r="K21" s="252"/>
      <c r="L21" s="247"/>
      <c r="M21" s="31">
        <f>72187+14000</f>
        <v>86187</v>
      </c>
      <c r="N21" s="32">
        <v>0</v>
      </c>
      <c r="O21" s="33"/>
      <c r="P21" s="222">
        <f t="shared" si="0"/>
        <v>86346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45127</v>
      </c>
      <c r="C22" s="25">
        <v>3000</v>
      </c>
      <c r="D22" s="43" t="s">
        <v>385</v>
      </c>
      <c r="E22" s="27">
        <v>45127</v>
      </c>
      <c r="F22" s="28">
        <v>155372</v>
      </c>
      <c r="H22" s="29">
        <v>45127</v>
      </c>
      <c r="I22" s="30">
        <v>15</v>
      </c>
      <c r="J22" s="242"/>
      <c r="K22" s="285"/>
      <c r="L22" s="253"/>
      <c r="M22" s="31">
        <f>137720+14000</f>
        <v>151720</v>
      </c>
      <c r="N22" s="32">
        <v>657</v>
      </c>
      <c r="O22" s="298"/>
      <c r="P22" s="222">
        <f t="shared" si="0"/>
        <v>155392</v>
      </c>
      <c r="Q22" s="223">
        <f t="shared" si="1"/>
        <v>20</v>
      </c>
      <c r="R22" s="225">
        <v>0</v>
      </c>
      <c r="S22" s="33"/>
    </row>
    <row r="23" spans="1:20" ht="18" thickBot="1" x14ac:dyDescent="0.35">
      <c r="A23" s="23"/>
      <c r="B23" s="24">
        <v>45128</v>
      </c>
      <c r="C23" s="25">
        <v>29665</v>
      </c>
      <c r="D23" s="43" t="s">
        <v>386</v>
      </c>
      <c r="E23" s="27">
        <v>45128</v>
      </c>
      <c r="F23" s="28">
        <v>152771</v>
      </c>
      <c r="H23" s="29">
        <v>45128</v>
      </c>
      <c r="I23" s="30">
        <v>160</v>
      </c>
      <c r="J23" s="254"/>
      <c r="K23" s="255"/>
      <c r="L23" s="247"/>
      <c r="M23" s="31">
        <f>11000+110343</f>
        <v>121343</v>
      </c>
      <c r="N23" s="32">
        <v>1650</v>
      </c>
      <c r="O23" s="33"/>
      <c r="P23" s="222">
        <f t="shared" si="0"/>
        <v>152818</v>
      </c>
      <c r="Q23" s="223">
        <f t="shared" si="1"/>
        <v>47</v>
      </c>
      <c r="R23" s="225">
        <v>0</v>
      </c>
      <c r="S23" s="33"/>
    </row>
    <row r="24" spans="1:20" ht="18" thickBot="1" x14ac:dyDescent="0.35">
      <c r="A24" s="23"/>
      <c r="B24" s="24">
        <v>45129</v>
      </c>
      <c r="C24" s="25">
        <v>0</v>
      </c>
      <c r="D24" s="39"/>
      <c r="E24" s="27">
        <v>45129</v>
      </c>
      <c r="F24" s="28">
        <v>161197</v>
      </c>
      <c r="H24" s="29">
        <v>45129</v>
      </c>
      <c r="I24" s="30">
        <v>114</v>
      </c>
      <c r="J24" s="256">
        <v>45129</v>
      </c>
      <c r="K24" s="255" t="s">
        <v>387</v>
      </c>
      <c r="L24" s="257">
        <v>9554</v>
      </c>
      <c r="M24" s="31">
        <f>104500+45910</f>
        <v>150410</v>
      </c>
      <c r="N24" s="32">
        <v>1145</v>
      </c>
      <c r="O24" s="314" t="s">
        <v>388</v>
      </c>
      <c r="P24" s="222">
        <f t="shared" si="0"/>
        <v>161223</v>
      </c>
      <c r="Q24" s="223">
        <f t="shared" si="1"/>
        <v>26</v>
      </c>
      <c r="R24" s="225">
        <v>0</v>
      </c>
      <c r="S24" s="33"/>
    </row>
    <row r="25" spans="1:20" ht="18" thickBot="1" x14ac:dyDescent="0.35">
      <c r="A25" s="23"/>
      <c r="B25" s="24">
        <v>45130</v>
      </c>
      <c r="C25" s="25">
        <v>0</v>
      </c>
      <c r="D25" s="35"/>
      <c r="E25" s="27">
        <v>45130</v>
      </c>
      <c r="F25" s="28">
        <v>137636</v>
      </c>
      <c r="H25" s="29">
        <v>45130</v>
      </c>
      <c r="I25" s="30">
        <v>5</v>
      </c>
      <c r="J25" s="258"/>
      <c r="K25" s="259"/>
      <c r="L25" s="260"/>
      <c r="M25" s="31">
        <f>123800+12948</f>
        <v>136748</v>
      </c>
      <c r="N25" s="32">
        <v>910</v>
      </c>
      <c r="O25" s="33"/>
      <c r="P25" s="222">
        <f t="shared" si="0"/>
        <v>137663</v>
      </c>
      <c r="Q25" s="223">
        <f t="shared" si="1"/>
        <v>27</v>
      </c>
      <c r="R25" s="225">
        <v>0</v>
      </c>
      <c r="S25" s="33"/>
    </row>
    <row r="26" spans="1:20" ht="18" thickBot="1" x14ac:dyDescent="0.35">
      <c r="A26" s="23"/>
      <c r="B26" s="24">
        <v>45131</v>
      </c>
      <c r="C26" s="25">
        <v>3000</v>
      </c>
      <c r="D26" s="35" t="s">
        <v>67</v>
      </c>
      <c r="E26" s="27">
        <v>45131</v>
      </c>
      <c r="F26" s="28">
        <v>183666</v>
      </c>
      <c r="H26" s="29">
        <v>45131</v>
      </c>
      <c r="I26" s="30">
        <v>188</v>
      </c>
      <c r="J26" s="242"/>
      <c r="K26" s="255"/>
      <c r="L26" s="247"/>
      <c r="M26" s="31">
        <f>59800+120678</f>
        <v>180478</v>
      </c>
      <c r="N26" s="32">
        <v>0</v>
      </c>
      <c r="O26" s="33"/>
      <c r="P26" s="222">
        <f t="shared" si="0"/>
        <v>183666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45132</v>
      </c>
      <c r="C27" s="25">
        <v>0</v>
      </c>
      <c r="D27" s="39"/>
      <c r="E27" s="27">
        <v>45132</v>
      </c>
      <c r="F27" s="28">
        <v>130272</v>
      </c>
      <c r="H27" s="29">
        <v>45132</v>
      </c>
      <c r="I27" s="30">
        <v>57</v>
      </c>
      <c r="J27" s="261"/>
      <c r="K27" s="259"/>
      <c r="L27" s="260"/>
      <c r="M27" s="31">
        <f>26500+103430</f>
        <v>129930</v>
      </c>
      <c r="N27" s="32">
        <v>294</v>
      </c>
      <c r="O27" s="33"/>
      <c r="P27" s="222">
        <f t="shared" si="0"/>
        <v>130281</v>
      </c>
      <c r="Q27" s="223">
        <f t="shared" si="1"/>
        <v>9</v>
      </c>
      <c r="R27" s="225">
        <v>0</v>
      </c>
      <c r="S27" s="33"/>
    </row>
    <row r="28" spans="1:20" ht="18" thickBot="1" x14ac:dyDescent="0.35">
      <c r="A28" s="23"/>
      <c r="B28" s="24">
        <v>45133</v>
      </c>
      <c r="C28" s="25">
        <v>3150</v>
      </c>
      <c r="D28" s="39" t="s">
        <v>67</v>
      </c>
      <c r="E28" s="27">
        <v>45133</v>
      </c>
      <c r="F28" s="28">
        <v>74401</v>
      </c>
      <c r="H28" s="29">
        <v>45133</v>
      </c>
      <c r="I28" s="30">
        <v>231</v>
      </c>
      <c r="J28" s="262"/>
      <c r="K28" s="68"/>
      <c r="L28" s="260"/>
      <c r="M28" s="31">
        <f>33500+31906</f>
        <v>65406</v>
      </c>
      <c r="N28" s="32">
        <v>5869</v>
      </c>
      <c r="O28" s="33"/>
      <c r="P28" s="222">
        <f t="shared" si="0"/>
        <v>74656</v>
      </c>
      <c r="Q28" s="223">
        <f t="shared" si="1"/>
        <v>255</v>
      </c>
      <c r="R28" s="225">
        <v>0</v>
      </c>
      <c r="S28" s="33"/>
    </row>
    <row r="29" spans="1:20" ht="18" thickBot="1" x14ac:dyDescent="0.35">
      <c r="A29" s="23"/>
      <c r="B29" s="24">
        <v>45134</v>
      </c>
      <c r="C29" s="25">
        <v>0</v>
      </c>
      <c r="D29" s="69"/>
      <c r="E29" s="27">
        <v>45134</v>
      </c>
      <c r="F29" s="28">
        <v>125557</v>
      </c>
      <c r="H29" s="29">
        <v>45134</v>
      </c>
      <c r="I29" s="30">
        <v>137</v>
      </c>
      <c r="J29" s="261"/>
      <c r="K29" s="263" t="s">
        <v>9</v>
      </c>
      <c r="L29" s="260"/>
      <c r="M29" s="31">
        <f>51500+72403</f>
        <v>123903</v>
      </c>
      <c r="N29" s="32">
        <v>1563</v>
      </c>
      <c r="O29" s="33"/>
      <c r="P29" s="222">
        <f t="shared" si="0"/>
        <v>125603</v>
      </c>
      <c r="Q29" s="223">
        <f t="shared" si="1"/>
        <v>46</v>
      </c>
      <c r="R29" s="225">
        <v>0</v>
      </c>
      <c r="S29" s="33"/>
      <c r="T29" s="9"/>
    </row>
    <row r="30" spans="1:20" ht="18" thickBot="1" x14ac:dyDescent="0.35">
      <c r="A30" s="23"/>
      <c r="B30" s="24">
        <v>45135</v>
      </c>
      <c r="C30" s="25">
        <v>17504</v>
      </c>
      <c r="D30" s="69" t="s">
        <v>267</v>
      </c>
      <c r="E30" s="27">
        <v>45135</v>
      </c>
      <c r="F30" s="28">
        <v>168079</v>
      </c>
      <c r="H30" s="29">
        <v>45135</v>
      </c>
      <c r="I30" s="30">
        <v>155</v>
      </c>
      <c r="J30" s="83"/>
      <c r="K30" s="264"/>
      <c r="L30" s="265"/>
      <c r="M30" s="31">
        <f>35500+114920</f>
        <v>150420</v>
      </c>
      <c r="N30" s="32">
        <v>0</v>
      </c>
      <c r="O30" s="33"/>
      <c r="P30" s="222">
        <f t="shared" si="0"/>
        <v>168079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45136</v>
      </c>
      <c r="C31" s="25">
        <v>0</v>
      </c>
      <c r="D31" s="74"/>
      <c r="E31" s="27">
        <v>45136</v>
      </c>
      <c r="F31" s="28">
        <v>165591</v>
      </c>
      <c r="H31" s="29">
        <v>45136</v>
      </c>
      <c r="I31" s="30">
        <v>55</v>
      </c>
      <c r="J31" s="262">
        <v>45136</v>
      </c>
      <c r="K31" s="259" t="s">
        <v>389</v>
      </c>
      <c r="L31" s="260">
        <v>9054</v>
      </c>
      <c r="M31" s="31">
        <f>61000+94586</f>
        <v>155586</v>
      </c>
      <c r="N31" s="32">
        <v>924</v>
      </c>
      <c r="O31" s="33"/>
      <c r="P31" s="222">
        <f t="shared" si="0"/>
        <v>165619</v>
      </c>
      <c r="Q31" s="223">
        <f t="shared" si="1"/>
        <v>28</v>
      </c>
      <c r="R31" s="225">
        <v>0</v>
      </c>
      <c r="S31" s="33"/>
    </row>
    <row r="32" spans="1:20" ht="18" thickBot="1" x14ac:dyDescent="0.35">
      <c r="A32" s="23"/>
      <c r="B32" s="24">
        <v>45137</v>
      </c>
      <c r="C32" s="25">
        <v>0</v>
      </c>
      <c r="D32" s="79"/>
      <c r="E32" s="27">
        <v>45137</v>
      </c>
      <c r="F32" s="28">
        <v>143637</v>
      </c>
      <c r="H32" s="29">
        <v>45137</v>
      </c>
      <c r="I32" s="30">
        <v>5</v>
      </c>
      <c r="J32" s="83"/>
      <c r="K32" s="264"/>
      <c r="L32" s="265"/>
      <c r="M32" s="31">
        <f>116000+27632</f>
        <v>143632</v>
      </c>
      <c r="N32" s="32">
        <v>0</v>
      </c>
      <c r="O32" s="33"/>
      <c r="P32" s="222">
        <f t="shared" si="0"/>
        <v>143637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45110</v>
      </c>
      <c r="C34" s="25">
        <v>854250</v>
      </c>
      <c r="D34" s="91" t="s">
        <v>482</v>
      </c>
      <c r="E34" s="27"/>
      <c r="F34" s="28"/>
      <c r="H34" s="29"/>
      <c r="I34" s="30"/>
      <c r="J34" s="83">
        <v>45111</v>
      </c>
      <c r="K34" s="315" t="s">
        <v>390</v>
      </c>
      <c r="L34" s="330">
        <v>14500</v>
      </c>
      <c r="M34" s="31">
        <v>0</v>
      </c>
      <c r="N34" s="32">
        <v>0</v>
      </c>
      <c r="O34" s="33"/>
      <c r="P34" s="222">
        <f t="shared" si="0"/>
        <v>868750</v>
      </c>
      <c r="Q34" s="223">
        <f t="shared" si="1"/>
        <v>868750</v>
      </c>
      <c r="R34" s="225">
        <v>0</v>
      </c>
      <c r="S34" s="33"/>
    </row>
    <row r="35" spans="1:19" ht="18" thickBot="1" x14ac:dyDescent="0.35">
      <c r="A35" s="23"/>
      <c r="B35" s="24">
        <v>45117</v>
      </c>
      <c r="C35" s="25">
        <v>12274</v>
      </c>
      <c r="D35" s="74" t="s">
        <v>483</v>
      </c>
      <c r="E35" s="27"/>
      <c r="F35" s="28"/>
      <c r="H35" s="29"/>
      <c r="I35" s="30"/>
      <c r="J35" s="83">
        <v>45111</v>
      </c>
      <c r="K35" s="218" t="s">
        <v>452</v>
      </c>
      <c r="L35" s="331">
        <v>1907.04</v>
      </c>
      <c r="M35" s="31">
        <v>0</v>
      </c>
      <c r="N35" s="32">
        <v>0</v>
      </c>
      <c r="O35" s="33"/>
      <c r="P35" s="222">
        <f t="shared" si="0"/>
        <v>14181.04</v>
      </c>
      <c r="Q35" s="223">
        <f t="shared" si="1"/>
        <v>14181.04</v>
      </c>
      <c r="R35" s="225">
        <v>0</v>
      </c>
      <c r="S35" s="33"/>
    </row>
    <row r="36" spans="1:19" ht="18" thickBot="1" x14ac:dyDescent="0.35">
      <c r="A36" s="23"/>
      <c r="B36" s="24">
        <v>45119</v>
      </c>
      <c r="C36" s="25">
        <v>37120</v>
      </c>
      <c r="D36" s="77" t="s">
        <v>484</v>
      </c>
      <c r="E36" s="27"/>
      <c r="F36" s="28"/>
      <c r="H36" s="29"/>
      <c r="I36" s="30"/>
      <c r="J36" s="83">
        <v>45114</v>
      </c>
      <c r="K36" s="266" t="s">
        <v>391</v>
      </c>
      <c r="L36" s="331">
        <v>1392</v>
      </c>
      <c r="M36" s="31">
        <v>0</v>
      </c>
      <c r="N36" s="32">
        <v>0</v>
      </c>
      <c r="O36" s="33"/>
      <c r="P36" s="222">
        <f t="shared" si="0"/>
        <v>38512</v>
      </c>
      <c r="Q36" s="223">
        <f t="shared" si="1"/>
        <v>38512</v>
      </c>
      <c r="R36" s="225">
        <v>0</v>
      </c>
      <c r="S36" s="33"/>
    </row>
    <row r="37" spans="1:19" ht="18" thickBot="1" x14ac:dyDescent="0.35">
      <c r="A37" s="23"/>
      <c r="B37" s="24">
        <v>45124</v>
      </c>
      <c r="C37" s="25">
        <v>943600</v>
      </c>
      <c r="D37" s="91" t="s">
        <v>486</v>
      </c>
      <c r="E37" s="27"/>
      <c r="F37" s="28"/>
      <c r="H37" s="29"/>
      <c r="I37" s="30"/>
      <c r="J37" s="83">
        <v>45114</v>
      </c>
      <c r="K37" s="266" t="s">
        <v>393</v>
      </c>
      <c r="L37" s="331">
        <v>1225.1199999999999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45131</v>
      </c>
      <c r="C38" s="25">
        <v>12434</v>
      </c>
      <c r="D38" s="77" t="s">
        <v>487</v>
      </c>
      <c r="E38" s="27"/>
      <c r="F38" s="28"/>
      <c r="H38" s="29"/>
      <c r="I38" s="30"/>
      <c r="J38" s="83">
        <v>45121</v>
      </c>
      <c r="K38" s="288" t="s">
        <v>485</v>
      </c>
      <c r="L38" s="331">
        <v>7656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45132</v>
      </c>
      <c r="C39" s="25">
        <v>37120</v>
      </c>
      <c r="D39" s="77" t="s">
        <v>488</v>
      </c>
      <c r="E39" s="27"/>
      <c r="F39" s="28"/>
      <c r="H39" s="29"/>
      <c r="I39" s="30"/>
      <c r="J39" s="83">
        <v>45128</v>
      </c>
      <c r="K39" s="302" t="s">
        <v>111</v>
      </c>
      <c r="L39" s="295">
        <v>549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45135</v>
      </c>
      <c r="K40" s="269" t="s">
        <v>109</v>
      </c>
      <c r="L40" s="295">
        <v>1031.47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45137</v>
      </c>
      <c r="K41" s="313" t="s">
        <v>392</v>
      </c>
      <c r="L41" s="295">
        <v>1032.9000000000001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86"/>
      <c r="L43" s="265"/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22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1">
        <f>SUM(M5:M39)</f>
        <v>3725440</v>
      </c>
      <c r="N45" s="346">
        <f>SUM(N5:N39)</f>
        <v>22373</v>
      </c>
      <c r="P45" s="95">
        <f t="shared" si="0"/>
        <v>3747813</v>
      </c>
      <c r="Q45" s="223">
        <f>SUM(Q5:Q44)</f>
        <v>922156.04</v>
      </c>
      <c r="R45" s="312">
        <f>SUM(R5:R39)</f>
        <v>54468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2"/>
      <c r="N46" s="347"/>
      <c r="P46" s="34"/>
      <c r="Q46" s="223">
        <f t="shared" si="1"/>
        <v>0</v>
      </c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223">
        <f t="shared" si="1"/>
        <v>0</v>
      </c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1980250</v>
      </c>
      <c r="D49" s="116"/>
      <c r="E49" s="117" t="s">
        <v>10</v>
      </c>
      <c r="F49" s="118">
        <f>SUM(F5:F48)</f>
        <v>3815531</v>
      </c>
      <c r="G49" s="116"/>
      <c r="H49" s="119" t="s">
        <v>11</v>
      </c>
      <c r="I49" s="120">
        <f>SUM(I5:I48)</f>
        <v>3183</v>
      </c>
      <c r="J49" s="273"/>
      <c r="K49" s="274" t="s">
        <v>12</v>
      </c>
      <c r="L49" s="275">
        <f>SUM(L5:L48)</f>
        <v>65689.53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8" t="s">
        <v>13</v>
      </c>
      <c r="I51" s="349"/>
      <c r="J51" s="128"/>
      <c r="K51" s="350">
        <f>I49+L49</f>
        <v>68872.53</v>
      </c>
      <c r="L51" s="351"/>
      <c r="M51" s="352">
        <f>N45+M45</f>
        <v>3747813</v>
      </c>
      <c r="N51" s="353"/>
      <c r="P51" s="34"/>
      <c r="Q51" s="9"/>
    </row>
    <row r="52" spans="1:17" x14ac:dyDescent="0.25">
      <c r="D52" s="345" t="s">
        <v>14</v>
      </c>
      <c r="E52" s="345"/>
      <c r="F52" s="129">
        <f>F49-K51-C49</f>
        <v>1766408.4700000002</v>
      </c>
      <c r="I52" s="130"/>
      <c r="J52" s="131"/>
      <c r="P52" s="34"/>
      <c r="Q52" s="9"/>
    </row>
    <row r="53" spans="1:17" x14ac:dyDescent="0.25">
      <c r="D53" s="363" t="s">
        <v>15</v>
      </c>
      <c r="E53" s="363"/>
      <c r="F53" s="124">
        <v>-2396693.7400000002</v>
      </c>
      <c r="I53" s="364" t="s">
        <v>16</v>
      </c>
      <c r="J53" s="365"/>
      <c r="K53" s="378">
        <f>F55+F56+F57</f>
        <v>-170615.15000000002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  <c r="Q54" s="9"/>
    </row>
    <row r="55" spans="1:17" ht="16.5" thickTop="1" x14ac:dyDescent="0.25">
      <c r="C55" s="5" t="s">
        <v>9</v>
      </c>
      <c r="E55" s="126" t="s">
        <v>17</v>
      </c>
      <c r="F55" s="124">
        <f>SUM(F52:F54)</f>
        <v>-630285.27</v>
      </c>
      <c r="H55" s="23"/>
      <c r="I55" s="139" t="s">
        <v>18</v>
      </c>
      <c r="J55" s="140"/>
      <c r="K55" s="380">
        <f>-C4</f>
        <v>-359108.11</v>
      </c>
      <c r="L55" s="381"/>
      <c r="Q55" s="9"/>
    </row>
    <row r="56" spans="1:17" ht="16.5" thickBot="1" x14ac:dyDescent="0.3">
      <c r="D56" s="141" t="s">
        <v>19</v>
      </c>
      <c r="E56" s="126" t="s">
        <v>20</v>
      </c>
      <c r="F56" s="142">
        <v>101442</v>
      </c>
    </row>
    <row r="57" spans="1:17" ht="20.25" thickTop="1" thickBot="1" x14ac:dyDescent="0.35">
      <c r="C57" s="143">
        <v>45137</v>
      </c>
      <c r="D57" s="370" t="s">
        <v>21</v>
      </c>
      <c r="E57" s="371"/>
      <c r="F57" s="299">
        <v>358228.12</v>
      </c>
      <c r="I57" s="382" t="s">
        <v>170</v>
      </c>
      <c r="J57" s="383"/>
      <c r="K57" s="392">
        <f>K53+K55</f>
        <v>-529723.26</v>
      </c>
      <c r="L57" s="392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sortState ref="J34:L41">
    <sortCondition ref="J34:J41"/>
  </sortState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49" activePane="bottomLeft" state="frozen"/>
      <selection pane="bottomLeft" activeCell="C82" sqref="C82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>
        <v>45110</v>
      </c>
      <c r="B3" s="321" t="s">
        <v>394</v>
      </c>
      <c r="C3" s="305">
        <v>127061.9</v>
      </c>
      <c r="D3" s="208"/>
      <c r="E3" s="207"/>
      <c r="F3" s="173">
        <f>C3-E3</f>
        <v>127061.9</v>
      </c>
    </row>
    <row r="4" spans="1:7" ht="22.5" customHeight="1" x14ac:dyDescent="0.25">
      <c r="A4" s="317">
        <v>45111</v>
      </c>
      <c r="B4" s="321" t="s">
        <v>395</v>
      </c>
      <c r="C4" s="305">
        <v>106089.8</v>
      </c>
      <c r="D4" s="208"/>
      <c r="E4" s="207"/>
      <c r="F4" s="176">
        <f>C4-E4+F3</f>
        <v>233151.7</v>
      </c>
    </row>
    <row r="5" spans="1:7" ht="21" customHeight="1" x14ac:dyDescent="0.25">
      <c r="A5" s="317">
        <v>45112</v>
      </c>
      <c r="B5" s="321" t="s">
        <v>396</v>
      </c>
      <c r="C5" s="305">
        <v>148542.16</v>
      </c>
      <c r="D5" s="208"/>
      <c r="E5" s="207"/>
      <c r="F5" s="176">
        <f t="shared" ref="F5:F68" si="0">C5-E5+F4</f>
        <v>381693.86</v>
      </c>
    </row>
    <row r="6" spans="1:7" ht="21" customHeight="1" x14ac:dyDescent="0.3">
      <c r="A6" s="317">
        <v>45113</v>
      </c>
      <c r="B6" s="321" t="s">
        <v>397</v>
      </c>
      <c r="C6" s="305">
        <v>91606.01</v>
      </c>
      <c r="D6" s="208"/>
      <c r="E6" s="207"/>
      <c r="F6" s="176">
        <f t="shared" si="0"/>
        <v>473299.87</v>
      </c>
      <c r="G6" s="177"/>
    </row>
    <row r="7" spans="1:7" ht="21" customHeight="1" x14ac:dyDescent="0.25">
      <c r="A7" s="317">
        <v>45114</v>
      </c>
      <c r="B7" s="321" t="s">
        <v>398</v>
      </c>
      <c r="C7" s="305">
        <v>139761.34</v>
      </c>
      <c r="D7" s="208"/>
      <c r="E7" s="207"/>
      <c r="F7" s="176">
        <f t="shared" si="0"/>
        <v>613061.21</v>
      </c>
    </row>
    <row r="8" spans="1:7" ht="21" customHeight="1" x14ac:dyDescent="0.25">
      <c r="A8" s="317">
        <v>45114</v>
      </c>
      <c r="B8" s="321" t="s">
        <v>399</v>
      </c>
      <c r="C8" s="305">
        <v>19507.55</v>
      </c>
      <c r="D8" s="208"/>
      <c r="E8" s="207"/>
      <c r="F8" s="176">
        <f t="shared" si="0"/>
        <v>632568.76</v>
      </c>
    </row>
    <row r="9" spans="1:7" ht="21" customHeight="1" x14ac:dyDescent="0.25">
      <c r="A9" s="317">
        <v>45115</v>
      </c>
      <c r="B9" s="321" t="s">
        <v>400</v>
      </c>
      <c r="C9" s="305">
        <v>13626</v>
      </c>
      <c r="D9" s="174"/>
      <c r="E9" s="142"/>
      <c r="F9" s="176">
        <f t="shared" si="0"/>
        <v>646194.76</v>
      </c>
    </row>
    <row r="10" spans="1:7" ht="21" customHeight="1" x14ac:dyDescent="0.25">
      <c r="A10" s="317">
        <v>45115</v>
      </c>
      <c r="B10" s="321" t="s">
        <v>401</v>
      </c>
      <c r="C10" s="305">
        <v>137491.6</v>
      </c>
      <c r="D10" s="174"/>
      <c r="E10" s="142"/>
      <c r="F10" s="176">
        <f t="shared" si="0"/>
        <v>783686.36</v>
      </c>
    </row>
    <row r="11" spans="1:7" ht="21" customHeight="1" x14ac:dyDescent="0.25">
      <c r="A11" s="317">
        <v>45115</v>
      </c>
      <c r="B11" s="321" t="s">
        <v>403</v>
      </c>
      <c r="C11" s="305">
        <v>86570.4</v>
      </c>
      <c r="D11" s="174"/>
      <c r="E11" s="142"/>
      <c r="F11" s="176">
        <f t="shared" si="0"/>
        <v>870256.76</v>
      </c>
    </row>
    <row r="12" spans="1:7" ht="21" customHeight="1" x14ac:dyDescent="0.3">
      <c r="A12" s="317">
        <v>45117</v>
      </c>
      <c r="B12" s="321" t="s">
        <v>402</v>
      </c>
      <c r="C12" s="305">
        <v>76708.800000000003</v>
      </c>
      <c r="D12" s="174"/>
      <c r="E12" s="142"/>
      <c r="F12" s="176">
        <f t="shared" si="0"/>
        <v>946965.56</v>
      </c>
      <c r="G12" s="177"/>
    </row>
    <row r="13" spans="1:7" ht="21" customHeight="1" x14ac:dyDescent="0.25">
      <c r="A13" s="317">
        <v>45117</v>
      </c>
      <c r="B13" s="321" t="s">
        <v>404</v>
      </c>
      <c r="C13" s="305">
        <v>47903.7</v>
      </c>
      <c r="D13" s="174"/>
      <c r="E13" s="142"/>
      <c r="F13" s="176">
        <f t="shared" si="0"/>
        <v>994869.26</v>
      </c>
    </row>
    <row r="14" spans="1:7" ht="21" customHeight="1" x14ac:dyDescent="0.25">
      <c r="A14" s="317">
        <v>45118</v>
      </c>
      <c r="B14" s="321" t="s">
        <v>405</v>
      </c>
      <c r="C14" s="305">
        <v>48347.37</v>
      </c>
      <c r="D14" s="174"/>
      <c r="E14" s="142"/>
      <c r="F14" s="176">
        <f t="shared" si="0"/>
        <v>1043216.63</v>
      </c>
    </row>
    <row r="15" spans="1:7" ht="21" customHeight="1" x14ac:dyDescent="0.25">
      <c r="A15" s="317">
        <v>45118</v>
      </c>
      <c r="B15" s="321" t="s">
        <v>406</v>
      </c>
      <c r="C15" s="305">
        <v>0</v>
      </c>
      <c r="D15" s="174"/>
      <c r="E15" s="142"/>
      <c r="F15" s="176">
        <f t="shared" si="0"/>
        <v>1043216.63</v>
      </c>
    </row>
    <row r="16" spans="1:7" ht="21" customHeight="1" x14ac:dyDescent="0.25">
      <c r="A16" s="317">
        <v>45119</v>
      </c>
      <c r="B16" s="321" t="s">
        <v>407</v>
      </c>
      <c r="C16" s="305">
        <v>0</v>
      </c>
      <c r="D16" s="174"/>
      <c r="E16" s="142"/>
      <c r="F16" s="176">
        <f t="shared" si="0"/>
        <v>1043216.63</v>
      </c>
    </row>
    <row r="17" spans="1:10" ht="21" customHeight="1" x14ac:dyDescent="0.25">
      <c r="A17" s="317">
        <v>45119</v>
      </c>
      <c r="B17" s="321" t="s">
        <v>408</v>
      </c>
      <c r="C17" s="305">
        <v>66833.850000000006</v>
      </c>
      <c r="D17" s="174"/>
      <c r="E17" s="142"/>
      <c r="F17" s="176">
        <f t="shared" si="0"/>
        <v>1110050.48</v>
      </c>
    </row>
    <row r="18" spans="1:10" ht="21" customHeight="1" x14ac:dyDescent="0.25">
      <c r="A18" s="317">
        <v>45119</v>
      </c>
      <c r="B18" s="321" t="s">
        <v>409</v>
      </c>
      <c r="C18" s="305">
        <v>1345.4</v>
      </c>
      <c r="D18" s="174"/>
      <c r="E18" s="142"/>
      <c r="F18" s="176">
        <f t="shared" si="0"/>
        <v>1111395.8799999999</v>
      </c>
      <c r="J18" s="126" t="s">
        <v>363</v>
      </c>
    </row>
    <row r="19" spans="1:10" ht="21" customHeight="1" x14ac:dyDescent="0.25">
      <c r="A19" s="317">
        <v>45120</v>
      </c>
      <c r="B19" s="321" t="s">
        <v>410</v>
      </c>
      <c r="C19" s="305">
        <v>62164.47</v>
      </c>
      <c r="D19" s="174"/>
      <c r="E19" s="142"/>
      <c r="F19" s="176">
        <f t="shared" si="0"/>
        <v>1173560.3499999999</v>
      </c>
    </row>
    <row r="20" spans="1:10" ht="21" customHeight="1" x14ac:dyDescent="0.25">
      <c r="A20" s="317">
        <v>45121</v>
      </c>
      <c r="B20" s="321" t="s">
        <v>411</v>
      </c>
      <c r="C20" s="305">
        <v>51273.68</v>
      </c>
      <c r="D20" s="174"/>
      <c r="E20" s="142"/>
      <c r="F20" s="176">
        <f t="shared" si="0"/>
        <v>1224834.0299999998</v>
      </c>
    </row>
    <row r="21" spans="1:10" ht="24.75" customHeight="1" x14ac:dyDescent="0.25">
      <c r="A21" s="317">
        <v>45122</v>
      </c>
      <c r="B21" s="321" t="s">
        <v>412</v>
      </c>
      <c r="C21" s="305">
        <v>0</v>
      </c>
      <c r="D21" s="174"/>
      <c r="E21" s="142"/>
      <c r="F21" s="176">
        <f t="shared" si="0"/>
        <v>1224834.0299999998</v>
      </c>
    </row>
    <row r="22" spans="1:10" ht="21" customHeight="1" x14ac:dyDescent="0.25">
      <c r="A22" s="317">
        <v>45122</v>
      </c>
      <c r="B22" s="321" t="s">
        <v>413</v>
      </c>
      <c r="C22" s="305">
        <v>49319.38</v>
      </c>
      <c r="D22" s="174"/>
      <c r="E22" s="142"/>
      <c r="F22" s="176">
        <f t="shared" si="0"/>
        <v>1274153.4099999997</v>
      </c>
    </row>
    <row r="23" spans="1:10" ht="24.75" customHeight="1" x14ac:dyDescent="0.25">
      <c r="A23" s="317">
        <v>45122</v>
      </c>
      <c r="B23" s="321" t="s">
        <v>414</v>
      </c>
      <c r="C23" s="305">
        <v>19983.599999999999</v>
      </c>
      <c r="D23" s="174"/>
      <c r="E23" s="142"/>
      <c r="F23" s="176">
        <f t="shared" si="0"/>
        <v>1294137.0099999998</v>
      </c>
    </row>
    <row r="24" spans="1:10" ht="21" customHeight="1" x14ac:dyDescent="0.3">
      <c r="A24" s="317">
        <v>45122</v>
      </c>
      <c r="B24" s="321" t="s">
        <v>415</v>
      </c>
      <c r="C24" s="305">
        <v>60011.519999999997</v>
      </c>
      <c r="D24" s="174"/>
      <c r="E24" s="142"/>
      <c r="F24" s="176">
        <f t="shared" si="0"/>
        <v>1354148.5299999998</v>
      </c>
      <c r="G24" s="177"/>
    </row>
    <row r="25" spans="1:10" ht="21" customHeight="1" x14ac:dyDescent="0.25">
      <c r="A25" s="317">
        <v>45124</v>
      </c>
      <c r="B25" s="321" t="s">
        <v>416</v>
      </c>
      <c r="C25" s="305">
        <v>73787.100000000006</v>
      </c>
      <c r="D25" s="174"/>
      <c r="E25" s="142"/>
      <c r="F25" s="176">
        <f t="shared" si="0"/>
        <v>1427935.63</v>
      </c>
    </row>
    <row r="26" spans="1:10" ht="21" customHeight="1" x14ac:dyDescent="0.25">
      <c r="A26" s="317">
        <v>45124</v>
      </c>
      <c r="B26" s="321" t="s">
        <v>417</v>
      </c>
      <c r="C26" s="305">
        <v>81209.850000000006</v>
      </c>
      <c r="D26" s="174"/>
      <c r="E26" s="142"/>
      <c r="F26" s="176">
        <f t="shared" si="0"/>
        <v>1509145.48</v>
      </c>
    </row>
    <row r="27" spans="1:10" ht="21" customHeight="1" x14ac:dyDescent="0.25">
      <c r="A27" s="317">
        <v>45124</v>
      </c>
      <c r="B27" s="321" t="s">
        <v>418</v>
      </c>
      <c r="C27" s="305">
        <v>0</v>
      </c>
      <c r="D27" s="174"/>
      <c r="E27" s="142"/>
      <c r="F27" s="176">
        <f t="shared" si="0"/>
        <v>1509145.48</v>
      </c>
    </row>
    <row r="28" spans="1:10" ht="21" customHeight="1" x14ac:dyDescent="0.25">
      <c r="A28" s="317">
        <v>45125</v>
      </c>
      <c r="B28" s="321" t="s">
        <v>419</v>
      </c>
      <c r="C28" s="305">
        <v>16014</v>
      </c>
      <c r="D28" s="174"/>
      <c r="E28" s="142"/>
      <c r="F28" s="176">
        <f t="shared" si="0"/>
        <v>1525159.48</v>
      </c>
    </row>
    <row r="29" spans="1:10" ht="21" customHeight="1" x14ac:dyDescent="0.25">
      <c r="A29" s="317">
        <v>45125</v>
      </c>
      <c r="B29" s="321" t="s">
        <v>420</v>
      </c>
      <c r="C29" s="305">
        <v>0</v>
      </c>
      <c r="D29" s="174"/>
      <c r="E29" s="142"/>
      <c r="F29" s="176">
        <f t="shared" si="0"/>
        <v>1525159.48</v>
      </c>
      <c r="J29" s="142">
        <v>0</v>
      </c>
    </row>
    <row r="30" spans="1:10" ht="21" customHeight="1" x14ac:dyDescent="0.25">
      <c r="A30" s="317">
        <v>45125</v>
      </c>
      <c r="B30" s="321" t="s">
        <v>421</v>
      </c>
      <c r="C30" s="305">
        <v>17158</v>
      </c>
      <c r="D30" s="174"/>
      <c r="E30" s="142"/>
      <c r="F30" s="176">
        <f t="shared" si="0"/>
        <v>1542317.48</v>
      </c>
      <c r="J30" s="142">
        <v>0</v>
      </c>
    </row>
    <row r="31" spans="1:10" ht="21" customHeight="1" x14ac:dyDescent="0.25">
      <c r="A31" s="317">
        <v>45125</v>
      </c>
      <c r="B31" s="321" t="s">
        <v>422</v>
      </c>
      <c r="C31" s="305">
        <v>39357.599999999999</v>
      </c>
      <c r="D31" s="174"/>
      <c r="E31" s="142"/>
      <c r="F31" s="176">
        <f t="shared" si="0"/>
        <v>1581675.08</v>
      </c>
      <c r="J31" s="142">
        <v>0</v>
      </c>
    </row>
    <row r="32" spans="1:10" ht="21" customHeight="1" x14ac:dyDescent="0.3">
      <c r="A32" s="317">
        <v>45126</v>
      </c>
      <c r="B32" s="321" t="s">
        <v>423</v>
      </c>
      <c r="C32" s="305">
        <v>79733.740000000005</v>
      </c>
      <c r="D32" s="174"/>
      <c r="E32" s="142"/>
      <c r="F32" s="176">
        <f t="shared" si="0"/>
        <v>1661408.82</v>
      </c>
      <c r="G32" s="177"/>
      <c r="J32" s="142">
        <v>0</v>
      </c>
    </row>
    <row r="33" spans="1:10" ht="21" customHeight="1" x14ac:dyDescent="0.25">
      <c r="A33" s="317">
        <v>45126</v>
      </c>
      <c r="B33" s="321" t="s">
        <v>424</v>
      </c>
      <c r="C33" s="305">
        <v>0</v>
      </c>
      <c r="D33" s="174"/>
      <c r="E33" s="142"/>
      <c r="F33" s="176">
        <f t="shared" si="0"/>
        <v>1661408.82</v>
      </c>
      <c r="J33" s="142">
        <v>0</v>
      </c>
    </row>
    <row r="34" spans="1:10" ht="21" customHeight="1" x14ac:dyDescent="0.25">
      <c r="A34" s="317">
        <v>45126</v>
      </c>
      <c r="B34" s="321" t="s">
        <v>425</v>
      </c>
      <c r="C34" s="305">
        <v>594</v>
      </c>
      <c r="D34" s="174"/>
      <c r="E34" s="142"/>
      <c r="F34" s="176">
        <f t="shared" si="0"/>
        <v>1662002.82</v>
      </c>
      <c r="J34" s="142">
        <v>0</v>
      </c>
    </row>
    <row r="35" spans="1:10" ht="23.25" customHeight="1" x14ac:dyDescent="0.25">
      <c r="A35" s="317">
        <v>45126</v>
      </c>
      <c r="B35" s="321" t="s">
        <v>426</v>
      </c>
      <c r="C35" s="305">
        <v>0</v>
      </c>
      <c r="D35" s="174"/>
      <c r="E35" s="142"/>
      <c r="F35" s="176">
        <f t="shared" si="0"/>
        <v>1662002.82</v>
      </c>
      <c r="J35" s="142">
        <v>0</v>
      </c>
    </row>
    <row r="36" spans="1:10" ht="23.25" customHeight="1" x14ac:dyDescent="0.25">
      <c r="A36" s="317">
        <v>45127</v>
      </c>
      <c r="B36" s="321" t="s">
        <v>427</v>
      </c>
      <c r="C36" s="305">
        <v>0</v>
      </c>
      <c r="D36" s="174"/>
      <c r="E36" s="142"/>
      <c r="F36" s="176">
        <f t="shared" si="0"/>
        <v>1662002.82</v>
      </c>
      <c r="J36" s="126">
        <v>0</v>
      </c>
    </row>
    <row r="37" spans="1:10" ht="23.25" customHeight="1" x14ac:dyDescent="0.25">
      <c r="A37" s="317">
        <v>45127</v>
      </c>
      <c r="B37" s="321" t="s">
        <v>428</v>
      </c>
      <c r="C37" s="305">
        <v>89753.15</v>
      </c>
      <c r="D37" s="174"/>
      <c r="E37" s="142"/>
      <c r="F37" s="176">
        <f t="shared" si="0"/>
        <v>1751755.97</v>
      </c>
      <c r="J37" s="178">
        <f>SUM(J29:J36)</f>
        <v>0</v>
      </c>
    </row>
    <row r="38" spans="1:10" ht="23.25" customHeight="1" x14ac:dyDescent="0.25">
      <c r="A38" s="317">
        <v>45128</v>
      </c>
      <c r="B38" s="321" t="s">
        <v>429</v>
      </c>
      <c r="C38" s="305">
        <v>8469.0499999999993</v>
      </c>
      <c r="D38" s="174"/>
      <c r="E38" s="142"/>
      <c r="F38" s="176">
        <f t="shared" si="0"/>
        <v>1760225.02</v>
      </c>
    </row>
    <row r="39" spans="1:10" ht="23.25" customHeight="1" x14ac:dyDescent="0.25">
      <c r="A39" s="317">
        <v>45128</v>
      </c>
      <c r="B39" s="321" t="s">
        <v>430</v>
      </c>
      <c r="C39" s="305">
        <v>69894.600000000006</v>
      </c>
      <c r="D39" s="174"/>
      <c r="E39" s="142"/>
      <c r="F39" s="176">
        <f t="shared" si="0"/>
        <v>1830119.62</v>
      </c>
    </row>
    <row r="40" spans="1:10" ht="23.25" customHeight="1" x14ac:dyDescent="0.25">
      <c r="A40" s="317">
        <v>45128</v>
      </c>
      <c r="B40" s="321" t="s">
        <v>431</v>
      </c>
      <c r="C40" s="305">
        <v>0</v>
      </c>
      <c r="D40" s="174"/>
      <c r="E40" s="97"/>
      <c r="F40" s="176">
        <f t="shared" si="0"/>
        <v>1830119.62</v>
      </c>
    </row>
    <row r="41" spans="1:10" ht="23.25" customHeight="1" x14ac:dyDescent="0.25">
      <c r="A41" s="317">
        <v>45128</v>
      </c>
      <c r="B41" s="321" t="s">
        <v>432</v>
      </c>
      <c r="C41" s="305">
        <v>3432.8</v>
      </c>
      <c r="D41" s="174"/>
      <c r="E41" s="97"/>
      <c r="F41" s="176">
        <f t="shared" si="0"/>
        <v>1833552.4200000002</v>
      </c>
    </row>
    <row r="42" spans="1:10" ht="23.25" customHeight="1" x14ac:dyDescent="0.25">
      <c r="A42" s="317">
        <v>45128</v>
      </c>
      <c r="B42" s="321" t="s">
        <v>433</v>
      </c>
      <c r="C42" s="305">
        <v>0</v>
      </c>
      <c r="D42" s="174"/>
      <c r="E42" s="97"/>
      <c r="F42" s="176">
        <f t="shared" si="0"/>
        <v>1833552.4200000002</v>
      </c>
    </row>
    <row r="43" spans="1:10" ht="23.25" customHeight="1" x14ac:dyDescent="0.25">
      <c r="A43" s="317">
        <v>45129</v>
      </c>
      <c r="B43" s="321" t="s">
        <v>434</v>
      </c>
      <c r="C43" s="305">
        <v>0</v>
      </c>
      <c r="D43" s="183"/>
      <c r="E43" s="97"/>
      <c r="F43" s="176">
        <f t="shared" si="0"/>
        <v>1833552.4200000002</v>
      </c>
    </row>
    <row r="44" spans="1:10" ht="23.25" customHeight="1" x14ac:dyDescent="0.25">
      <c r="A44" s="317">
        <v>45129</v>
      </c>
      <c r="B44" s="321" t="s">
        <v>435</v>
      </c>
      <c r="C44" s="305">
        <v>55115.4</v>
      </c>
      <c r="D44" s="183"/>
      <c r="E44" s="97"/>
      <c r="F44" s="176">
        <f t="shared" si="0"/>
        <v>1888667.82</v>
      </c>
    </row>
    <row r="45" spans="1:10" ht="23.25" customHeight="1" x14ac:dyDescent="0.25">
      <c r="A45" s="317">
        <v>45129</v>
      </c>
      <c r="B45" s="321" t="s">
        <v>436</v>
      </c>
      <c r="C45" s="305">
        <v>66157.350000000006</v>
      </c>
      <c r="D45" s="183"/>
      <c r="E45" s="97"/>
      <c r="F45" s="176">
        <f t="shared" si="0"/>
        <v>1954825.1700000002</v>
      </c>
    </row>
    <row r="46" spans="1:10" ht="23.25" customHeight="1" x14ac:dyDescent="0.25">
      <c r="A46" s="317">
        <v>45129</v>
      </c>
      <c r="B46" s="321" t="s">
        <v>437</v>
      </c>
      <c r="C46" s="305">
        <v>1730.4</v>
      </c>
      <c r="D46" s="183"/>
      <c r="E46" s="97"/>
      <c r="F46" s="176">
        <f t="shared" si="0"/>
        <v>1956555.57</v>
      </c>
    </row>
    <row r="47" spans="1:10" ht="23.25" customHeight="1" x14ac:dyDescent="0.25">
      <c r="A47" s="317">
        <v>45131</v>
      </c>
      <c r="B47" s="321" t="s">
        <v>438</v>
      </c>
      <c r="C47" s="305">
        <v>8367.4</v>
      </c>
      <c r="D47" s="183"/>
      <c r="E47" s="97"/>
      <c r="F47" s="176">
        <f t="shared" si="0"/>
        <v>1964922.97</v>
      </c>
    </row>
    <row r="48" spans="1:10" ht="23.25" customHeight="1" x14ac:dyDescent="0.25">
      <c r="A48" s="317">
        <v>45131</v>
      </c>
      <c r="B48" s="321" t="s">
        <v>439</v>
      </c>
      <c r="C48" s="305">
        <v>69725.83</v>
      </c>
      <c r="D48" s="183"/>
      <c r="E48" s="97"/>
      <c r="F48" s="176">
        <f t="shared" si="0"/>
        <v>2034648.8</v>
      </c>
    </row>
    <row r="49" spans="1:6" ht="23.25" customHeight="1" x14ac:dyDescent="0.25">
      <c r="A49" s="317">
        <v>45133</v>
      </c>
      <c r="B49" s="321" t="s">
        <v>440</v>
      </c>
      <c r="C49" s="305">
        <v>71238.23</v>
      </c>
      <c r="D49" s="183"/>
      <c r="E49" s="97"/>
      <c r="F49" s="176">
        <f t="shared" si="0"/>
        <v>2105887.0300000003</v>
      </c>
    </row>
    <row r="50" spans="1:6" ht="23.25" customHeight="1" x14ac:dyDescent="0.25">
      <c r="A50" s="317">
        <v>45133</v>
      </c>
      <c r="B50" s="321" t="s">
        <v>441</v>
      </c>
      <c r="C50" s="305">
        <v>0</v>
      </c>
      <c r="D50" s="183"/>
      <c r="E50" s="97"/>
      <c r="F50" s="176">
        <f t="shared" si="0"/>
        <v>2105887.0300000003</v>
      </c>
    </row>
    <row r="51" spans="1:6" ht="23.25" customHeight="1" x14ac:dyDescent="0.25">
      <c r="A51" s="317">
        <v>45134</v>
      </c>
      <c r="B51" s="321" t="s">
        <v>442</v>
      </c>
      <c r="C51" s="305">
        <v>0</v>
      </c>
      <c r="D51" s="183"/>
      <c r="E51" s="97"/>
      <c r="F51" s="176">
        <f t="shared" si="0"/>
        <v>2105887.0300000003</v>
      </c>
    </row>
    <row r="52" spans="1:6" ht="23.25" customHeight="1" x14ac:dyDescent="0.25">
      <c r="A52" s="318">
        <v>45134</v>
      </c>
      <c r="B52" s="232" t="s">
        <v>443</v>
      </c>
      <c r="C52" s="142">
        <v>68136.3</v>
      </c>
      <c r="D52" s="183"/>
      <c r="E52" s="97"/>
      <c r="F52" s="176">
        <f t="shared" si="0"/>
        <v>2174023.33</v>
      </c>
    </row>
    <row r="53" spans="1:6" ht="23.25" customHeight="1" x14ac:dyDescent="0.25">
      <c r="A53" s="318">
        <v>45135</v>
      </c>
      <c r="B53" s="232" t="s">
        <v>444</v>
      </c>
      <c r="C53" s="142">
        <v>331.8</v>
      </c>
      <c r="D53" s="183"/>
      <c r="E53" s="97"/>
      <c r="F53" s="176">
        <f t="shared" si="0"/>
        <v>2174355.13</v>
      </c>
    </row>
    <row r="54" spans="1:6" ht="23.25" customHeight="1" x14ac:dyDescent="0.25">
      <c r="A54" s="318">
        <v>45135</v>
      </c>
      <c r="B54" s="232" t="s">
        <v>445</v>
      </c>
      <c r="C54" s="142">
        <v>79638.87</v>
      </c>
      <c r="D54" s="183"/>
      <c r="E54" s="97"/>
      <c r="F54" s="176">
        <f t="shared" si="0"/>
        <v>2253994</v>
      </c>
    </row>
    <row r="55" spans="1:6" ht="23.25" customHeight="1" x14ac:dyDescent="0.25">
      <c r="A55" s="318">
        <v>45135</v>
      </c>
      <c r="B55" s="232" t="s">
        <v>446</v>
      </c>
      <c r="C55" s="142">
        <v>0</v>
      </c>
      <c r="D55" s="183"/>
      <c r="E55" s="97"/>
      <c r="F55" s="176">
        <f t="shared" si="0"/>
        <v>2253994</v>
      </c>
    </row>
    <row r="56" spans="1:6" ht="23.25" customHeight="1" x14ac:dyDescent="0.25">
      <c r="A56" s="318">
        <v>45135</v>
      </c>
      <c r="B56" s="232" t="s">
        <v>447</v>
      </c>
      <c r="C56" s="142">
        <v>27350.46</v>
      </c>
      <c r="D56" s="183"/>
      <c r="E56" s="97"/>
      <c r="F56" s="176">
        <f t="shared" si="0"/>
        <v>2281344.46</v>
      </c>
    </row>
    <row r="57" spans="1:6" ht="29.25" customHeight="1" x14ac:dyDescent="0.25">
      <c r="A57" s="319">
        <v>45136</v>
      </c>
      <c r="B57" s="182" t="s">
        <v>448</v>
      </c>
      <c r="C57" s="97">
        <v>0</v>
      </c>
      <c r="D57" s="183"/>
      <c r="E57" s="97"/>
      <c r="F57" s="176">
        <f t="shared" si="0"/>
        <v>2281344.46</v>
      </c>
    </row>
    <row r="58" spans="1:6" ht="29.25" customHeight="1" x14ac:dyDescent="0.25">
      <c r="A58" s="319">
        <v>45136</v>
      </c>
      <c r="B58" s="182" t="s">
        <v>449</v>
      </c>
      <c r="C58" s="97">
        <v>60701.279999999999</v>
      </c>
      <c r="D58" s="183"/>
      <c r="E58" s="97"/>
      <c r="F58" s="176">
        <f t="shared" si="0"/>
        <v>2342045.7399999998</v>
      </c>
    </row>
    <row r="59" spans="1:6" ht="29.25" customHeight="1" x14ac:dyDescent="0.25">
      <c r="A59" s="319">
        <v>45136</v>
      </c>
      <c r="B59" s="182" t="s">
        <v>450</v>
      </c>
      <c r="C59" s="97">
        <v>54648</v>
      </c>
      <c r="D59" s="183"/>
      <c r="E59" s="97"/>
      <c r="F59" s="176">
        <f t="shared" si="0"/>
        <v>2396693.7399999998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2396693.7399999998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2396693.7399999998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2396693.7399999998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2396693.7399999998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2396693.7399999998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2396693.7399999998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2396693.7399999998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2396693.7399999998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2396693.7399999998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2396693.7399999998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2396693.7399999998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2396693.7399999998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2396693.7399999998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2396693.7399999998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2396693.7399999998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2396693.7399999998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2396693.7399999998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2396693.7399999998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2396693.7399999998</v>
      </c>
    </row>
    <row r="79" spans="1:6" ht="39.75" customHeight="1" thickBot="1" x14ac:dyDescent="0.35">
      <c r="A79" s="59"/>
      <c r="B79" s="189"/>
      <c r="C79" s="300">
        <f>SUM(C3:C78)</f>
        <v>2396693.7399999998</v>
      </c>
      <c r="D79" s="168"/>
      <c r="E79" s="191">
        <f>SUM(E3:E78)</f>
        <v>0</v>
      </c>
      <c r="F79" s="192">
        <f>F78</f>
        <v>2396693.7399999998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U9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" sqref="C2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451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3" t="s">
        <v>2</v>
      </c>
    </row>
    <row r="4" spans="1:21" ht="20.25" thickTop="1" thickBot="1" x14ac:dyDescent="0.35">
      <c r="A4" s="14" t="s">
        <v>3</v>
      </c>
      <c r="B4" s="15"/>
      <c r="C4" s="16">
        <v>358228.12</v>
      </c>
      <c r="D4" s="290">
        <v>45137</v>
      </c>
      <c r="E4" s="339" t="s">
        <v>4</v>
      </c>
      <c r="F4" s="340"/>
      <c r="H4" s="341" t="s">
        <v>5</v>
      </c>
      <c r="I4" s="342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94"/>
    </row>
    <row r="5" spans="1:21" ht="18" thickBot="1" x14ac:dyDescent="0.35">
      <c r="A5" s="23" t="s">
        <v>9</v>
      </c>
      <c r="B5" s="24">
        <v>45138</v>
      </c>
      <c r="C5" s="25">
        <v>3210</v>
      </c>
      <c r="D5" s="26" t="s">
        <v>491</v>
      </c>
      <c r="E5" s="27">
        <v>45138</v>
      </c>
      <c r="F5" s="28">
        <v>88109</v>
      </c>
      <c r="H5" s="29">
        <v>45138</v>
      </c>
      <c r="I5" s="30">
        <v>173</v>
      </c>
      <c r="J5" s="235"/>
      <c r="K5" s="241"/>
      <c r="L5" s="13"/>
      <c r="M5" s="31">
        <f>5000+98021</f>
        <v>103021</v>
      </c>
      <c r="N5" s="32">
        <v>128</v>
      </c>
      <c r="O5" s="33"/>
      <c r="P5" s="222">
        <f>N5+M5+L5+I5+C5</f>
        <v>106532</v>
      </c>
      <c r="Q5" s="223">
        <v>0</v>
      </c>
      <c r="R5" s="224">
        <f>P5-F5</f>
        <v>18423</v>
      </c>
      <c r="S5" s="33"/>
    </row>
    <row r="6" spans="1:21" ht="18" thickBot="1" x14ac:dyDescent="0.35">
      <c r="A6" s="23"/>
      <c r="B6" s="24">
        <v>45139</v>
      </c>
      <c r="C6" s="25">
        <v>0</v>
      </c>
      <c r="D6" s="35"/>
      <c r="E6" s="27">
        <v>45139</v>
      </c>
      <c r="F6" s="28">
        <v>74571</v>
      </c>
      <c r="H6" s="29">
        <v>45139</v>
      </c>
      <c r="I6" s="30">
        <v>100</v>
      </c>
      <c r="J6" s="242"/>
      <c r="K6" s="68"/>
      <c r="L6" s="243"/>
      <c r="M6" s="31">
        <f>38500+71603</f>
        <v>110103</v>
      </c>
      <c r="N6" s="32">
        <v>324</v>
      </c>
      <c r="O6" s="33"/>
      <c r="P6" s="222">
        <f>N6+M6+L6+I6+C6</f>
        <v>110527</v>
      </c>
      <c r="Q6" s="223">
        <v>0</v>
      </c>
      <c r="R6" s="224">
        <f t="shared" ref="R6:R41" si="0">P6-F6</f>
        <v>35956</v>
      </c>
      <c r="S6" s="33"/>
      <c r="T6" s="9"/>
    </row>
    <row r="7" spans="1:21" ht="18" thickBot="1" x14ac:dyDescent="0.35">
      <c r="A7" s="23"/>
      <c r="B7" s="24">
        <v>45140</v>
      </c>
      <c r="C7" s="25">
        <v>0</v>
      </c>
      <c r="D7" s="39"/>
      <c r="E7" s="27">
        <v>45140</v>
      </c>
      <c r="F7" s="28">
        <v>120977</v>
      </c>
      <c r="G7" t="s">
        <v>9</v>
      </c>
      <c r="H7" s="29">
        <v>45140</v>
      </c>
      <c r="I7" s="30">
        <v>161</v>
      </c>
      <c r="J7" s="242"/>
      <c r="K7" s="99"/>
      <c r="L7" s="243"/>
      <c r="M7" s="336">
        <f>15000+116151</f>
        <v>131151</v>
      </c>
      <c r="N7" s="32">
        <v>320</v>
      </c>
      <c r="O7" s="33"/>
      <c r="P7" s="222">
        <f>N7+M7+L7+I7+C7</f>
        <v>131632</v>
      </c>
      <c r="Q7" s="223">
        <v>0</v>
      </c>
      <c r="R7" s="224">
        <f t="shared" si="0"/>
        <v>10655</v>
      </c>
      <c r="S7" s="33"/>
    </row>
    <row r="8" spans="1:21" ht="18" thickBot="1" x14ac:dyDescent="0.35">
      <c r="A8" s="23"/>
      <c r="B8" s="24">
        <v>45141</v>
      </c>
      <c r="C8" s="25">
        <v>0</v>
      </c>
      <c r="D8" s="39"/>
      <c r="E8" s="27">
        <v>45141</v>
      </c>
      <c r="F8" s="28">
        <v>116103</v>
      </c>
      <c r="H8" s="29">
        <v>45141</v>
      </c>
      <c r="I8" s="30">
        <v>46</v>
      </c>
      <c r="J8" s="242"/>
      <c r="K8" s="244"/>
      <c r="L8" s="243"/>
      <c r="M8" s="336">
        <f>22000+94057</f>
        <v>116057</v>
      </c>
      <c r="N8" s="32">
        <v>0</v>
      </c>
      <c r="O8" s="33" t="s">
        <v>9</v>
      </c>
      <c r="P8" s="222">
        <f t="shared" ref="P8:P56" si="1">N8+M8+L8+I8+C8</f>
        <v>116103</v>
      </c>
      <c r="Q8" s="223">
        <v>0</v>
      </c>
      <c r="R8" s="225">
        <f t="shared" si="0"/>
        <v>0</v>
      </c>
      <c r="S8" s="33"/>
    </row>
    <row r="9" spans="1:21" ht="18" thickBot="1" x14ac:dyDescent="0.35">
      <c r="A9" s="23"/>
      <c r="B9" s="24">
        <v>45142</v>
      </c>
      <c r="C9" s="25">
        <v>11068</v>
      </c>
      <c r="D9" s="43" t="s">
        <v>492</v>
      </c>
      <c r="E9" s="27">
        <v>45142</v>
      </c>
      <c r="F9" s="28">
        <v>195036</v>
      </c>
      <c r="H9" s="29">
        <v>45142</v>
      </c>
      <c r="I9" s="30">
        <v>165</v>
      </c>
      <c r="J9" s="242"/>
      <c r="K9" s="245"/>
      <c r="L9" s="243"/>
      <c r="M9" s="336">
        <f>71000+136908</f>
        <v>207908</v>
      </c>
      <c r="N9" s="32">
        <v>345</v>
      </c>
      <c r="O9" s="33"/>
      <c r="P9" s="222">
        <f t="shared" si="1"/>
        <v>219486</v>
      </c>
      <c r="Q9" s="223">
        <v>0</v>
      </c>
      <c r="R9" s="224">
        <f t="shared" si="0"/>
        <v>24450</v>
      </c>
      <c r="S9" s="33"/>
    </row>
    <row r="10" spans="1:21" ht="18" thickBot="1" x14ac:dyDescent="0.35">
      <c r="A10" s="23"/>
      <c r="B10" s="24">
        <v>45143</v>
      </c>
      <c r="C10" s="25">
        <v>0</v>
      </c>
      <c r="D10" s="35"/>
      <c r="E10" s="27">
        <v>45143</v>
      </c>
      <c r="F10" s="28">
        <v>128847</v>
      </c>
      <c r="H10" s="29">
        <v>45143</v>
      </c>
      <c r="I10" s="30">
        <v>75</v>
      </c>
      <c r="J10" s="242">
        <v>45143</v>
      </c>
      <c r="K10" s="246" t="s">
        <v>493</v>
      </c>
      <c r="L10" s="247">
        <v>9424</v>
      </c>
      <c r="M10" s="336">
        <f>60000+58048</f>
        <v>118048</v>
      </c>
      <c r="N10" s="32">
        <v>1300</v>
      </c>
      <c r="O10" s="33"/>
      <c r="P10" s="222">
        <f>N10+M10+L10+I10+C10</f>
        <v>128847</v>
      </c>
      <c r="Q10" s="223">
        <v>0</v>
      </c>
      <c r="R10" s="225">
        <f t="shared" si="0"/>
        <v>0</v>
      </c>
      <c r="S10" s="33"/>
      <c r="U10" t="s">
        <v>9</v>
      </c>
    </row>
    <row r="11" spans="1:21" ht="18" thickBot="1" x14ac:dyDescent="0.35">
      <c r="A11" s="23"/>
      <c r="B11" s="24">
        <v>45144</v>
      </c>
      <c r="C11" s="25">
        <v>1500</v>
      </c>
      <c r="D11" s="35" t="s">
        <v>491</v>
      </c>
      <c r="E11" s="27">
        <v>45144</v>
      </c>
      <c r="F11" s="28">
        <v>124328</v>
      </c>
      <c r="H11" s="29">
        <v>45144</v>
      </c>
      <c r="I11" s="30">
        <v>0</v>
      </c>
      <c r="J11" s="242"/>
      <c r="K11" s="245"/>
      <c r="L11" s="243"/>
      <c r="M11" s="336">
        <f>111100+23305</f>
        <v>134405</v>
      </c>
      <c r="N11" s="32">
        <v>1423</v>
      </c>
      <c r="O11" s="33"/>
      <c r="P11" s="222">
        <f>N11+M11+L11+I11+C11</f>
        <v>137328</v>
      </c>
      <c r="Q11" s="223">
        <v>0</v>
      </c>
      <c r="R11" s="224">
        <f t="shared" si="0"/>
        <v>13000</v>
      </c>
      <c r="S11" s="33"/>
    </row>
    <row r="12" spans="1:21" ht="18" thickBot="1" x14ac:dyDescent="0.35">
      <c r="A12" s="23"/>
      <c r="B12" s="24">
        <v>45145</v>
      </c>
      <c r="C12" s="25">
        <v>0</v>
      </c>
      <c r="D12" s="35"/>
      <c r="E12" s="27">
        <v>45145</v>
      </c>
      <c r="F12" s="28">
        <v>199062</v>
      </c>
      <c r="H12" s="29">
        <v>45145</v>
      </c>
      <c r="I12" s="30">
        <v>240</v>
      </c>
      <c r="J12" s="242"/>
      <c r="K12" s="248"/>
      <c r="L12" s="243"/>
      <c r="M12" s="336">
        <f>58000+139468</f>
        <v>197468</v>
      </c>
      <c r="N12" s="32">
        <v>1354</v>
      </c>
      <c r="O12" s="33"/>
      <c r="P12" s="222">
        <f t="shared" si="1"/>
        <v>199062</v>
      </c>
      <c r="Q12" s="223">
        <v>0</v>
      </c>
      <c r="R12" s="225">
        <f t="shared" si="0"/>
        <v>0</v>
      </c>
      <c r="S12" s="33"/>
    </row>
    <row r="13" spans="1:21" ht="18" thickBot="1" x14ac:dyDescent="0.35">
      <c r="A13" s="23"/>
      <c r="B13" s="24">
        <v>45146</v>
      </c>
      <c r="C13" s="25">
        <v>4920</v>
      </c>
      <c r="D13" s="39" t="s">
        <v>491</v>
      </c>
      <c r="E13" s="27">
        <v>45146</v>
      </c>
      <c r="F13" s="28">
        <v>85623</v>
      </c>
      <c r="H13" s="29">
        <v>45146</v>
      </c>
      <c r="I13" s="30">
        <v>185</v>
      </c>
      <c r="J13" s="242"/>
      <c r="K13" s="68"/>
      <c r="L13" s="243"/>
      <c r="M13" s="336">
        <f>24800+55718</f>
        <v>80518</v>
      </c>
      <c r="N13" s="32">
        <v>0</v>
      </c>
      <c r="O13" s="33"/>
      <c r="P13" s="222">
        <f t="shared" si="1"/>
        <v>85623</v>
      </c>
      <c r="Q13" s="223">
        <v>0</v>
      </c>
      <c r="R13" s="225">
        <f t="shared" si="0"/>
        <v>0</v>
      </c>
      <c r="S13" s="33"/>
    </row>
    <row r="14" spans="1:21" ht="18" thickBot="1" x14ac:dyDescent="0.35">
      <c r="A14" s="23"/>
      <c r="B14" s="24">
        <v>45147</v>
      </c>
      <c r="C14" s="25">
        <v>0</v>
      </c>
      <c r="D14" s="43"/>
      <c r="E14" s="27">
        <v>45147</v>
      </c>
      <c r="F14" s="28">
        <v>55123</v>
      </c>
      <c r="H14" s="29">
        <v>45147</v>
      </c>
      <c r="I14" s="30">
        <v>128</v>
      </c>
      <c r="J14" s="242"/>
      <c r="K14" s="244"/>
      <c r="L14" s="243"/>
      <c r="M14" s="336">
        <f>9700+45015</f>
        <v>54715</v>
      </c>
      <c r="N14" s="32">
        <v>280</v>
      </c>
      <c r="O14" s="33"/>
      <c r="P14" s="222">
        <f t="shared" si="1"/>
        <v>55123</v>
      </c>
      <c r="Q14" s="223">
        <v>0</v>
      </c>
      <c r="R14" s="225">
        <f t="shared" si="0"/>
        <v>0</v>
      </c>
      <c r="S14" s="33"/>
    </row>
    <row r="15" spans="1:21" ht="18" thickBot="1" x14ac:dyDescent="0.35">
      <c r="A15" s="23"/>
      <c r="B15" s="24">
        <v>45148</v>
      </c>
      <c r="C15" s="25">
        <v>0</v>
      </c>
      <c r="D15" s="43"/>
      <c r="E15" s="27">
        <v>45148</v>
      </c>
      <c r="F15" s="28">
        <v>130119</v>
      </c>
      <c r="H15" s="29">
        <v>45148</v>
      </c>
      <c r="I15" s="30">
        <v>195</v>
      </c>
      <c r="J15" s="242"/>
      <c r="K15" s="244"/>
      <c r="L15" s="243"/>
      <c r="M15" s="336">
        <f>45000+84924</f>
        <v>129924</v>
      </c>
      <c r="N15" s="32">
        <v>0</v>
      </c>
      <c r="O15" s="297"/>
      <c r="P15" s="222">
        <f t="shared" si="1"/>
        <v>130119</v>
      </c>
      <c r="Q15" s="223">
        <v>0</v>
      </c>
      <c r="R15" s="225">
        <f t="shared" si="0"/>
        <v>0</v>
      </c>
      <c r="S15" s="33" t="s">
        <v>494</v>
      </c>
    </row>
    <row r="16" spans="1:21" ht="18" thickBot="1" x14ac:dyDescent="0.35">
      <c r="A16" s="23"/>
      <c r="B16" s="24">
        <v>45149</v>
      </c>
      <c r="C16" s="25">
        <v>8296</v>
      </c>
      <c r="D16" s="39" t="s">
        <v>492</v>
      </c>
      <c r="E16" s="27">
        <v>45149</v>
      </c>
      <c r="F16" s="28">
        <v>109483</v>
      </c>
      <c r="H16" s="29">
        <v>45149</v>
      </c>
      <c r="I16" s="30">
        <v>191</v>
      </c>
      <c r="J16" s="242"/>
      <c r="K16" s="244"/>
      <c r="L16" s="13"/>
      <c r="M16" s="336">
        <f>32300+70085</f>
        <v>102385</v>
      </c>
      <c r="N16" s="32">
        <v>411</v>
      </c>
      <c r="O16" s="33"/>
      <c r="P16" s="222">
        <f t="shared" si="1"/>
        <v>111283</v>
      </c>
      <c r="Q16" s="223">
        <v>0</v>
      </c>
      <c r="R16" s="224">
        <f t="shared" si="0"/>
        <v>1800</v>
      </c>
      <c r="S16" s="33"/>
    </row>
    <row r="17" spans="1:20" ht="18" thickBot="1" x14ac:dyDescent="0.35">
      <c r="A17" s="23"/>
      <c r="B17" s="24">
        <v>45150</v>
      </c>
      <c r="C17" s="25">
        <v>8424</v>
      </c>
      <c r="D17" s="43" t="s">
        <v>492</v>
      </c>
      <c r="E17" s="27">
        <v>45150</v>
      </c>
      <c r="F17" s="28">
        <v>159864</v>
      </c>
      <c r="H17" s="29">
        <v>45150</v>
      </c>
      <c r="I17" s="30">
        <v>276</v>
      </c>
      <c r="J17" s="242"/>
      <c r="K17" s="42"/>
      <c r="L17" s="247"/>
      <c r="M17" s="336">
        <f>42500+107908</f>
        <v>150408</v>
      </c>
      <c r="N17" s="32">
        <v>756</v>
      </c>
      <c r="O17" s="33"/>
      <c r="P17" s="222">
        <f t="shared" si="1"/>
        <v>159864</v>
      </c>
      <c r="Q17" s="223">
        <v>0</v>
      </c>
      <c r="R17" s="225">
        <f t="shared" si="0"/>
        <v>0</v>
      </c>
      <c r="S17" s="33"/>
    </row>
    <row r="18" spans="1:20" ht="18" thickBot="1" x14ac:dyDescent="0.35">
      <c r="A18" s="23"/>
      <c r="B18" s="24">
        <v>45151</v>
      </c>
      <c r="C18" s="25">
        <v>5550</v>
      </c>
      <c r="D18" s="35" t="s">
        <v>491</v>
      </c>
      <c r="E18" s="27">
        <v>45151</v>
      </c>
      <c r="F18" s="28">
        <v>130799</v>
      </c>
      <c r="H18" s="29">
        <v>45151</v>
      </c>
      <c r="I18" s="30">
        <v>30</v>
      </c>
      <c r="J18" s="242"/>
      <c r="K18" s="249"/>
      <c r="L18" s="243"/>
      <c r="M18" s="336">
        <f>108400+16226</f>
        <v>124626</v>
      </c>
      <c r="N18" s="32">
        <v>593</v>
      </c>
      <c r="O18" s="33"/>
      <c r="P18" s="222">
        <f t="shared" si="1"/>
        <v>130799</v>
      </c>
      <c r="Q18" s="223">
        <v>0</v>
      </c>
      <c r="R18" s="225">
        <f t="shared" si="0"/>
        <v>0</v>
      </c>
      <c r="S18" s="33"/>
    </row>
    <row r="19" spans="1:20" ht="17.25" customHeight="1" thickBot="1" x14ac:dyDescent="0.35">
      <c r="A19" s="23"/>
      <c r="B19" s="24">
        <v>45152</v>
      </c>
      <c r="C19" s="25">
        <v>37</v>
      </c>
      <c r="D19" s="35" t="s">
        <v>495</v>
      </c>
      <c r="E19" s="27">
        <v>45152</v>
      </c>
      <c r="F19" s="28">
        <v>122769</v>
      </c>
      <c r="H19" s="29">
        <v>45151</v>
      </c>
      <c r="I19" s="30">
        <v>81</v>
      </c>
      <c r="J19" s="242"/>
      <c r="K19" s="249"/>
      <c r="L19" s="243"/>
      <c r="M19" s="336">
        <f>18000+104651</f>
        <v>122651</v>
      </c>
      <c r="N19" s="32">
        <v>0</v>
      </c>
      <c r="O19" s="33"/>
      <c r="P19" s="222">
        <f t="shared" si="1"/>
        <v>122769</v>
      </c>
      <c r="Q19" s="223">
        <v>0</v>
      </c>
      <c r="R19" s="225">
        <f t="shared" si="0"/>
        <v>0</v>
      </c>
      <c r="S19" s="33"/>
    </row>
    <row r="20" spans="1:20" ht="18" thickBot="1" x14ac:dyDescent="0.35">
      <c r="A20" s="23"/>
      <c r="B20" s="24">
        <v>45153</v>
      </c>
      <c r="C20" s="25">
        <v>0</v>
      </c>
      <c r="D20" s="35"/>
      <c r="E20" s="27">
        <v>45153</v>
      </c>
      <c r="F20" s="28">
        <v>188206</v>
      </c>
      <c r="H20" s="29">
        <v>45152</v>
      </c>
      <c r="I20" s="30">
        <v>160</v>
      </c>
      <c r="J20" s="242"/>
      <c r="K20" s="250"/>
      <c r="L20" s="251"/>
      <c r="M20" s="336">
        <f>17000+171046</f>
        <v>188046</v>
      </c>
      <c r="N20" s="32">
        <v>0</v>
      </c>
      <c r="O20" s="33"/>
      <c r="P20" s="222">
        <f t="shared" si="1"/>
        <v>188206</v>
      </c>
      <c r="Q20" s="223">
        <v>0</v>
      </c>
      <c r="R20" s="225">
        <f t="shared" si="0"/>
        <v>0</v>
      </c>
      <c r="S20" s="33"/>
    </row>
    <row r="21" spans="1:20" ht="18" thickBot="1" x14ac:dyDescent="0.35">
      <c r="A21" s="23"/>
      <c r="B21" s="24">
        <v>45154</v>
      </c>
      <c r="C21" s="25">
        <v>0</v>
      </c>
      <c r="D21" s="35"/>
      <c r="E21" s="27">
        <v>45154</v>
      </c>
      <c r="F21" s="28">
        <v>47646</v>
      </c>
      <c r="H21" s="29">
        <v>45153</v>
      </c>
      <c r="I21" s="30">
        <v>198</v>
      </c>
      <c r="J21" s="242"/>
      <c r="K21" s="246"/>
      <c r="L21" s="247"/>
      <c r="M21" s="336">
        <f>8000+38888</f>
        <v>46888</v>
      </c>
      <c r="N21" s="32">
        <v>560</v>
      </c>
      <c r="O21" s="33"/>
      <c r="P21" s="222">
        <f t="shared" si="1"/>
        <v>47646</v>
      </c>
      <c r="Q21" s="223">
        <v>0</v>
      </c>
      <c r="R21" s="225">
        <f t="shared" si="0"/>
        <v>0</v>
      </c>
      <c r="S21" s="33"/>
    </row>
    <row r="22" spans="1:20" ht="18" thickBot="1" x14ac:dyDescent="0.35">
      <c r="A22" s="23"/>
      <c r="B22" s="24">
        <v>45155</v>
      </c>
      <c r="C22" s="25">
        <v>3000</v>
      </c>
      <c r="D22" s="35" t="s">
        <v>492</v>
      </c>
      <c r="E22" s="27">
        <v>45154</v>
      </c>
      <c r="F22" s="28">
        <v>129928</v>
      </c>
      <c r="H22" s="29">
        <v>45154</v>
      </c>
      <c r="I22" s="30">
        <v>78</v>
      </c>
      <c r="J22" s="242"/>
      <c r="K22" s="252"/>
      <c r="L22" s="247"/>
      <c r="M22" s="336">
        <f>62500+64350</f>
        <v>126850</v>
      </c>
      <c r="N22" s="32">
        <v>0</v>
      </c>
      <c r="O22" s="298"/>
      <c r="P22" s="222">
        <f t="shared" si="1"/>
        <v>129928</v>
      </c>
      <c r="Q22" s="223">
        <v>0</v>
      </c>
      <c r="R22" s="225">
        <f t="shared" si="0"/>
        <v>0</v>
      </c>
      <c r="S22" s="33"/>
    </row>
    <row r="23" spans="1:20" ht="18" thickBot="1" x14ac:dyDescent="0.35">
      <c r="A23" s="23"/>
      <c r="B23" s="24">
        <v>45156</v>
      </c>
      <c r="C23" s="25">
        <v>8239</v>
      </c>
      <c r="D23" s="43" t="s">
        <v>492</v>
      </c>
      <c r="E23" s="27">
        <v>45155</v>
      </c>
      <c r="F23" s="28">
        <v>139250</v>
      </c>
      <c r="H23" s="29">
        <v>45155</v>
      </c>
      <c r="I23" s="30">
        <v>93</v>
      </c>
      <c r="J23" s="242"/>
      <c r="K23" s="285"/>
      <c r="L23" s="253"/>
      <c r="M23" s="336">
        <f>129229</f>
        <v>129229</v>
      </c>
      <c r="N23" s="32">
        <v>2689</v>
      </c>
      <c r="O23" s="33"/>
      <c r="P23" s="222">
        <f t="shared" si="1"/>
        <v>140250</v>
      </c>
      <c r="Q23" s="223">
        <v>0</v>
      </c>
      <c r="R23" s="224">
        <f t="shared" si="0"/>
        <v>1000</v>
      </c>
      <c r="S23" s="33"/>
    </row>
    <row r="24" spans="1:20" ht="18" thickBot="1" x14ac:dyDescent="0.35">
      <c r="A24" s="23"/>
      <c r="B24" s="24">
        <v>45157</v>
      </c>
      <c r="C24" s="25">
        <v>0</v>
      </c>
      <c r="D24" s="39"/>
      <c r="E24" s="27">
        <v>45157</v>
      </c>
      <c r="F24" s="28">
        <v>134344</v>
      </c>
      <c r="H24" s="29">
        <v>45157</v>
      </c>
      <c r="I24" s="30">
        <v>229</v>
      </c>
      <c r="J24" s="256">
        <v>45157</v>
      </c>
      <c r="K24" s="255" t="s">
        <v>496</v>
      </c>
      <c r="L24" s="247">
        <v>8307</v>
      </c>
      <c r="M24" s="336">
        <f>71000+54808</f>
        <v>125808</v>
      </c>
      <c r="N24" s="32">
        <v>0</v>
      </c>
      <c r="O24" s="33"/>
      <c r="P24" s="222">
        <f t="shared" si="1"/>
        <v>134344</v>
      </c>
      <c r="Q24" s="223">
        <v>0</v>
      </c>
      <c r="R24" s="225">
        <f t="shared" si="0"/>
        <v>0</v>
      </c>
      <c r="S24" s="33" t="s">
        <v>363</v>
      </c>
    </row>
    <row r="25" spans="1:20" ht="18" thickBot="1" x14ac:dyDescent="0.35">
      <c r="A25" s="23"/>
      <c r="B25" s="24">
        <v>45158</v>
      </c>
      <c r="C25" s="25">
        <v>6495</v>
      </c>
      <c r="D25" s="35" t="s">
        <v>491</v>
      </c>
      <c r="E25" s="27">
        <v>45158</v>
      </c>
      <c r="F25" s="28">
        <v>139339</v>
      </c>
      <c r="H25" s="29">
        <v>45158</v>
      </c>
      <c r="I25" s="30">
        <v>51</v>
      </c>
      <c r="J25" s="258"/>
      <c r="K25" s="259"/>
      <c r="L25" s="260"/>
      <c r="M25" s="336">
        <f>110000+23338</f>
        <v>133338</v>
      </c>
      <c r="N25" s="32">
        <v>0</v>
      </c>
      <c r="O25" s="33"/>
      <c r="P25" s="222">
        <f t="shared" si="1"/>
        <v>139884</v>
      </c>
      <c r="Q25" s="223">
        <v>0</v>
      </c>
      <c r="R25" s="224">
        <f t="shared" si="0"/>
        <v>545</v>
      </c>
      <c r="S25" s="33"/>
    </row>
    <row r="26" spans="1:20" ht="18" thickBot="1" x14ac:dyDescent="0.35">
      <c r="A26" s="23"/>
      <c r="B26" s="24">
        <v>45159</v>
      </c>
      <c r="C26" s="25">
        <v>0</v>
      </c>
      <c r="D26" s="35"/>
      <c r="E26" s="27">
        <v>45159</v>
      </c>
      <c r="F26" s="28">
        <v>120832</v>
      </c>
      <c r="H26" s="29">
        <v>45159</v>
      </c>
      <c r="I26" s="88">
        <v>168</v>
      </c>
      <c r="J26" s="262"/>
      <c r="K26" s="335"/>
      <c r="L26" s="247"/>
      <c r="M26" s="336">
        <f>40000+80664</f>
        <v>120664</v>
      </c>
      <c r="N26" s="32">
        <v>0</v>
      </c>
      <c r="O26" s="33"/>
      <c r="P26" s="222">
        <f t="shared" si="1"/>
        <v>120832</v>
      </c>
      <c r="Q26" s="223">
        <v>0</v>
      </c>
      <c r="R26" s="225">
        <f t="shared" si="0"/>
        <v>0</v>
      </c>
      <c r="S26" s="33"/>
    </row>
    <row r="27" spans="1:20" ht="18" thickBot="1" x14ac:dyDescent="0.35">
      <c r="A27" s="23"/>
      <c r="B27" s="24">
        <v>45160</v>
      </c>
      <c r="C27" s="25">
        <v>0</v>
      </c>
      <c r="D27" s="39"/>
      <c r="E27" s="27">
        <v>45160</v>
      </c>
      <c r="F27" s="28">
        <v>131539</v>
      </c>
      <c r="H27" s="29">
        <v>45160</v>
      </c>
      <c r="I27" s="30">
        <v>18</v>
      </c>
      <c r="J27" s="261"/>
      <c r="K27" s="259"/>
      <c r="L27" s="260"/>
      <c r="M27" s="336">
        <f>5800+125721</f>
        <v>131521</v>
      </c>
      <c r="N27" s="32">
        <v>0</v>
      </c>
      <c r="O27" s="33"/>
      <c r="P27" s="222">
        <f t="shared" si="1"/>
        <v>131539</v>
      </c>
      <c r="Q27" s="223">
        <v>0</v>
      </c>
      <c r="R27" s="225">
        <f t="shared" si="0"/>
        <v>0</v>
      </c>
      <c r="S27" s="33"/>
    </row>
    <row r="28" spans="1:20" ht="18" thickBot="1" x14ac:dyDescent="0.35">
      <c r="A28" s="23"/>
      <c r="B28" s="24">
        <v>45161</v>
      </c>
      <c r="C28" s="25">
        <v>0</v>
      </c>
      <c r="D28" s="39"/>
      <c r="E28" s="27">
        <v>45161</v>
      </c>
      <c r="F28" s="28">
        <v>37972</v>
      </c>
      <c r="H28" s="29">
        <v>45161</v>
      </c>
      <c r="I28" s="30">
        <v>144</v>
      </c>
      <c r="J28" s="262"/>
      <c r="K28" s="68"/>
      <c r="L28" s="260"/>
      <c r="M28" s="336">
        <f>3528+34300</f>
        <v>37828</v>
      </c>
      <c r="N28" s="32">
        <v>0</v>
      </c>
      <c r="O28" s="33"/>
      <c r="P28" s="222">
        <f t="shared" si="1"/>
        <v>37972</v>
      </c>
      <c r="Q28" s="223">
        <v>0</v>
      </c>
      <c r="R28" s="225">
        <f t="shared" si="0"/>
        <v>0</v>
      </c>
      <c r="S28" s="33"/>
    </row>
    <row r="29" spans="1:20" ht="18" thickBot="1" x14ac:dyDescent="0.35">
      <c r="A29" s="23"/>
      <c r="B29" s="24">
        <v>45162</v>
      </c>
      <c r="C29" s="25">
        <v>0</v>
      </c>
      <c r="D29" s="69"/>
      <c r="E29" s="27">
        <v>45162</v>
      </c>
      <c r="F29" s="28">
        <v>162656</v>
      </c>
      <c r="H29" s="29">
        <v>45162</v>
      </c>
      <c r="I29" s="30">
        <v>100</v>
      </c>
      <c r="J29" s="261"/>
      <c r="K29" s="263"/>
      <c r="L29" s="260"/>
      <c r="M29" s="336">
        <f>28000+134556</f>
        <v>162556</v>
      </c>
      <c r="N29" s="32">
        <v>0</v>
      </c>
      <c r="O29" s="33"/>
      <c r="P29" s="222">
        <f t="shared" si="1"/>
        <v>162656</v>
      </c>
      <c r="Q29" s="223">
        <v>0</v>
      </c>
      <c r="R29" s="225">
        <f t="shared" si="0"/>
        <v>0</v>
      </c>
      <c r="S29" s="33"/>
      <c r="T29" s="9"/>
    </row>
    <row r="30" spans="1:20" ht="18" thickBot="1" x14ac:dyDescent="0.35">
      <c r="A30" s="23"/>
      <c r="B30" s="24">
        <v>45163</v>
      </c>
      <c r="C30" s="25">
        <v>5460</v>
      </c>
      <c r="D30" s="69" t="s">
        <v>491</v>
      </c>
      <c r="E30" s="27">
        <v>45163</v>
      </c>
      <c r="F30" s="28">
        <v>167747</v>
      </c>
      <c r="H30" s="29">
        <v>45163</v>
      </c>
      <c r="I30" s="30">
        <v>748</v>
      </c>
      <c r="J30" s="83"/>
      <c r="K30" s="264"/>
      <c r="L30" s="265"/>
      <c r="M30" s="336">
        <f>29000+132539</f>
        <v>161539</v>
      </c>
      <c r="N30" s="32">
        <v>0</v>
      </c>
      <c r="O30" s="33"/>
      <c r="P30" s="222">
        <f t="shared" si="1"/>
        <v>167747</v>
      </c>
      <c r="Q30" s="223">
        <v>0</v>
      </c>
      <c r="R30" s="225">
        <f t="shared" si="0"/>
        <v>0</v>
      </c>
      <c r="S30" s="33"/>
    </row>
    <row r="31" spans="1:20" ht="18" thickBot="1" x14ac:dyDescent="0.35">
      <c r="A31" s="23"/>
      <c r="B31" s="24">
        <v>45164</v>
      </c>
      <c r="C31" s="25">
        <v>13676</v>
      </c>
      <c r="D31" s="74" t="s">
        <v>492</v>
      </c>
      <c r="E31" s="27">
        <v>45164</v>
      </c>
      <c r="F31" s="28">
        <v>146048</v>
      </c>
      <c r="H31" s="29">
        <v>45164</v>
      </c>
      <c r="I31" s="30">
        <v>52</v>
      </c>
      <c r="J31" s="262">
        <v>45164</v>
      </c>
      <c r="K31" s="259" t="s">
        <v>497</v>
      </c>
      <c r="L31" s="260">
        <v>6907</v>
      </c>
      <c r="M31" s="336">
        <f>35000+90413</f>
        <v>125413</v>
      </c>
      <c r="N31" s="32">
        <v>0</v>
      </c>
      <c r="O31" s="33"/>
      <c r="P31" s="222">
        <f t="shared" si="1"/>
        <v>146048</v>
      </c>
      <c r="Q31" s="223">
        <v>0</v>
      </c>
      <c r="R31" s="225">
        <f t="shared" si="0"/>
        <v>0</v>
      </c>
      <c r="S31" s="33"/>
    </row>
    <row r="32" spans="1:20" ht="18" thickBot="1" x14ac:dyDescent="0.35">
      <c r="A32" s="23"/>
      <c r="B32" s="24">
        <v>45165</v>
      </c>
      <c r="C32" s="25">
        <v>0</v>
      </c>
      <c r="D32" s="79"/>
      <c r="E32" s="27">
        <v>45165</v>
      </c>
      <c r="F32" s="28">
        <v>103429</v>
      </c>
      <c r="H32" s="29">
        <v>45165</v>
      </c>
      <c r="I32" s="30">
        <v>5</v>
      </c>
      <c r="J32" s="83"/>
      <c r="K32" s="264"/>
      <c r="L32" s="265"/>
      <c r="M32" s="336">
        <f>61000+42424</f>
        <v>103424</v>
      </c>
      <c r="N32" s="32">
        <v>0</v>
      </c>
      <c r="O32" s="33"/>
      <c r="P32" s="222">
        <f t="shared" si="1"/>
        <v>103429</v>
      </c>
      <c r="Q32" s="223">
        <v>0</v>
      </c>
      <c r="R32" s="225">
        <f t="shared" si="0"/>
        <v>0</v>
      </c>
      <c r="S32" s="33"/>
    </row>
    <row r="33" spans="1:20" ht="18" thickBot="1" x14ac:dyDescent="0.35">
      <c r="A33" s="23"/>
      <c r="B33" s="24">
        <v>45166</v>
      </c>
      <c r="C33" s="25">
        <v>0</v>
      </c>
      <c r="D33" s="77"/>
      <c r="E33" s="27">
        <v>45166</v>
      </c>
      <c r="F33" s="28">
        <v>189969</v>
      </c>
      <c r="H33" s="29">
        <v>45166</v>
      </c>
      <c r="I33" s="30">
        <v>216</v>
      </c>
      <c r="J33" s="83"/>
      <c r="K33" s="266"/>
      <c r="L33" s="203"/>
      <c r="M33" s="336">
        <f>23000+166753</f>
        <v>189753</v>
      </c>
      <c r="N33" s="32">
        <v>0</v>
      </c>
      <c r="O33" s="33"/>
      <c r="P33" s="222">
        <f t="shared" si="1"/>
        <v>189969</v>
      </c>
      <c r="Q33" s="223">
        <v>0</v>
      </c>
      <c r="R33" s="225">
        <f t="shared" si="0"/>
        <v>0</v>
      </c>
      <c r="S33" s="33"/>
      <c r="T33" s="3">
        <v>0</v>
      </c>
    </row>
    <row r="34" spans="1:20" ht="18" thickBot="1" x14ac:dyDescent="0.35">
      <c r="A34" s="23"/>
      <c r="B34" s="24">
        <v>45167</v>
      </c>
      <c r="C34" s="25">
        <v>0</v>
      </c>
      <c r="D34" s="79"/>
      <c r="E34" s="27">
        <v>45167</v>
      </c>
      <c r="F34" s="28">
        <v>156554</v>
      </c>
      <c r="H34" s="29">
        <v>45167</v>
      </c>
      <c r="I34" s="30">
        <v>86</v>
      </c>
      <c r="J34" s="83"/>
      <c r="K34" s="315"/>
      <c r="L34" s="268"/>
      <c r="M34" s="336">
        <f>156468</f>
        <v>156468</v>
      </c>
      <c r="N34" s="32">
        <v>0</v>
      </c>
      <c r="O34" s="33"/>
      <c r="P34" s="222">
        <f t="shared" si="1"/>
        <v>156554</v>
      </c>
      <c r="Q34" s="223">
        <v>0</v>
      </c>
      <c r="R34" s="225">
        <f t="shared" si="0"/>
        <v>0</v>
      </c>
      <c r="S34" s="33"/>
    </row>
    <row r="35" spans="1:20" ht="18" thickBot="1" x14ac:dyDescent="0.35">
      <c r="A35" s="23"/>
      <c r="B35" s="24">
        <v>45168</v>
      </c>
      <c r="C35" s="25">
        <v>1980</v>
      </c>
      <c r="D35" s="74" t="s">
        <v>491</v>
      </c>
      <c r="E35" s="27">
        <v>45168</v>
      </c>
      <c r="F35" s="28">
        <v>45191</v>
      </c>
      <c r="H35" s="29">
        <v>45168</v>
      </c>
      <c r="I35" s="30">
        <v>137</v>
      </c>
      <c r="J35" s="83"/>
      <c r="K35" s="266"/>
      <c r="L35" s="203"/>
      <c r="M35" s="336">
        <f>10000+33074</f>
        <v>43074</v>
      </c>
      <c r="N35" s="32">
        <v>0</v>
      </c>
      <c r="O35" s="33"/>
      <c r="P35" s="222">
        <f t="shared" si="1"/>
        <v>45191</v>
      </c>
      <c r="Q35" s="223">
        <v>0</v>
      </c>
      <c r="R35" s="225">
        <f t="shared" si="0"/>
        <v>0</v>
      </c>
      <c r="S35" s="33"/>
    </row>
    <row r="36" spans="1:20" ht="18" thickBot="1" x14ac:dyDescent="0.35">
      <c r="A36" s="23"/>
      <c r="B36" s="24">
        <v>45169</v>
      </c>
      <c r="C36" s="25">
        <v>0</v>
      </c>
      <c r="D36" s="82"/>
      <c r="E36" s="27">
        <v>45169</v>
      </c>
      <c r="F36" s="28">
        <v>142663</v>
      </c>
      <c r="H36" s="29">
        <v>45169</v>
      </c>
      <c r="I36" s="30">
        <v>755</v>
      </c>
      <c r="J36" s="83"/>
      <c r="K36" s="302"/>
      <c r="L36" s="203"/>
      <c r="M36" s="336">
        <f>13500+128408</f>
        <v>141908</v>
      </c>
      <c r="N36" s="32">
        <v>0</v>
      </c>
      <c r="O36" s="33"/>
      <c r="P36" s="222">
        <f t="shared" si="1"/>
        <v>142663</v>
      </c>
      <c r="Q36" s="223">
        <v>0</v>
      </c>
      <c r="R36" s="225">
        <f t="shared" si="0"/>
        <v>0</v>
      </c>
      <c r="S36" s="33"/>
    </row>
    <row r="37" spans="1:20" ht="18" thickBot="1" x14ac:dyDescent="0.35">
      <c r="A37" s="23"/>
      <c r="B37" s="24">
        <v>45170</v>
      </c>
      <c r="C37" s="25">
        <v>5640</v>
      </c>
      <c r="D37" s="79" t="s">
        <v>491</v>
      </c>
      <c r="E37" s="27">
        <v>45170</v>
      </c>
      <c r="F37" s="28">
        <v>120277</v>
      </c>
      <c r="H37" s="29">
        <v>45170</v>
      </c>
      <c r="I37" s="30">
        <v>255</v>
      </c>
      <c r="J37" s="83"/>
      <c r="K37" s="269"/>
      <c r="L37" s="203"/>
      <c r="M37" s="336">
        <f>45500+68882</f>
        <v>114382</v>
      </c>
      <c r="N37" s="32">
        <v>0</v>
      </c>
      <c r="O37" s="33"/>
      <c r="P37" s="222">
        <f t="shared" si="1"/>
        <v>120277</v>
      </c>
      <c r="Q37" s="223">
        <v>0</v>
      </c>
      <c r="R37" s="225">
        <f t="shared" si="0"/>
        <v>0</v>
      </c>
      <c r="S37" s="33"/>
    </row>
    <row r="38" spans="1:20" ht="18" thickBot="1" x14ac:dyDescent="0.35">
      <c r="A38" s="23"/>
      <c r="B38" s="24">
        <v>45171</v>
      </c>
      <c r="C38" s="25">
        <v>21093</v>
      </c>
      <c r="D38" s="77" t="s">
        <v>492</v>
      </c>
      <c r="E38" s="27">
        <v>45171</v>
      </c>
      <c r="F38" s="28">
        <v>188854</v>
      </c>
      <c r="H38" s="29">
        <v>45171</v>
      </c>
      <c r="I38" s="30">
        <v>55</v>
      </c>
      <c r="J38" s="83">
        <v>45171</v>
      </c>
      <c r="K38" s="313" t="s">
        <v>498</v>
      </c>
      <c r="L38" s="203">
        <v>6500</v>
      </c>
      <c r="M38" s="336">
        <f>72000+83488+5718</f>
        <v>161206</v>
      </c>
      <c r="N38" s="32">
        <v>0</v>
      </c>
      <c r="O38" s="33"/>
      <c r="P38" s="222">
        <f t="shared" si="1"/>
        <v>188854</v>
      </c>
      <c r="Q38" s="223">
        <v>0</v>
      </c>
      <c r="R38" s="225">
        <f t="shared" si="0"/>
        <v>0</v>
      </c>
      <c r="S38" s="33"/>
    </row>
    <row r="39" spans="1:20" ht="18" thickBot="1" x14ac:dyDescent="0.35">
      <c r="A39" s="23"/>
      <c r="B39" s="24">
        <v>45172</v>
      </c>
      <c r="C39" s="25">
        <v>0</v>
      </c>
      <c r="D39" s="77"/>
      <c r="E39" s="27">
        <v>45172</v>
      </c>
      <c r="F39" s="28">
        <v>106527</v>
      </c>
      <c r="H39" s="29">
        <v>45172</v>
      </c>
      <c r="I39" s="30">
        <v>0</v>
      </c>
      <c r="J39" s="83"/>
      <c r="K39" s="266"/>
      <c r="L39" s="265"/>
      <c r="M39" s="336">
        <f>64000+42527</f>
        <v>106527</v>
      </c>
      <c r="N39" s="32">
        <v>0</v>
      </c>
      <c r="O39" s="33"/>
      <c r="P39" s="222">
        <f t="shared" si="1"/>
        <v>106527</v>
      </c>
      <c r="Q39" s="223">
        <v>0</v>
      </c>
      <c r="R39" s="225">
        <f t="shared" si="0"/>
        <v>0</v>
      </c>
      <c r="S39" s="33"/>
    </row>
    <row r="40" spans="1:20" ht="18" thickBot="1" x14ac:dyDescent="0.35">
      <c r="A40" s="23"/>
      <c r="B40" s="24">
        <v>45173</v>
      </c>
      <c r="C40" s="25">
        <v>0</v>
      </c>
      <c r="D40" s="77"/>
      <c r="E40" s="27">
        <v>45173</v>
      </c>
      <c r="F40" s="28">
        <v>159151</v>
      </c>
      <c r="H40" s="29">
        <v>45173</v>
      </c>
      <c r="I40" s="30">
        <v>151</v>
      </c>
      <c r="J40" s="83"/>
      <c r="K40" s="218"/>
      <c r="L40" s="265"/>
      <c r="M40" s="336">
        <f>26000+100000+33000</f>
        <v>159000</v>
      </c>
      <c r="N40" s="32">
        <v>0</v>
      </c>
      <c r="O40" s="33"/>
      <c r="P40" s="222">
        <f t="shared" si="1"/>
        <v>159151</v>
      </c>
      <c r="Q40" s="223">
        <v>0</v>
      </c>
      <c r="R40" s="225">
        <f t="shared" si="0"/>
        <v>0</v>
      </c>
      <c r="S40" s="33"/>
    </row>
    <row r="41" spans="1:20" ht="18" thickBot="1" x14ac:dyDescent="0.35">
      <c r="A41" s="23"/>
      <c r="B41" s="24">
        <v>45174</v>
      </c>
      <c r="C41" s="25">
        <v>0</v>
      </c>
      <c r="D41" s="77"/>
      <c r="E41" s="27">
        <v>45174</v>
      </c>
      <c r="F41" s="28">
        <v>148233</v>
      </c>
      <c r="H41" s="29">
        <v>45174</v>
      </c>
      <c r="I41" s="30">
        <v>15</v>
      </c>
      <c r="J41" s="83"/>
      <c r="K41" s="288"/>
      <c r="L41" s="265"/>
      <c r="M41" s="336">
        <f>74000+74218</f>
        <v>148218</v>
      </c>
      <c r="N41" s="32">
        <v>0</v>
      </c>
      <c r="O41" s="33"/>
      <c r="P41" s="222">
        <f t="shared" si="1"/>
        <v>148233</v>
      </c>
      <c r="Q41" s="223">
        <v>0</v>
      </c>
      <c r="R41" s="225">
        <f t="shared" si="0"/>
        <v>0</v>
      </c>
      <c r="S41" s="33"/>
    </row>
    <row r="42" spans="1:20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88"/>
      <c r="L42" s="265"/>
      <c r="M42" s="336"/>
      <c r="N42" s="32"/>
      <c r="O42" s="33"/>
      <c r="P42" s="222"/>
      <c r="Q42" s="223"/>
      <c r="R42" s="225"/>
      <c r="S42" s="33"/>
    </row>
    <row r="43" spans="1:20" ht="18" thickBot="1" x14ac:dyDescent="0.35">
      <c r="A43" s="23"/>
      <c r="B43" s="24"/>
      <c r="C43" s="25"/>
      <c r="D43" s="77"/>
      <c r="E43" s="27"/>
      <c r="F43" s="28"/>
      <c r="H43" s="29"/>
      <c r="I43" s="30"/>
      <c r="J43" s="83"/>
      <c r="K43" s="288"/>
      <c r="L43" s="265"/>
      <c r="M43" s="31"/>
      <c r="N43" s="32"/>
      <c r="O43" s="33"/>
      <c r="P43" s="222"/>
      <c r="Q43" s="223"/>
      <c r="R43" s="225"/>
      <c r="S43" s="33"/>
    </row>
    <row r="44" spans="1:20" ht="18" thickBot="1" x14ac:dyDescent="0.35">
      <c r="A44" s="23"/>
      <c r="B44" s="24">
        <v>45138</v>
      </c>
      <c r="C44" s="332">
        <v>718960</v>
      </c>
      <c r="D44" s="333" t="s">
        <v>489</v>
      </c>
      <c r="E44" s="27"/>
      <c r="F44" s="28"/>
      <c r="H44" s="29"/>
      <c r="I44" s="30"/>
      <c r="J44" s="83">
        <v>45140</v>
      </c>
      <c r="K44" s="288" t="s">
        <v>453</v>
      </c>
      <c r="L44" s="265">
        <v>14500</v>
      </c>
      <c r="M44" s="31"/>
      <c r="N44" s="32"/>
      <c r="O44" s="33"/>
      <c r="P44" s="222"/>
      <c r="Q44" s="223"/>
      <c r="R44" s="225"/>
      <c r="S44" s="33"/>
    </row>
    <row r="45" spans="1:20" ht="18" thickBot="1" x14ac:dyDescent="0.35">
      <c r="A45" s="23"/>
      <c r="B45" s="24">
        <v>45146</v>
      </c>
      <c r="C45" s="25">
        <v>12434</v>
      </c>
      <c r="D45" s="77" t="s">
        <v>456</v>
      </c>
      <c r="E45" s="27"/>
      <c r="F45" s="28"/>
      <c r="H45" s="29"/>
      <c r="I45" s="30"/>
      <c r="J45" s="322">
        <v>45145</v>
      </c>
      <c r="K45" s="323" t="s">
        <v>454</v>
      </c>
      <c r="L45" s="324">
        <v>10000</v>
      </c>
      <c r="M45" s="31"/>
      <c r="N45" s="32"/>
      <c r="O45" s="33"/>
      <c r="P45" s="222"/>
      <c r="Q45" s="223"/>
      <c r="R45" s="225"/>
      <c r="S45" s="33"/>
    </row>
    <row r="46" spans="1:20" ht="18" thickBot="1" x14ac:dyDescent="0.35">
      <c r="A46" s="23"/>
      <c r="B46" s="24">
        <v>45147</v>
      </c>
      <c r="C46" s="25">
        <v>37120</v>
      </c>
      <c r="D46" s="77" t="s">
        <v>457</v>
      </c>
      <c r="E46" s="27"/>
      <c r="F46" s="28"/>
      <c r="H46" s="29"/>
      <c r="I46" s="30"/>
      <c r="J46" s="83">
        <v>45146</v>
      </c>
      <c r="K46" s="288" t="s">
        <v>455</v>
      </c>
      <c r="L46" s="265">
        <v>1255.48</v>
      </c>
      <c r="M46" s="31"/>
      <c r="N46" s="32"/>
      <c r="O46" s="33"/>
      <c r="P46" s="222"/>
      <c r="Q46" s="223"/>
      <c r="R46" s="225"/>
      <c r="S46" s="33"/>
    </row>
    <row r="47" spans="1:20" ht="18" thickBot="1" x14ac:dyDescent="0.35">
      <c r="A47" s="23"/>
      <c r="B47" s="24">
        <v>45159</v>
      </c>
      <c r="C47" s="25">
        <v>822198.47</v>
      </c>
      <c r="D47" s="77" t="s">
        <v>458</v>
      </c>
      <c r="E47" s="27"/>
      <c r="F47" s="28"/>
      <c r="H47" s="29"/>
      <c r="I47" s="30"/>
      <c r="J47" s="83">
        <v>45153</v>
      </c>
      <c r="K47" s="288" t="s">
        <v>108</v>
      </c>
      <c r="L47" s="265">
        <v>1392</v>
      </c>
      <c r="M47" s="31"/>
      <c r="N47" s="32"/>
      <c r="O47" s="33"/>
      <c r="P47" s="222"/>
      <c r="Q47" s="223"/>
      <c r="R47" s="225"/>
      <c r="S47" s="33"/>
    </row>
    <row r="48" spans="1:20" ht="18" thickBot="1" x14ac:dyDescent="0.35">
      <c r="A48" s="23"/>
      <c r="B48" s="24">
        <v>45167</v>
      </c>
      <c r="C48" s="332">
        <v>670000</v>
      </c>
      <c r="D48" s="334" t="s">
        <v>490</v>
      </c>
      <c r="E48" s="27"/>
      <c r="F48" s="28"/>
      <c r="H48" s="29"/>
      <c r="I48" s="30"/>
      <c r="J48" s="83">
        <v>45154</v>
      </c>
      <c r="K48" s="288" t="s">
        <v>111</v>
      </c>
      <c r="L48" s="265">
        <v>549</v>
      </c>
      <c r="M48" s="31"/>
      <c r="N48" s="32"/>
      <c r="O48" s="33"/>
      <c r="P48" s="222"/>
      <c r="Q48" s="223"/>
      <c r="R48" s="225"/>
      <c r="S48" s="33"/>
    </row>
    <row r="49" spans="1:19" ht="18" thickBot="1" x14ac:dyDescent="0.35">
      <c r="A49" s="23"/>
      <c r="B49" s="24"/>
      <c r="C49" s="25"/>
      <c r="D49" s="77"/>
      <c r="E49" s="27"/>
      <c r="F49" s="28"/>
      <c r="H49" s="29"/>
      <c r="I49" s="30"/>
      <c r="J49" s="83">
        <v>45167</v>
      </c>
      <c r="K49" s="288" t="s">
        <v>109</v>
      </c>
      <c r="L49" s="265">
        <v>1031.47</v>
      </c>
      <c r="M49" s="31"/>
      <c r="N49" s="32"/>
      <c r="O49" s="33"/>
      <c r="P49" s="222"/>
      <c r="Q49" s="223"/>
      <c r="R49" s="225"/>
      <c r="S49" s="33"/>
    </row>
    <row r="50" spans="1:19" ht="18" thickBot="1" x14ac:dyDescent="0.35">
      <c r="A50" s="23"/>
      <c r="B50" s="24"/>
      <c r="C50" s="25"/>
      <c r="D50" s="77"/>
      <c r="E50" s="27"/>
      <c r="F50" s="28"/>
      <c r="H50" s="29"/>
      <c r="I50" s="30"/>
      <c r="J50" s="83"/>
      <c r="K50" s="288"/>
      <c r="L50" s="265"/>
      <c r="M50" s="31"/>
      <c r="N50" s="32"/>
      <c r="O50" s="33"/>
      <c r="P50" s="222"/>
      <c r="Q50" s="223"/>
      <c r="R50" s="225"/>
      <c r="S50" s="33"/>
    </row>
    <row r="51" spans="1:19" ht="18" thickBot="1" x14ac:dyDescent="0.35">
      <c r="A51" s="23"/>
      <c r="B51" s="24"/>
      <c r="C51" s="25"/>
      <c r="D51" s="77"/>
      <c r="E51" s="27"/>
      <c r="F51" s="28"/>
      <c r="H51" s="29"/>
      <c r="I51" s="30"/>
      <c r="J51" s="83">
        <v>45170</v>
      </c>
      <c r="K51" s="288" t="s">
        <v>459</v>
      </c>
      <c r="L51" s="265">
        <v>767163.22</v>
      </c>
      <c r="M51" s="31"/>
      <c r="N51" s="32"/>
      <c r="O51" s="33"/>
      <c r="P51" s="222"/>
      <c r="Q51" s="223"/>
      <c r="R51" s="225"/>
      <c r="S51" s="33"/>
    </row>
    <row r="52" spans="1:19" ht="18" thickBot="1" x14ac:dyDescent="0.35">
      <c r="A52" s="23"/>
      <c r="B52" s="24"/>
      <c r="C52" s="25"/>
      <c r="D52" s="77"/>
      <c r="E52" s="27"/>
      <c r="F52" s="28"/>
      <c r="H52" s="29"/>
      <c r="I52" s="30"/>
      <c r="J52" s="83"/>
      <c r="K52" s="288"/>
      <c r="L52" s="265"/>
      <c r="M52" s="31"/>
      <c r="N52" s="32"/>
      <c r="O52" s="33"/>
      <c r="P52" s="222"/>
      <c r="Q52" s="223"/>
      <c r="R52" s="225"/>
      <c r="S52" s="33"/>
    </row>
    <row r="53" spans="1:19" ht="18" thickBot="1" x14ac:dyDescent="0.35">
      <c r="A53" s="23"/>
      <c r="B53" s="24"/>
      <c r="C53" s="25"/>
      <c r="D53" s="77"/>
      <c r="E53" s="27"/>
      <c r="F53" s="28"/>
      <c r="H53" s="29"/>
      <c r="I53" s="30"/>
      <c r="J53" s="83"/>
      <c r="K53" s="218"/>
      <c r="L53" s="265"/>
      <c r="M53" s="31">
        <v>0</v>
      </c>
      <c r="N53" s="32">
        <v>0</v>
      </c>
      <c r="O53" s="33"/>
      <c r="P53" s="222">
        <v>0</v>
      </c>
      <c r="Q53" s="223">
        <f t="shared" ref="Q53:Q58" si="2">P53-F53</f>
        <v>0</v>
      </c>
      <c r="R53" s="225">
        <v>0</v>
      </c>
      <c r="S53" s="33"/>
    </row>
    <row r="54" spans="1:19" ht="18" thickBot="1" x14ac:dyDescent="0.35">
      <c r="A54" s="23"/>
      <c r="B54" s="24"/>
      <c r="C54" s="25"/>
      <c r="D54" s="77"/>
      <c r="E54" s="27"/>
      <c r="F54" s="87"/>
      <c r="H54" s="29"/>
      <c r="I54" s="88"/>
      <c r="J54" s="83"/>
      <c r="K54" s="86"/>
      <c r="L54" s="265"/>
      <c r="M54" s="31">
        <v>0</v>
      </c>
      <c r="N54" s="32">
        <v>0</v>
      </c>
      <c r="O54" s="33"/>
      <c r="P54" s="227">
        <v>0</v>
      </c>
      <c r="Q54" s="223">
        <f t="shared" si="2"/>
        <v>0</v>
      </c>
      <c r="R54" s="229">
        <v>0</v>
      </c>
      <c r="S54" s="33"/>
    </row>
    <row r="55" spans="1:19" ht="18" thickBot="1" x14ac:dyDescent="0.35">
      <c r="A55" s="23"/>
      <c r="B55" s="24"/>
      <c r="C55" s="25"/>
      <c r="D55" s="77"/>
      <c r="E55" s="27"/>
      <c r="F55" s="87"/>
      <c r="H55" s="29"/>
      <c r="I55" s="88"/>
      <c r="J55" s="83"/>
      <c r="K55" s="218"/>
      <c r="L55" s="265"/>
      <c r="M55" s="89">
        <v>0</v>
      </c>
      <c r="N55" s="90"/>
      <c r="O55" s="33"/>
      <c r="P55" s="34">
        <f t="shared" si="1"/>
        <v>0</v>
      </c>
      <c r="Q55" s="223">
        <f t="shared" si="2"/>
        <v>0</v>
      </c>
      <c r="R55" s="13">
        <v>0</v>
      </c>
      <c r="S55" s="33"/>
    </row>
    <row r="56" spans="1:19" ht="18.75" thickTop="1" thickBot="1" x14ac:dyDescent="0.35">
      <c r="A56" s="23"/>
      <c r="B56" s="24"/>
      <c r="C56" s="25"/>
      <c r="D56" s="91"/>
      <c r="E56" s="27"/>
      <c r="F56" s="92"/>
      <c r="H56" s="29"/>
      <c r="I56" s="93"/>
      <c r="J56" s="83"/>
      <c r="K56" s="86"/>
      <c r="L56" s="265"/>
      <c r="M56" s="361">
        <f>SUM(M5:M39)</f>
        <v>4389810</v>
      </c>
      <c r="N56" s="346">
        <f>SUM(N5:N39)</f>
        <v>10483</v>
      </c>
      <c r="P56" s="95">
        <f t="shared" si="1"/>
        <v>4400293</v>
      </c>
      <c r="Q56" s="223">
        <f>SUM(Q5:Q55)</f>
        <v>0</v>
      </c>
      <c r="R56" s="312">
        <f>SUM(R5:R39)</f>
        <v>105829</v>
      </c>
    </row>
    <row r="57" spans="1:19" ht="18" thickBot="1" x14ac:dyDescent="0.35">
      <c r="A57" s="23"/>
      <c r="B57" s="24"/>
      <c r="C57" s="97"/>
      <c r="D57" s="91"/>
      <c r="E57" s="27"/>
      <c r="F57" s="98"/>
      <c r="H57" s="29"/>
      <c r="I57" s="93"/>
      <c r="J57" s="83"/>
      <c r="K57" s="99"/>
      <c r="L57" s="265"/>
      <c r="M57" s="362"/>
      <c r="N57" s="347"/>
      <c r="P57" s="34"/>
      <c r="Q57" s="223">
        <f t="shared" si="2"/>
        <v>0</v>
      </c>
      <c r="R57" s="13">
        <v>0</v>
      </c>
    </row>
    <row r="58" spans="1:19" ht="18" thickBot="1" x14ac:dyDescent="0.35">
      <c r="A58" s="23"/>
      <c r="B58" s="24"/>
      <c r="C58" s="104"/>
      <c r="D58" s="105"/>
      <c r="E58" s="106"/>
      <c r="F58" s="100"/>
      <c r="G58" s="101"/>
      <c r="H58" s="107"/>
      <c r="I58" s="88"/>
      <c r="J58" s="83"/>
      <c r="K58" s="266"/>
      <c r="L58" s="203"/>
      <c r="M58" s="102"/>
      <c r="N58" s="103"/>
      <c r="P58" s="34"/>
      <c r="Q58" s="223">
        <f t="shared" si="2"/>
        <v>0</v>
      </c>
    </row>
    <row r="59" spans="1:19" ht="16.5" thickBot="1" x14ac:dyDescent="0.3">
      <c r="A59" s="23"/>
      <c r="B59" s="24"/>
      <c r="C59" s="25">
        <v>0</v>
      </c>
      <c r="D59" s="108"/>
      <c r="E59" s="109"/>
      <c r="F59" s="104"/>
      <c r="H59" s="110"/>
      <c r="I59" s="88"/>
      <c r="J59" s="271"/>
      <c r="K59" s="272"/>
      <c r="L59" s="13"/>
      <c r="M59" s="113"/>
      <c r="N59" s="32"/>
      <c r="P59" s="34"/>
      <c r="Q59" s="9"/>
    </row>
    <row r="60" spans="1:19" ht="16.5" thickBot="1" x14ac:dyDescent="0.3">
      <c r="B60" s="114" t="s">
        <v>10</v>
      </c>
      <c r="C60" s="115">
        <f>SUM(C5:C59)</f>
        <v>2369300.4699999997</v>
      </c>
      <c r="D60" s="116"/>
      <c r="E60" s="117" t="s">
        <v>10</v>
      </c>
      <c r="F60" s="118">
        <f>SUM(F5:F59)</f>
        <v>4747168</v>
      </c>
      <c r="G60" s="116"/>
      <c r="H60" s="119" t="s">
        <v>11</v>
      </c>
      <c r="I60" s="120">
        <f>SUM(I5:I59)</f>
        <v>5760</v>
      </c>
      <c r="J60" s="273"/>
      <c r="K60" s="274" t="s">
        <v>12</v>
      </c>
      <c r="L60" s="275">
        <f>SUM(L5:L59)</f>
        <v>827029.16999999993</v>
      </c>
      <c r="M60" s="124"/>
      <c r="N60" s="124"/>
      <c r="P60" s="34"/>
      <c r="Q60" s="9"/>
    </row>
    <row r="61" spans="1:19" ht="17.25" thickTop="1" thickBot="1" x14ac:dyDescent="0.3">
      <c r="C61" s="4" t="s">
        <v>9</v>
      </c>
      <c r="P61" s="34"/>
      <c r="Q61" s="9"/>
    </row>
    <row r="62" spans="1:19" ht="19.5" thickBot="1" x14ac:dyDescent="0.3">
      <c r="A62" s="126"/>
      <c r="B62" s="127"/>
      <c r="C62" s="1"/>
      <c r="H62" s="348" t="s">
        <v>13</v>
      </c>
      <c r="I62" s="349"/>
      <c r="J62" s="128"/>
      <c r="K62" s="350">
        <f>I60+L60</f>
        <v>832789.16999999993</v>
      </c>
      <c r="L62" s="351"/>
      <c r="M62" s="352">
        <f>N56+M56</f>
        <v>4400293</v>
      </c>
      <c r="N62" s="353"/>
      <c r="P62" s="34"/>
      <c r="Q62" s="9"/>
    </row>
    <row r="63" spans="1:19" x14ac:dyDescent="0.25">
      <c r="D63" s="345" t="s">
        <v>14</v>
      </c>
      <c r="E63" s="345"/>
      <c r="F63" s="129">
        <f>F60-K62-C60</f>
        <v>1545078.3600000003</v>
      </c>
      <c r="I63" s="130"/>
      <c r="J63" s="131"/>
      <c r="P63" s="34"/>
      <c r="Q63" s="9"/>
    </row>
    <row r="64" spans="1:19" x14ac:dyDescent="0.25">
      <c r="D64" s="363" t="s">
        <v>15</v>
      </c>
      <c r="E64" s="363"/>
      <c r="F64" s="124">
        <v>0</v>
      </c>
      <c r="I64" s="364" t="s">
        <v>16</v>
      </c>
      <c r="J64" s="365"/>
      <c r="K64" s="378">
        <f>F66+F67+F68</f>
        <v>2177033.4400000004</v>
      </c>
      <c r="L64" s="379"/>
      <c r="P64" s="34"/>
      <c r="Q64" s="9"/>
    </row>
    <row r="65" spans="2:17" ht="16.5" thickBot="1" x14ac:dyDescent="0.3">
      <c r="D65" s="132"/>
      <c r="E65" s="133"/>
      <c r="F65" s="134">
        <v>0</v>
      </c>
      <c r="I65" s="135"/>
      <c r="J65" s="136"/>
      <c r="K65" s="105"/>
      <c r="L65" s="277"/>
      <c r="Q65" s="9"/>
    </row>
    <row r="66" spans="2:17" ht="16.5" thickTop="1" x14ac:dyDescent="0.25">
      <c r="C66" s="5" t="s">
        <v>9</v>
      </c>
      <c r="E66" s="126" t="s">
        <v>17</v>
      </c>
      <c r="F66" s="124">
        <f>SUM(F63:F65)</f>
        <v>1545078.3600000003</v>
      </c>
      <c r="H66" s="23"/>
      <c r="I66" s="139" t="s">
        <v>18</v>
      </c>
      <c r="J66" s="140"/>
      <c r="K66" s="380">
        <f>-C4</f>
        <v>-358228.12</v>
      </c>
      <c r="L66" s="381"/>
      <c r="Q66" s="9"/>
    </row>
    <row r="67" spans="2:17" ht="16.5" thickBot="1" x14ac:dyDescent="0.3">
      <c r="D67" s="141" t="s">
        <v>19</v>
      </c>
      <c r="E67" s="126" t="s">
        <v>20</v>
      </c>
      <c r="F67" s="142">
        <v>78832</v>
      </c>
    </row>
    <row r="68" spans="2:17" ht="20.25" thickTop="1" thickBot="1" x14ac:dyDescent="0.35">
      <c r="C68" s="143">
        <v>45174</v>
      </c>
      <c r="D68" s="370" t="s">
        <v>21</v>
      </c>
      <c r="E68" s="371"/>
      <c r="F68" s="299">
        <v>553123.07999999996</v>
      </c>
      <c r="I68" s="382" t="s">
        <v>170</v>
      </c>
      <c r="J68" s="383"/>
      <c r="K68" s="392">
        <f>K64+K66</f>
        <v>1818805.3200000003</v>
      </c>
      <c r="L68" s="392"/>
    </row>
    <row r="69" spans="2:17" ht="17.25" x14ac:dyDescent="0.3">
      <c r="C69" s="145"/>
      <c r="D69" s="146"/>
      <c r="E69" s="147"/>
      <c r="F69" s="148"/>
      <c r="J69" s="278"/>
    </row>
    <row r="70" spans="2:17" ht="15" customHeight="1" x14ac:dyDescent="0.25">
      <c r="I70" s="150"/>
      <c r="J70" s="279"/>
      <c r="K70" s="280"/>
      <c r="L70" s="280"/>
    </row>
    <row r="71" spans="2:17" ht="16.5" customHeight="1" x14ac:dyDescent="0.25">
      <c r="B71" s="152"/>
      <c r="C71" s="153"/>
      <c r="D71" s="154"/>
      <c r="E71" s="34"/>
      <c r="I71" s="150"/>
      <c r="J71" s="279"/>
      <c r="K71" s="280"/>
      <c r="L71" s="280"/>
      <c r="M71" s="155"/>
      <c r="N71" s="126"/>
    </row>
    <row r="72" spans="2:17" x14ac:dyDescent="0.25">
      <c r="B72" s="152"/>
      <c r="C72" s="156"/>
      <c r="E72" s="34"/>
      <c r="M72" s="155"/>
      <c r="N72" s="126"/>
    </row>
    <row r="73" spans="2:17" x14ac:dyDescent="0.25">
      <c r="B73" s="152"/>
      <c r="C73" s="156"/>
      <c r="E73" s="34"/>
      <c r="F73" s="157"/>
      <c r="L73" s="281"/>
      <c r="M73" s="1"/>
    </row>
    <row r="74" spans="2:17" x14ac:dyDescent="0.25">
      <c r="B74" s="152"/>
      <c r="C74" s="156"/>
      <c r="E74" s="34"/>
      <c r="M74" s="1"/>
    </row>
    <row r="75" spans="2:17" x14ac:dyDescent="0.25">
      <c r="B75" s="152"/>
      <c r="C75" s="156"/>
      <c r="E75" s="34"/>
      <c r="F75" s="159"/>
      <c r="M75" s="1"/>
    </row>
    <row r="76" spans="2:17" x14ac:dyDescent="0.25">
      <c r="E76" s="160"/>
      <c r="F76" s="34"/>
      <c r="M76" s="1"/>
    </row>
    <row r="77" spans="2:17" x14ac:dyDescent="0.25">
      <c r="E77" s="160"/>
      <c r="F77" s="34"/>
      <c r="M77" s="1"/>
    </row>
    <row r="78" spans="2:17" x14ac:dyDescent="0.25">
      <c r="E78" s="160"/>
      <c r="F78" s="34"/>
      <c r="M78" s="1"/>
    </row>
    <row r="79" spans="2:17" x14ac:dyDescent="0.25">
      <c r="E79" s="160"/>
      <c r="F79" s="34"/>
      <c r="M79" s="1"/>
    </row>
    <row r="80" spans="2:17" x14ac:dyDescent="0.25">
      <c r="E80" s="160"/>
      <c r="F80" s="34"/>
      <c r="M80" s="1"/>
    </row>
    <row r="81" spans="5:13" x14ac:dyDescent="0.25">
      <c r="E81" s="160"/>
      <c r="F81" s="34"/>
      <c r="M81" s="1"/>
    </row>
    <row r="82" spans="5:13" x14ac:dyDescent="0.25">
      <c r="E82" s="160"/>
      <c r="F82" s="34"/>
      <c r="M82" s="1"/>
    </row>
    <row r="83" spans="5:13" x14ac:dyDescent="0.25">
      <c r="E83" s="160"/>
      <c r="F83" s="34"/>
      <c r="M83" s="1"/>
    </row>
    <row r="84" spans="5:13" x14ac:dyDescent="0.25">
      <c r="E84" s="160"/>
      <c r="F84" s="34"/>
      <c r="M84" s="1"/>
    </row>
    <row r="85" spans="5:13" x14ac:dyDescent="0.25">
      <c r="E85" s="160"/>
      <c r="F85" s="34"/>
      <c r="M85" s="1"/>
    </row>
    <row r="86" spans="5:13" x14ac:dyDescent="0.25">
      <c r="E86" s="160"/>
      <c r="F86" s="34"/>
      <c r="M86" s="1"/>
    </row>
    <row r="87" spans="5:13" x14ac:dyDescent="0.25">
      <c r="E87" s="160"/>
      <c r="F87" s="34"/>
    </row>
    <row r="88" spans="5:13" x14ac:dyDescent="0.25">
      <c r="F88" s="159"/>
    </row>
    <row r="89" spans="5:13" x14ac:dyDescent="0.25">
      <c r="F89" s="159"/>
    </row>
    <row r="90" spans="5:13" x14ac:dyDescent="0.25">
      <c r="F90" s="159"/>
    </row>
  </sheetData>
  <mergeCells count="21">
    <mergeCell ref="R3:R4"/>
    <mergeCell ref="E4:F4"/>
    <mergeCell ref="H4:I4"/>
    <mergeCell ref="P4:Q4"/>
    <mergeCell ref="D63:E63"/>
    <mergeCell ref="N56:N57"/>
    <mergeCell ref="H62:I62"/>
    <mergeCell ref="K62:L62"/>
    <mergeCell ref="M62:N62"/>
    <mergeCell ref="B1:B2"/>
    <mergeCell ref="C1:M1"/>
    <mergeCell ref="B3:C3"/>
    <mergeCell ref="H3:I3"/>
    <mergeCell ref="M56:M57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115"/>
  <sheetViews>
    <sheetView workbookViewId="0">
      <selection activeCell="D23" sqref="D23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/>
      <c r="B3" s="321"/>
      <c r="C3" s="305"/>
      <c r="D3" s="208"/>
      <c r="E3" s="207"/>
      <c r="F3" s="173">
        <f>C3-E3</f>
        <v>0</v>
      </c>
    </row>
    <row r="4" spans="1:7" ht="22.5" customHeight="1" x14ac:dyDescent="0.25">
      <c r="A4" s="317"/>
      <c r="B4" s="321"/>
      <c r="C4" s="305"/>
      <c r="D4" s="208"/>
      <c r="E4" s="207"/>
      <c r="F4" s="176">
        <f>C4-E4+F3</f>
        <v>0</v>
      </c>
    </row>
    <row r="5" spans="1:7" ht="21" customHeight="1" x14ac:dyDescent="0.25">
      <c r="A5" s="317"/>
      <c r="B5" s="321"/>
      <c r="C5" s="305"/>
      <c r="D5" s="208"/>
      <c r="E5" s="207"/>
      <c r="F5" s="176">
        <f t="shared" ref="F5:F68" si="0">C5-E5+F4</f>
        <v>0</v>
      </c>
    </row>
    <row r="6" spans="1:7" ht="21" customHeight="1" x14ac:dyDescent="0.3">
      <c r="A6" s="317"/>
      <c r="B6" s="321"/>
      <c r="C6" s="305"/>
      <c r="D6" s="208"/>
      <c r="E6" s="207"/>
      <c r="F6" s="176">
        <f t="shared" si="0"/>
        <v>0</v>
      </c>
      <c r="G6" s="177"/>
    </row>
    <row r="7" spans="1:7" ht="21" customHeight="1" x14ac:dyDescent="0.25">
      <c r="A7" s="317"/>
      <c r="B7" s="321"/>
      <c r="C7" s="305"/>
      <c r="D7" s="208"/>
      <c r="E7" s="207"/>
      <c r="F7" s="176">
        <f t="shared" si="0"/>
        <v>0</v>
      </c>
    </row>
    <row r="8" spans="1:7" ht="21" customHeight="1" x14ac:dyDescent="0.25">
      <c r="A8" s="317"/>
      <c r="B8" s="321"/>
      <c r="C8" s="305"/>
      <c r="D8" s="208"/>
      <c r="E8" s="207"/>
      <c r="F8" s="176">
        <f t="shared" si="0"/>
        <v>0</v>
      </c>
    </row>
    <row r="9" spans="1:7" ht="21" customHeight="1" x14ac:dyDescent="0.25">
      <c r="A9" s="317"/>
      <c r="B9" s="321"/>
      <c r="C9" s="305"/>
      <c r="D9" s="174"/>
      <c r="E9" s="142"/>
      <c r="F9" s="176">
        <f t="shared" si="0"/>
        <v>0</v>
      </c>
    </row>
    <row r="10" spans="1:7" ht="21" customHeight="1" x14ac:dyDescent="0.25">
      <c r="A10" s="317"/>
      <c r="B10" s="321"/>
      <c r="C10" s="305"/>
      <c r="D10" s="174"/>
      <c r="E10" s="142"/>
      <c r="F10" s="176">
        <f t="shared" si="0"/>
        <v>0</v>
      </c>
    </row>
    <row r="11" spans="1:7" ht="21" customHeight="1" x14ac:dyDescent="0.25">
      <c r="A11" s="317"/>
      <c r="B11" s="321"/>
      <c r="C11" s="305"/>
      <c r="D11" s="174"/>
      <c r="E11" s="142"/>
      <c r="F11" s="176">
        <f t="shared" si="0"/>
        <v>0</v>
      </c>
    </row>
    <row r="12" spans="1:7" ht="21" customHeight="1" x14ac:dyDescent="0.3">
      <c r="A12" s="317"/>
      <c r="B12" s="321"/>
      <c r="C12" s="305"/>
      <c r="D12" s="174"/>
      <c r="E12" s="142"/>
      <c r="F12" s="176">
        <f t="shared" si="0"/>
        <v>0</v>
      </c>
      <c r="G12" s="177"/>
    </row>
    <row r="13" spans="1:7" ht="21" customHeight="1" x14ac:dyDescent="0.25">
      <c r="A13" s="317"/>
      <c r="B13" s="321"/>
      <c r="C13" s="305"/>
      <c r="D13" s="174"/>
      <c r="E13" s="142"/>
      <c r="F13" s="176">
        <f t="shared" si="0"/>
        <v>0</v>
      </c>
    </row>
    <row r="14" spans="1:7" ht="21" customHeight="1" x14ac:dyDescent="0.25">
      <c r="A14" s="317"/>
      <c r="B14" s="321"/>
      <c r="C14" s="305"/>
      <c r="D14" s="174"/>
      <c r="E14" s="142"/>
      <c r="F14" s="176">
        <f t="shared" si="0"/>
        <v>0</v>
      </c>
    </row>
    <row r="15" spans="1:7" ht="21" customHeight="1" x14ac:dyDescent="0.25">
      <c r="A15" s="317"/>
      <c r="B15" s="321"/>
      <c r="C15" s="305"/>
      <c r="D15" s="174"/>
      <c r="E15" s="142"/>
      <c r="F15" s="176">
        <f t="shared" si="0"/>
        <v>0</v>
      </c>
    </row>
    <row r="16" spans="1:7" ht="21" customHeight="1" x14ac:dyDescent="0.25">
      <c r="A16" s="317"/>
      <c r="B16" s="321"/>
      <c r="C16" s="305"/>
      <c r="D16" s="174"/>
      <c r="E16" s="142"/>
      <c r="F16" s="176">
        <f t="shared" si="0"/>
        <v>0</v>
      </c>
    </row>
    <row r="17" spans="1:10" ht="21" customHeight="1" x14ac:dyDescent="0.25">
      <c r="A17" s="317"/>
      <c r="B17" s="321"/>
      <c r="C17" s="305"/>
      <c r="D17" s="174"/>
      <c r="E17" s="142"/>
      <c r="F17" s="176">
        <f t="shared" si="0"/>
        <v>0</v>
      </c>
    </row>
    <row r="18" spans="1:10" ht="21" customHeight="1" x14ac:dyDescent="0.25">
      <c r="A18" s="317"/>
      <c r="B18" s="321"/>
      <c r="C18" s="305"/>
      <c r="D18" s="174"/>
      <c r="E18" s="142"/>
      <c r="F18" s="176">
        <f t="shared" si="0"/>
        <v>0</v>
      </c>
      <c r="J18" s="126" t="s">
        <v>363</v>
      </c>
    </row>
    <row r="19" spans="1:10" ht="21" customHeight="1" x14ac:dyDescent="0.25">
      <c r="A19" s="317"/>
      <c r="B19" s="321"/>
      <c r="C19" s="305"/>
      <c r="D19" s="174"/>
      <c r="E19" s="142"/>
      <c r="F19" s="176">
        <f t="shared" si="0"/>
        <v>0</v>
      </c>
    </row>
    <row r="20" spans="1:10" ht="21" customHeight="1" x14ac:dyDescent="0.25">
      <c r="A20" s="317"/>
      <c r="B20" s="321"/>
      <c r="C20" s="305"/>
      <c r="D20" s="174"/>
      <c r="E20" s="142"/>
      <c r="F20" s="176">
        <f t="shared" si="0"/>
        <v>0</v>
      </c>
    </row>
    <row r="21" spans="1:10" ht="24.75" customHeight="1" x14ac:dyDescent="0.25">
      <c r="A21" s="317"/>
      <c r="B21" s="321"/>
      <c r="C21" s="305"/>
      <c r="D21" s="174"/>
      <c r="E21" s="142"/>
      <c r="F21" s="176">
        <f t="shared" si="0"/>
        <v>0</v>
      </c>
    </row>
    <row r="22" spans="1:10" ht="21" customHeight="1" x14ac:dyDescent="0.25">
      <c r="A22" s="317"/>
      <c r="B22" s="321"/>
      <c r="C22" s="305"/>
      <c r="D22" s="174"/>
      <c r="E22" s="142"/>
      <c r="F22" s="176">
        <f t="shared" si="0"/>
        <v>0</v>
      </c>
    </row>
    <row r="23" spans="1:10" ht="24.75" customHeight="1" x14ac:dyDescent="0.25">
      <c r="A23" s="317"/>
      <c r="B23" s="321"/>
      <c r="C23" s="305"/>
      <c r="D23" s="174"/>
      <c r="E23" s="142"/>
      <c r="F23" s="176">
        <f t="shared" si="0"/>
        <v>0</v>
      </c>
    </row>
    <row r="24" spans="1:10" ht="21" customHeight="1" x14ac:dyDescent="0.3">
      <c r="A24" s="317"/>
      <c r="B24" s="321"/>
      <c r="C24" s="305"/>
      <c r="D24" s="174"/>
      <c r="E24" s="142"/>
      <c r="F24" s="176">
        <f t="shared" si="0"/>
        <v>0</v>
      </c>
      <c r="G24" s="177"/>
    </row>
    <row r="25" spans="1:10" ht="21" customHeight="1" x14ac:dyDescent="0.25">
      <c r="A25" s="317"/>
      <c r="B25" s="321"/>
      <c r="C25" s="305"/>
      <c r="D25" s="174"/>
      <c r="E25" s="142"/>
      <c r="F25" s="176">
        <f t="shared" si="0"/>
        <v>0</v>
      </c>
    </row>
    <row r="26" spans="1:10" ht="21" customHeight="1" x14ac:dyDescent="0.25">
      <c r="A26" s="317"/>
      <c r="B26" s="321"/>
      <c r="C26" s="305"/>
      <c r="D26" s="174"/>
      <c r="E26" s="142"/>
      <c r="F26" s="176">
        <f t="shared" si="0"/>
        <v>0</v>
      </c>
    </row>
    <row r="27" spans="1:10" ht="21" customHeight="1" x14ac:dyDescent="0.25">
      <c r="A27" s="317"/>
      <c r="B27" s="321"/>
      <c r="C27" s="305"/>
      <c r="D27" s="174"/>
      <c r="E27" s="142"/>
      <c r="F27" s="176">
        <f t="shared" si="0"/>
        <v>0</v>
      </c>
    </row>
    <row r="28" spans="1:10" ht="21" customHeight="1" x14ac:dyDescent="0.25">
      <c r="A28" s="317"/>
      <c r="B28" s="321"/>
      <c r="C28" s="305"/>
      <c r="D28" s="174"/>
      <c r="E28" s="142"/>
      <c r="F28" s="176">
        <f t="shared" si="0"/>
        <v>0</v>
      </c>
    </row>
    <row r="29" spans="1:10" ht="21" customHeight="1" x14ac:dyDescent="0.25">
      <c r="A29" s="317"/>
      <c r="B29" s="321"/>
      <c r="C29" s="305"/>
      <c r="D29" s="174"/>
      <c r="E29" s="142"/>
      <c r="F29" s="176">
        <f t="shared" si="0"/>
        <v>0</v>
      </c>
      <c r="J29" s="142">
        <v>0</v>
      </c>
    </row>
    <row r="30" spans="1:10" ht="21" customHeight="1" x14ac:dyDescent="0.25">
      <c r="A30" s="317"/>
      <c r="B30" s="321"/>
      <c r="C30" s="305"/>
      <c r="D30" s="174"/>
      <c r="E30" s="142"/>
      <c r="F30" s="176">
        <f t="shared" si="0"/>
        <v>0</v>
      </c>
      <c r="J30" s="142">
        <v>0</v>
      </c>
    </row>
    <row r="31" spans="1:10" ht="21" customHeight="1" x14ac:dyDescent="0.25">
      <c r="A31" s="317"/>
      <c r="B31" s="321"/>
      <c r="C31" s="305"/>
      <c r="D31" s="174"/>
      <c r="E31" s="142"/>
      <c r="F31" s="176">
        <f t="shared" si="0"/>
        <v>0</v>
      </c>
      <c r="J31" s="142">
        <v>0</v>
      </c>
    </row>
    <row r="32" spans="1:10" ht="21" customHeight="1" x14ac:dyDescent="0.3">
      <c r="A32" s="317"/>
      <c r="B32" s="321"/>
      <c r="C32" s="305"/>
      <c r="D32" s="174"/>
      <c r="E32" s="142"/>
      <c r="F32" s="176">
        <f t="shared" si="0"/>
        <v>0</v>
      </c>
      <c r="G32" s="177"/>
      <c r="J32" s="142">
        <v>0</v>
      </c>
    </row>
    <row r="33" spans="1:10" ht="21" customHeight="1" x14ac:dyDescent="0.25">
      <c r="A33" s="317"/>
      <c r="B33" s="321"/>
      <c r="C33" s="305"/>
      <c r="D33" s="174"/>
      <c r="E33" s="142"/>
      <c r="F33" s="176">
        <f t="shared" si="0"/>
        <v>0</v>
      </c>
      <c r="J33" s="142">
        <v>0</v>
      </c>
    </row>
    <row r="34" spans="1:10" ht="21" customHeight="1" x14ac:dyDescent="0.25">
      <c r="A34" s="317"/>
      <c r="B34" s="321"/>
      <c r="C34" s="305"/>
      <c r="D34" s="174"/>
      <c r="E34" s="142"/>
      <c r="F34" s="176">
        <f t="shared" si="0"/>
        <v>0</v>
      </c>
      <c r="J34" s="142">
        <v>0</v>
      </c>
    </row>
    <row r="35" spans="1:10" ht="23.25" customHeight="1" x14ac:dyDescent="0.25">
      <c r="A35" s="317"/>
      <c r="B35" s="321"/>
      <c r="C35" s="305"/>
      <c r="D35" s="174"/>
      <c r="E35" s="142"/>
      <c r="F35" s="176">
        <f t="shared" si="0"/>
        <v>0</v>
      </c>
      <c r="J35" s="142">
        <v>0</v>
      </c>
    </row>
    <row r="36" spans="1:10" ht="23.25" customHeight="1" x14ac:dyDescent="0.25">
      <c r="A36" s="317"/>
      <c r="B36" s="321"/>
      <c r="C36" s="305"/>
      <c r="D36" s="174"/>
      <c r="E36" s="142"/>
      <c r="F36" s="176">
        <f t="shared" si="0"/>
        <v>0</v>
      </c>
      <c r="J36" s="126">
        <v>0</v>
      </c>
    </row>
    <row r="37" spans="1:10" ht="23.25" customHeight="1" x14ac:dyDescent="0.25">
      <c r="A37" s="317"/>
      <c r="B37" s="321"/>
      <c r="C37" s="305"/>
      <c r="D37" s="174"/>
      <c r="E37" s="142"/>
      <c r="F37" s="176">
        <f t="shared" si="0"/>
        <v>0</v>
      </c>
      <c r="J37" s="178">
        <f>SUM(J29:J36)</f>
        <v>0</v>
      </c>
    </row>
    <row r="38" spans="1:10" ht="23.25" customHeight="1" x14ac:dyDescent="0.25">
      <c r="A38" s="317"/>
      <c r="B38" s="321"/>
      <c r="C38" s="305"/>
      <c r="D38" s="174"/>
      <c r="E38" s="142"/>
      <c r="F38" s="176">
        <f t="shared" si="0"/>
        <v>0</v>
      </c>
    </row>
    <row r="39" spans="1:10" ht="23.25" customHeight="1" x14ac:dyDescent="0.25">
      <c r="A39" s="317"/>
      <c r="B39" s="321"/>
      <c r="C39" s="305"/>
      <c r="D39" s="174"/>
      <c r="E39" s="142"/>
      <c r="F39" s="176">
        <f t="shared" si="0"/>
        <v>0</v>
      </c>
    </row>
    <row r="40" spans="1:10" ht="23.25" customHeight="1" x14ac:dyDescent="0.25">
      <c r="A40" s="317"/>
      <c r="B40" s="321"/>
      <c r="C40" s="305"/>
      <c r="D40" s="174"/>
      <c r="E40" s="97"/>
      <c r="F40" s="176">
        <f t="shared" si="0"/>
        <v>0</v>
      </c>
    </row>
    <row r="41" spans="1:10" ht="23.25" customHeight="1" x14ac:dyDescent="0.25">
      <c r="A41" s="317"/>
      <c r="B41" s="321"/>
      <c r="C41" s="305"/>
      <c r="D41" s="174"/>
      <c r="E41" s="97"/>
      <c r="F41" s="176">
        <f t="shared" si="0"/>
        <v>0</v>
      </c>
    </row>
    <row r="42" spans="1:10" ht="23.25" customHeight="1" x14ac:dyDescent="0.25">
      <c r="A42" s="317"/>
      <c r="B42" s="321"/>
      <c r="C42" s="305"/>
      <c r="D42" s="174"/>
      <c r="E42" s="97"/>
      <c r="F42" s="176">
        <f t="shared" si="0"/>
        <v>0</v>
      </c>
    </row>
    <row r="43" spans="1:10" ht="23.25" customHeight="1" x14ac:dyDescent="0.25">
      <c r="A43" s="317"/>
      <c r="B43" s="321"/>
      <c r="C43" s="305"/>
      <c r="D43" s="183"/>
      <c r="E43" s="97"/>
      <c r="F43" s="176">
        <f t="shared" si="0"/>
        <v>0</v>
      </c>
    </row>
    <row r="44" spans="1:10" ht="23.25" customHeight="1" x14ac:dyDescent="0.25">
      <c r="A44" s="317"/>
      <c r="B44" s="321"/>
      <c r="C44" s="305"/>
      <c r="D44" s="183"/>
      <c r="E44" s="97"/>
      <c r="F44" s="176">
        <f t="shared" si="0"/>
        <v>0</v>
      </c>
    </row>
    <row r="45" spans="1:10" ht="23.25" customHeight="1" x14ac:dyDescent="0.25">
      <c r="A45" s="317"/>
      <c r="B45" s="321"/>
      <c r="C45" s="305"/>
      <c r="D45" s="183"/>
      <c r="E45" s="97"/>
      <c r="F45" s="176">
        <f t="shared" si="0"/>
        <v>0</v>
      </c>
    </row>
    <row r="46" spans="1:10" ht="23.25" customHeight="1" x14ac:dyDescent="0.25">
      <c r="A46" s="317"/>
      <c r="B46" s="321"/>
      <c r="C46" s="305"/>
      <c r="D46" s="183"/>
      <c r="E46" s="97"/>
      <c r="F46" s="176">
        <f t="shared" si="0"/>
        <v>0</v>
      </c>
    </row>
    <row r="47" spans="1:10" ht="23.25" customHeight="1" x14ac:dyDescent="0.25">
      <c r="A47" s="317"/>
      <c r="B47" s="321"/>
      <c r="C47" s="305"/>
      <c r="D47" s="183"/>
      <c r="E47" s="97"/>
      <c r="F47" s="176">
        <f t="shared" si="0"/>
        <v>0</v>
      </c>
    </row>
    <row r="48" spans="1:10" ht="23.25" customHeight="1" x14ac:dyDescent="0.25">
      <c r="A48" s="317"/>
      <c r="B48" s="321"/>
      <c r="C48" s="305"/>
      <c r="D48" s="183"/>
      <c r="E48" s="97"/>
      <c r="F48" s="176">
        <f t="shared" si="0"/>
        <v>0</v>
      </c>
    </row>
    <row r="49" spans="1:6" ht="23.25" customHeight="1" x14ac:dyDescent="0.25">
      <c r="A49" s="317"/>
      <c r="B49" s="321"/>
      <c r="C49" s="305"/>
      <c r="D49" s="183"/>
      <c r="E49" s="97"/>
      <c r="F49" s="176">
        <f t="shared" si="0"/>
        <v>0</v>
      </c>
    </row>
    <row r="50" spans="1:6" ht="23.25" customHeight="1" x14ac:dyDescent="0.25">
      <c r="A50" s="317"/>
      <c r="B50" s="321"/>
      <c r="C50" s="305"/>
      <c r="D50" s="183"/>
      <c r="E50" s="97"/>
      <c r="F50" s="176">
        <f t="shared" si="0"/>
        <v>0</v>
      </c>
    </row>
    <row r="51" spans="1:6" ht="23.25" customHeight="1" x14ac:dyDescent="0.25">
      <c r="A51" s="317"/>
      <c r="B51" s="321"/>
      <c r="C51" s="305"/>
      <c r="D51" s="183"/>
      <c r="E51" s="97"/>
      <c r="F51" s="176">
        <f t="shared" si="0"/>
        <v>0</v>
      </c>
    </row>
    <row r="52" spans="1:6" ht="23.25" customHeight="1" x14ac:dyDescent="0.25">
      <c r="A52" s="318"/>
      <c r="B52" s="232"/>
      <c r="C52" s="142"/>
      <c r="D52" s="183"/>
      <c r="E52" s="97"/>
      <c r="F52" s="176">
        <f t="shared" si="0"/>
        <v>0</v>
      </c>
    </row>
    <row r="53" spans="1:6" ht="23.25" customHeight="1" x14ac:dyDescent="0.25">
      <c r="A53" s="318"/>
      <c r="B53" s="232"/>
      <c r="C53" s="142"/>
      <c r="D53" s="183"/>
      <c r="E53" s="97"/>
      <c r="F53" s="176">
        <f t="shared" si="0"/>
        <v>0</v>
      </c>
    </row>
    <row r="54" spans="1:6" ht="23.25" customHeight="1" x14ac:dyDescent="0.25">
      <c r="A54" s="318"/>
      <c r="B54" s="232"/>
      <c r="C54" s="142"/>
      <c r="D54" s="183"/>
      <c r="E54" s="97"/>
      <c r="F54" s="176">
        <f t="shared" si="0"/>
        <v>0</v>
      </c>
    </row>
    <row r="55" spans="1:6" ht="23.25" customHeight="1" x14ac:dyDescent="0.25">
      <c r="A55" s="318"/>
      <c r="B55" s="232"/>
      <c r="C55" s="142"/>
      <c r="D55" s="183"/>
      <c r="E55" s="97"/>
      <c r="F55" s="176">
        <f t="shared" si="0"/>
        <v>0</v>
      </c>
    </row>
    <row r="56" spans="1:6" ht="23.25" customHeight="1" x14ac:dyDescent="0.25">
      <c r="A56" s="318"/>
      <c r="B56" s="232"/>
      <c r="C56" s="142"/>
      <c r="D56" s="183"/>
      <c r="E56" s="97"/>
      <c r="F56" s="176">
        <f t="shared" si="0"/>
        <v>0</v>
      </c>
    </row>
    <row r="57" spans="1:6" ht="29.25" customHeight="1" x14ac:dyDescent="0.25">
      <c r="A57" s="319"/>
      <c r="B57" s="182"/>
      <c r="C57" s="97"/>
      <c r="D57" s="183"/>
      <c r="E57" s="97"/>
      <c r="F57" s="176">
        <f t="shared" si="0"/>
        <v>0</v>
      </c>
    </row>
    <row r="58" spans="1:6" ht="29.25" customHeight="1" x14ac:dyDescent="0.25">
      <c r="A58" s="319"/>
      <c r="B58" s="182"/>
      <c r="C58" s="97"/>
      <c r="D58" s="183"/>
      <c r="E58" s="97"/>
      <c r="F58" s="176">
        <f t="shared" si="0"/>
        <v>0</v>
      </c>
    </row>
    <row r="59" spans="1:6" ht="29.25" customHeight="1" x14ac:dyDescent="0.25">
      <c r="A59" s="319"/>
      <c r="B59" s="182"/>
      <c r="C59" s="97"/>
      <c r="D59" s="183"/>
      <c r="E59" s="97"/>
      <c r="F59" s="176">
        <f t="shared" si="0"/>
        <v>0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0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0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0</v>
      </c>
    </row>
    <row r="79" spans="1:6" ht="39.75" customHeight="1" thickBot="1" x14ac:dyDescent="0.35">
      <c r="A79" s="59"/>
      <c r="B79" s="189"/>
      <c r="C79" s="300">
        <f>SUM(C3:C78)</f>
        <v>0</v>
      </c>
      <c r="D79" s="168"/>
      <c r="E79" s="191">
        <f>SUM(E3:E78)</f>
        <v>0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9:F32"/>
  <sheetViews>
    <sheetView topLeftCell="A3" workbookViewId="0">
      <selection activeCell="F28" sqref="F28"/>
    </sheetView>
  </sheetViews>
  <sheetFormatPr baseColWidth="10" defaultRowHeight="18.75" x14ac:dyDescent="0.3"/>
  <cols>
    <col min="3" max="3" width="31" customWidth="1"/>
    <col min="4" max="4" width="22.7109375" style="197" customWidth="1"/>
  </cols>
  <sheetData>
    <row r="9" spans="2:5" x14ac:dyDescent="0.3">
      <c r="B9" s="325">
        <v>45174</v>
      </c>
      <c r="C9" s="6" t="s">
        <v>460</v>
      </c>
      <c r="D9" s="327">
        <v>11424</v>
      </c>
      <c r="E9" t="s">
        <v>461</v>
      </c>
    </row>
    <row r="10" spans="2:5" x14ac:dyDescent="0.3">
      <c r="B10" s="325">
        <v>45175</v>
      </c>
      <c r="C10" s="6" t="s">
        <v>462</v>
      </c>
      <c r="D10" s="327">
        <v>37120</v>
      </c>
      <c r="E10" t="s">
        <v>463</v>
      </c>
    </row>
    <row r="11" spans="2:5" x14ac:dyDescent="0.3">
      <c r="B11" s="325">
        <v>45177</v>
      </c>
      <c r="C11" s="6" t="s">
        <v>464</v>
      </c>
      <c r="D11" s="327">
        <v>14500</v>
      </c>
      <c r="E11" t="s">
        <v>465</v>
      </c>
    </row>
    <row r="12" spans="2:5" x14ac:dyDescent="0.3">
      <c r="B12" s="325">
        <v>45180</v>
      </c>
      <c r="C12" s="6" t="s">
        <v>466</v>
      </c>
      <c r="D12" s="327">
        <v>877000</v>
      </c>
      <c r="E12" t="s">
        <v>467</v>
      </c>
    </row>
    <row r="13" spans="2:5" x14ac:dyDescent="0.3">
      <c r="B13" s="325">
        <v>45180</v>
      </c>
      <c r="C13" s="6" t="s">
        <v>375</v>
      </c>
      <c r="D13" s="327">
        <v>1392</v>
      </c>
      <c r="E13" t="s">
        <v>468</v>
      </c>
    </row>
    <row r="14" spans="2:5" x14ac:dyDescent="0.3">
      <c r="B14" s="325">
        <v>45184</v>
      </c>
      <c r="C14" s="6" t="s">
        <v>469</v>
      </c>
      <c r="D14" s="327">
        <v>4988</v>
      </c>
      <c r="E14" t="s">
        <v>470</v>
      </c>
    </row>
    <row r="15" spans="2:5" x14ac:dyDescent="0.3">
      <c r="B15" s="325">
        <v>45184</v>
      </c>
      <c r="C15" s="6" t="s">
        <v>471</v>
      </c>
      <c r="D15" s="327">
        <v>1107417.6100000001</v>
      </c>
      <c r="E15" t="s">
        <v>472</v>
      </c>
    </row>
    <row r="16" spans="2:5" x14ac:dyDescent="0.3">
      <c r="B16" s="325">
        <v>45187</v>
      </c>
      <c r="C16" s="6" t="s">
        <v>473</v>
      </c>
      <c r="D16" s="327">
        <v>12424</v>
      </c>
      <c r="E16" t="s">
        <v>474</v>
      </c>
    </row>
    <row r="17" spans="2:6" x14ac:dyDescent="0.3">
      <c r="B17" s="325">
        <v>45187</v>
      </c>
      <c r="C17" s="6" t="s">
        <v>111</v>
      </c>
      <c r="D17" s="327">
        <v>549</v>
      </c>
    </row>
    <row r="18" spans="2:6" x14ac:dyDescent="0.3">
      <c r="B18" s="325">
        <v>45189</v>
      </c>
      <c r="C18" s="6" t="s">
        <v>475</v>
      </c>
      <c r="D18" s="327">
        <v>37120</v>
      </c>
      <c r="E18" t="s">
        <v>480</v>
      </c>
    </row>
    <row r="19" spans="2:6" x14ac:dyDescent="0.3">
      <c r="B19" s="325">
        <v>45195</v>
      </c>
      <c r="C19" s="6" t="s">
        <v>476</v>
      </c>
      <c r="D19" s="327">
        <v>612850</v>
      </c>
      <c r="E19" t="s">
        <v>477</v>
      </c>
    </row>
    <row r="20" spans="2:6" x14ac:dyDescent="0.3">
      <c r="B20" s="325">
        <v>45196</v>
      </c>
      <c r="C20" s="6" t="s">
        <v>478</v>
      </c>
      <c r="D20" s="327">
        <v>1031.47</v>
      </c>
    </row>
    <row r="21" spans="2:6" ht="32.25" x14ac:dyDescent="0.3">
      <c r="B21" s="325">
        <v>45197</v>
      </c>
      <c r="C21" s="326" t="s">
        <v>479</v>
      </c>
      <c r="D21" s="197">
        <v>9077</v>
      </c>
      <c r="E21" s="328" t="s">
        <v>481</v>
      </c>
      <c r="F21" s="329"/>
    </row>
    <row r="22" spans="2:6" x14ac:dyDescent="0.3">
      <c r="B22" s="325">
        <v>45198</v>
      </c>
      <c r="C22" s="6" t="s">
        <v>471</v>
      </c>
      <c r="D22" s="197">
        <v>1099966.51</v>
      </c>
      <c r="E22" t="s">
        <v>472</v>
      </c>
    </row>
    <row r="23" spans="2:6" x14ac:dyDescent="0.3">
      <c r="B23" s="6"/>
      <c r="C23" s="6"/>
    </row>
    <row r="24" spans="2:6" x14ac:dyDescent="0.3">
      <c r="B24" s="6"/>
      <c r="C24" s="6"/>
    </row>
    <row r="25" spans="2:6" x14ac:dyDescent="0.3">
      <c r="B25" s="6"/>
      <c r="C25" s="6"/>
    </row>
    <row r="26" spans="2:6" x14ac:dyDescent="0.3">
      <c r="B26" s="6"/>
      <c r="C26" s="6"/>
    </row>
    <row r="27" spans="2:6" x14ac:dyDescent="0.3">
      <c r="B27" s="6"/>
      <c r="C27" s="6"/>
    </row>
    <row r="28" spans="2:6" x14ac:dyDescent="0.3">
      <c r="B28" s="6"/>
      <c r="C28" s="6"/>
    </row>
    <row r="29" spans="2:6" x14ac:dyDescent="0.3">
      <c r="B29" s="6"/>
      <c r="C29" s="6"/>
    </row>
    <row r="30" spans="2:6" x14ac:dyDescent="0.3">
      <c r="B30" s="6"/>
      <c r="C30" s="6"/>
    </row>
    <row r="31" spans="2:6" x14ac:dyDescent="0.3">
      <c r="B31" s="6"/>
      <c r="C31" s="6"/>
    </row>
    <row r="32" spans="2:6" x14ac:dyDescent="0.3">
      <c r="B32" s="6"/>
      <c r="C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0">
        <v>44935</v>
      </c>
      <c r="B3" s="171" t="s">
        <v>31</v>
      </c>
      <c r="C3" s="172">
        <v>66876.399999999994</v>
      </c>
      <c r="D3" s="199">
        <v>44940</v>
      </c>
      <c r="E3" s="200">
        <v>66876.399999999994</v>
      </c>
      <c r="F3" s="173">
        <f>C3-E3</f>
        <v>0</v>
      </c>
    </row>
    <row r="4" spans="1:7" ht="22.5" customHeight="1" x14ac:dyDescent="0.25">
      <c r="A4" s="174">
        <v>44935</v>
      </c>
      <c r="B4" s="175" t="s">
        <v>32</v>
      </c>
      <c r="C4" s="142">
        <v>4200</v>
      </c>
      <c r="D4" s="199">
        <v>44940</v>
      </c>
      <c r="E4" s="201">
        <v>4200</v>
      </c>
      <c r="F4" s="176">
        <f>C4-E4+F3</f>
        <v>0</v>
      </c>
    </row>
    <row r="5" spans="1:7" ht="21" customHeight="1" x14ac:dyDescent="0.25">
      <c r="A5" s="174">
        <v>44936</v>
      </c>
      <c r="B5" s="175" t="s">
        <v>33</v>
      </c>
      <c r="C5" s="142">
        <v>69024</v>
      </c>
      <c r="D5" s="199">
        <v>44940</v>
      </c>
      <c r="E5" s="201">
        <v>69024</v>
      </c>
      <c r="F5" s="176">
        <f t="shared" ref="F5:F68" si="0">C5-E5+F4</f>
        <v>0</v>
      </c>
    </row>
    <row r="6" spans="1:7" ht="21" customHeight="1" x14ac:dyDescent="0.3">
      <c r="A6" s="174">
        <v>44937</v>
      </c>
      <c r="B6" s="175" t="s">
        <v>34</v>
      </c>
      <c r="C6" s="142">
        <v>15219.6</v>
      </c>
      <c r="D6" s="199">
        <v>44940</v>
      </c>
      <c r="E6" s="201">
        <v>15219.6</v>
      </c>
      <c r="F6" s="176">
        <f t="shared" si="0"/>
        <v>0</v>
      </c>
      <c r="G6" s="177"/>
    </row>
    <row r="7" spans="1:7" ht="21" customHeight="1" x14ac:dyDescent="0.25">
      <c r="A7" s="174">
        <v>44938</v>
      </c>
      <c r="B7" s="175" t="s">
        <v>35</v>
      </c>
      <c r="C7" s="142">
        <v>121464.92</v>
      </c>
      <c r="D7" s="199">
        <v>44940</v>
      </c>
      <c r="E7" s="201">
        <v>121464.92</v>
      </c>
      <c r="F7" s="176">
        <f t="shared" si="0"/>
        <v>0</v>
      </c>
    </row>
    <row r="8" spans="1:7" ht="21" customHeight="1" x14ac:dyDescent="0.25">
      <c r="A8" s="174">
        <v>44939</v>
      </c>
      <c r="B8" s="175" t="s">
        <v>36</v>
      </c>
      <c r="C8" s="142">
        <v>97453.87</v>
      </c>
      <c r="D8" s="202">
        <v>44946</v>
      </c>
      <c r="E8" s="203">
        <v>97453.87</v>
      </c>
      <c r="F8" s="176">
        <f t="shared" si="0"/>
        <v>0</v>
      </c>
    </row>
    <row r="9" spans="1:7" ht="21" customHeight="1" x14ac:dyDescent="0.25">
      <c r="A9" s="174">
        <v>44940</v>
      </c>
      <c r="B9" s="175" t="s">
        <v>37</v>
      </c>
      <c r="C9" s="142">
        <v>142167.48000000001</v>
      </c>
      <c r="D9" s="202">
        <v>44946</v>
      </c>
      <c r="E9" s="203">
        <v>142167.48000000001</v>
      </c>
      <c r="F9" s="176">
        <f t="shared" si="0"/>
        <v>0</v>
      </c>
    </row>
    <row r="10" spans="1:7" ht="21" customHeight="1" x14ac:dyDescent="0.25">
      <c r="A10" s="174">
        <v>44942</v>
      </c>
      <c r="B10" s="175" t="s">
        <v>38</v>
      </c>
      <c r="C10" s="142">
        <v>7989.4</v>
      </c>
      <c r="D10" s="202">
        <v>44946</v>
      </c>
      <c r="E10" s="203">
        <v>7989.4</v>
      </c>
      <c r="F10" s="176">
        <f t="shared" si="0"/>
        <v>0</v>
      </c>
    </row>
    <row r="11" spans="1:7" ht="21" customHeight="1" x14ac:dyDescent="0.25">
      <c r="A11" s="174">
        <v>44942</v>
      </c>
      <c r="B11" s="175" t="s">
        <v>39</v>
      </c>
      <c r="C11" s="142">
        <v>89578.1</v>
      </c>
      <c r="D11" s="202">
        <v>44946</v>
      </c>
      <c r="E11" s="203">
        <v>89578.1</v>
      </c>
      <c r="F11" s="176">
        <f t="shared" si="0"/>
        <v>0</v>
      </c>
    </row>
    <row r="12" spans="1:7" ht="21" customHeight="1" x14ac:dyDescent="0.3">
      <c r="A12" s="174">
        <v>44943</v>
      </c>
      <c r="B12" s="175" t="s">
        <v>40</v>
      </c>
      <c r="C12" s="142">
        <v>84731.3</v>
      </c>
      <c r="D12" s="202">
        <v>44946</v>
      </c>
      <c r="E12" s="203">
        <v>84731.3</v>
      </c>
      <c r="F12" s="176">
        <f t="shared" si="0"/>
        <v>0</v>
      </c>
      <c r="G12" s="177"/>
    </row>
    <row r="13" spans="1:7" ht="21" customHeight="1" x14ac:dyDescent="0.25">
      <c r="A13" s="174">
        <v>44943</v>
      </c>
      <c r="B13" s="175" t="s">
        <v>41</v>
      </c>
      <c r="C13" s="142">
        <v>9527</v>
      </c>
      <c r="D13" s="202">
        <v>44946</v>
      </c>
      <c r="E13" s="203">
        <v>9527</v>
      </c>
      <c r="F13" s="176">
        <f t="shared" si="0"/>
        <v>0</v>
      </c>
    </row>
    <row r="14" spans="1:7" ht="21" customHeight="1" x14ac:dyDescent="0.25">
      <c r="A14" s="174">
        <v>44944</v>
      </c>
      <c r="B14" s="175" t="s">
        <v>42</v>
      </c>
      <c r="C14" s="142">
        <v>12017.19</v>
      </c>
      <c r="D14" s="202">
        <v>44946</v>
      </c>
      <c r="E14" s="203">
        <v>12017.19</v>
      </c>
      <c r="F14" s="176">
        <f t="shared" si="0"/>
        <v>0</v>
      </c>
    </row>
    <row r="15" spans="1:7" ht="21" customHeight="1" x14ac:dyDescent="0.25">
      <c r="A15" s="174">
        <v>44945</v>
      </c>
      <c r="B15" s="175" t="s">
        <v>43</v>
      </c>
      <c r="C15" s="142">
        <v>155214</v>
      </c>
      <c r="D15" s="202">
        <v>44946</v>
      </c>
      <c r="E15" s="203">
        <v>155214</v>
      </c>
      <c r="F15" s="176">
        <f t="shared" si="0"/>
        <v>0</v>
      </c>
    </row>
    <row r="16" spans="1:7" ht="21" customHeight="1" x14ac:dyDescent="0.25">
      <c r="A16" s="174">
        <v>44946</v>
      </c>
      <c r="B16" s="175" t="s">
        <v>44</v>
      </c>
      <c r="C16" s="142">
        <v>87505.3</v>
      </c>
      <c r="D16" s="204">
        <v>44953</v>
      </c>
      <c r="E16" s="205">
        <v>87505.3</v>
      </c>
      <c r="F16" s="176">
        <f t="shared" si="0"/>
        <v>0</v>
      </c>
    </row>
    <row r="17" spans="1:10" ht="21" customHeight="1" x14ac:dyDescent="0.25">
      <c r="A17" s="174">
        <v>44947</v>
      </c>
      <c r="B17" s="175" t="s">
        <v>45</v>
      </c>
      <c r="C17" s="142">
        <v>124226.23</v>
      </c>
      <c r="D17" s="204">
        <v>44953</v>
      </c>
      <c r="E17" s="205">
        <v>124226.23</v>
      </c>
      <c r="F17" s="176">
        <f t="shared" si="0"/>
        <v>0</v>
      </c>
    </row>
    <row r="18" spans="1:10" ht="21" customHeight="1" x14ac:dyDescent="0.25">
      <c r="A18" s="174">
        <v>44950</v>
      </c>
      <c r="B18" s="175" t="s">
        <v>46</v>
      </c>
      <c r="C18" s="142">
        <v>74380.55</v>
      </c>
      <c r="D18" s="204">
        <v>44953</v>
      </c>
      <c r="E18" s="205">
        <v>74380.55</v>
      </c>
      <c r="F18" s="176">
        <f t="shared" si="0"/>
        <v>0</v>
      </c>
    </row>
    <row r="19" spans="1:10" ht="21" customHeight="1" x14ac:dyDescent="0.25">
      <c r="A19" s="174">
        <v>44952</v>
      </c>
      <c r="B19" s="175" t="s">
        <v>47</v>
      </c>
      <c r="C19" s="142">
        <v>17080</v>
      </c>
      <c r="D19" s="204">
        <v>44953</v>
      </c>
      <c r="E19" s="205">
        <v>17080</v>
      </c>
      <c r="F19" s="176">
        <f t="shared" si="0"/>
        <v>0</v>
      </c>
    </row>
    <row r="20" spans="1:10" ht="21" customHeight="1" x14ac:dyDescent="0.25">
      <c r="A20" s="174">
        <v>44952</v>
      </c>
      <c r="B20" s="175" t="s">
        <v>48</v>
      </c>
      <c r="C20" s="142">
        <v>135608.74</v>
      </c>
      <c r="D20" s="204">
        <v>44953</v>
      </c>
      <c r="E20" s="205">
        <v>135608.74</v>
      </c>
      <c r="F20" s="176">
        <f t="shared" si="0"/>
        <v>0</v>
      </c>
    </row>
    <row r="21" spans="1:10" ht="24.75" customHeight="1" x14ac:dyDescent="0.25">
      <c r="A21" s="174">
        <v>44952</v>
      </c>
      <c r="B21" s="175" t="s">
        <v>49</v>
      </c>
      <c r="C21" s="142">
        <v>21961.200000000001</v>
      </c>
      <c r="D21" s="204">
        <v>44953</v>
      </c>
      <c r="E21" s="205">
        <v>21961.200000000001</v>
      </c>
      <c r="F21" s="176">
        <f t="shared" si="0"/>
        <v>0</v>
      </c>
    </row>
    <row r="22" spans="1:10" ht="21" customHeight="1" x14ac:dyDescent="0.25">
      <c r="A22" s="174">
        <v>44952</v>
      </c>
      <c r="B22" s="175" t="s">
        <v>50</v>
      </c>
      <c r="C22" s="142">
        <v>748</v>
      </c>
      <c r="D22" s="204">
        <v>44953</v>
      </c>
      <c r="E22" s="205">
        <v>748</v>
      </c>
      <c r="F22" s="176">
        <f t="shared" si="0"/>
        <v>0</v>
      </c>
    </row>
    <row r="23" spans="1:10" ht="21" customHeight="1" x14ac:dyDescent="0.25">
      <c r="A23" s="174">
        <v>44953</v>
      </c>
      <c r="B23" s="175" t="s">
        <v>51</v>
      </c>
      <c r="C23" s="142">
        <v>70003</v>
      </c>
      <c r="D23" s="204">
        <v>44953</v>
      </c>
      <c r="E23" s="205">
        <v>70003</v>
      </c>
      <c r="F23" s="176">
        <f t="shared" si="0"/>
        <v>0</v>
      </c>
    </row>
    <row r="24" spans="1:10" ht="21" customHeight="1" x14ac:dyDescent="0.3">
      <c r="A24" s="174">
        <v>44953</v>
      </c>
      <c r="B24" s="175" t="s">
        <v>52</v>
      </c>
      <c r="C24" s="142">
        <v>616</v>
      </c>
      <c r="D24" s="206">
        <v>44960</v>
      </c>
      <c r="E24" s="207">
        <v>616</v>
      </c>
      <c r="F24" s="176">
        <f t="shared" si="0"/>
        <v>0</v>
      </c>
      <c r="G24" s="177"/>
    </row>
    <row r="25" spans="1:10" ht="21" customHeight="1" x14ac:dyDescent="0.25">
      <c r="A25" s="174">
        <v>44954</v>
      </c>
      <c r="B25" s="175" t="s">
        <v>53</v>
      </c>
      <c r="C25" s="142">
        <v>6048.9</v>
      </c>
      <c r="D25" s="206">
        <v>44960</v>
      </c>
      <c r="E25" s="207">
        <v>6048.9</v>
      </c>
      <c r="F25" s="176">
        <f t="shared" si="0"/>
        <v>0</v>
      </c>
    </row>
    <row r="26" spans="1:10" ht="21" customHeight="1" x14ac:dyDescent="0.25">
      <c r="A26" s="174">
        <v>44954</v>
      </c>
      <c r="B26" s="175" t="s">
        <v>54</v>
      </c>
      <c r="C26" s="142">
        <v>110754.3</v>
      </c>
      <c r="D26" s="206">
        <v>44960</v>
      </c>
      <c r="E26" s="207">
        <v>110754.3</v>
      </c>
      <c r="F26" s="176">
        <f t="shared" si="0"/>
        <v>0</v>
      </c>
    </row>
    <row r="27" spans="1:10" ht="21" customHeight="1" x14ac:dyDescent="0.25">
      <c r="A27" s="174"/>
      <c r="B27" s="175"/>
      <c r="C27" s="142"/>
      <c r="D27" s="174"/>
      <c r="E27" s="142"/>
      <c r="F27" s="176">
        <f t="shared" si="0"/>
        <v>0</v>
      </c>
    </row>
    <row r="28" spans="1:10" ht="21" customHeight="1" x14ac:dyDescent="0.25">
      <c r="A28" s="174"/>
      <c r="B28" s="175"/>
      <c r="C28" s="142"/>
      <c r="D28" s="174"/>
      <c r="E28" s="142"/>
      <c r="F28" s="176">
        <f t="shared" si="0"/>
        <v>0</v>
      </c>
    </row>
    <row r="29" spans="1:10" ht="21" customHeight="1" x14ac:dyDescent="0.25">
      <c r="A29" s="174"/>
      <c r="B29" s="175"/>
      <c r="C29" s="142"/>
      <c r="D29" s="174"/>
      <c r="E29" s="142"/>
      <c r="F29" s="176">
        <f t="shared" si="0"/>
        <v>0</v>
      </c>
      <c r="J29" s="142">
        <v>0</v>
      </c>
    </row>
    <row r="30" spans="1:10" ht="21" hidden="1" customHeight="1" x14ac:dyDescent="0.25">
      <c r="A30" s="174"/>
      <c r="B30" s="175"/>
      <c r="C30" s="142"/>
      <c r="D30" s="174"/>
      <c r="E30" s="142"/>
      <c r="F30" s="176">
        <f t="shared" si="0"/>
        <v>0</v>
      </c>
      <c r="J30" s="142">
        <v>0</v>
      </c>
    </row>
    <row r="31" spans="1:10" ht="21" hidden="1" customHeight="1" x14ac:dyDescent="0.25">
      <c r="A31" s="174"/>
      <c r="B31" s="175"/>
      <c r="C31" s="142"/>
      <c r="D31" s="174"/>
      <c r="E31" s="142"/>
      <c r="F31" s="176">
        <f t="shared" si="0"/>
        <v>0</v>
      </c>
      <c r="J31" s="142">
        <v>0</v>
      </c>
    </row>
    <row r="32" spans="1:10" ht="21" hidden="1" customHeight="1" x14ac:dyDescent="0.3">
      <c r="A32" s="174"/>
      <c r="B32" s="175"/>
      <c r="C32" s="142"/>
      <c r="D32" s="174"/>
      <c r="E32" s="142"/>
      <c r="F32" s="176">
        <f t="shared" si="0"/>
        <v>0</v>
      </c>
      <c r="G32" s="177"/>
      <c r="J32" s="142">
        <v>0</v>
      </c>
    </row>
    <row r="33" spans="1:10" ht="21" hidden="1" customHeight="1" x14ac:dyDescent="0.25">
      <c r="A33" s="174"/>
      <c r="B33" s="175"/>
      <c r="C33" s="142"/>
      <c r="D33" s="174"/>
      <c r="E33" s="142"/>
      <c r="F33" s="176">
        <f t="shared" si="0"/>
        <v>0</v>
      </c>
      <c r="J33" s="142">
        <v>0</v>
      </c>
    </row>
    <row r="34" spans="1:10" ht="21" hidden="1" customHeight="1" x14ac:dyDescent="0.25">
      <c r="A34" s="174"/>
      <c r="B34" s="175"/>
      <c r="C34" s="142"/>
      <c r="D34" s="174"/>
      <c r="E34" s="142"/>
      <c r="F34" s="176">
        <f t="shared" si="0"/>
        <v>0</v>
      </c>
      <c r="J34" s="142">
        <v>0</v>
      </c>
    </row>
    <row r="35" spans="1:10" ht="18.75" hidden="1" customHeight="1" x14ac:dyDescent="0.25">
      <c r="A35" s="174"/>
      <c r="B35" s="175"/>
      <c r="C35" s="142"/>
      <c r="D35" s="174"/>
      <c r="E35" s="142"/>
      <c r="F35" s="176">
        <f t="shared" si="0"/>
        <v>0</v>
      </c>
      <c r="J35" s="142">
        <v>0</v>
      </c>
    </row>
    <row r="36" spans="1:10" ht="18.75" hidden="1" customHeight="1" x14ac:dyDescent="0.25">
      <c r="A36" s="174"/>
      <c r="B36" s="175"/>
      <c r="C36" s="142"/>
      <c r="D36" s="174"/>
      <c r="E36" s="142"/>
      <c r="F36" s="176">
        <f t="shared" si="0"/>
        <v>0</v>
      </c>
      <c r="J36" s="126">
        <v>0</v>
      </c>
    </row>
    <row r="37" spans="1:10" ht="18.75" hidden="1" customHeight="1" x14ac:dyDescent="0.25">
      <c r="A37" s="174"/>
      <c r="B37" s="175"/>
      <c r="C37" s="142"/>
      <c r="D37" s="174"/>
      <c r="E37" s="142"/>
      <c r="F37" s="176">
        <f t="shared" si="0"/>
        <v>0</v>
      </c>
      <c r="J37" s="178">
        <f>SUM(J29:J36)</f>
        <v>0</v>
      </c>
    </row>
    <row r="38" spans="1:10" ht="18.75" hidden="1" customHeight="1" x14ac:dyDescent="0.25">
      <c r="A38" s="174"/>
      <c r="B38" s="175"/>
      <c r="C38" s="142"/>
      <c r="D38" s="174"/>
      <c r="E38" s="142"/>
      <c r="F38" s="176">
        <f t="shared" si="0"/>
        <v>0</v>
      </c>
    </row>
    <row r="39" spans="1:10" ht="18.75" hidden="1" customHeight="1" x14ac:dyDescent="0.25">
      <c r="A39" s="174"/>
      <c r="B39" s="175"/>
      <c r="C39" s="142"/>
      <c r="D39" s="174"/>
      <c r="E39" s="142"/>
      <c r="F39" s="176">
        <f t="shared" si="0"/>
        <v>0</v>
      </c>
    </row>
    <row r="40" spans="1:10" ht="18.75" hidden="1" customHeight="1" x14ac:dyDescent="0.25">
      <c r="A40" s="174"/>
      <c r="B40" s="175"/>
      <c r="C40" s="142"/>
      <c r="D40" s="174"/>
      <c r="E40" s="97"/>
      <c r="F40" s="176">
        <f t="shared" si="0"/>
        <v>0</v>
      </c>
    </row>
    <row r="41" spans="1:10" ht="18.75" hidden="1" customHeight="1" x14ac:dyDescent="0.25">
      <c r="A41" s="174"/>
      <c r="B41" s="175"/>
      <c r="C41" s="142"/>
      <c r="D41" s="174"/>
      <c r="E41" s="97"/>
      <c r="F41" s="176">
        <f t="shared" si="0"/>
        <v>0</v>
      </c>
    </row>
    <row r="42" spans="1:10" ht="18.75" hidden="1" customHeight="1" x14ac:dyDescent="0.25">
      <c r="A42" s="179"/>
      <c r="B42" s="180"/>
      <c r="C42" s="97"/>
      <c r="D42" s="174"/>
      <c r="E42" s="97"/>
      <c r="F42" s="176">
        <f t="shared" si="0"/>
        <v>0</v>
      </c>
    </row>
    <row r="43" spans="1:10" hidden="1" x14ac:dyDescent="0.25">
      <c r="A43" s="181"/>
      <c r="B43" s="182"/>
      <c r="C43" s="97"/>
      <c r="D43" s="183"/>
      <c r="E43" s="97"/>
      <c r="F43" s="176">
        <f t="shared" si="0"/>
        <v>0</v>
      </c>
    </row>
    <row r="44" spans="1:10" ht="15" hidden="1" customHeight="1" x14ac:dyDescent="0.25">
      <c r="A44" s="181"/>
      <c r="B44" s="182"/>
      <c r="C44" s="97"/>
      <c r="D44" s="183"/>
      <c r="E44" s="97"/>
      <c r="F44" s="176">
        <f t="shared" si="0"/>
        <v>0</v>
      </c>
    </row>
    <row r="45" spans="1:10" hidden="1" x14ac:dyDescent="0.25">
      <c r="A45" s="181"/>
      <c r="B45" s="182"/>
      <c r="C45" s="97"/>
      <c r="D45" s="183"/>
      <c r="E45" s="97"/>
      <c r="F45" s="176">
        <f t="shared" si="0"/>
        <v>0</v>
      </c>
    </row>
    <row r="46" spans="1:10" hidden="1" x14ac:dyDescent="0.25">
      <c r="A46" s="181"/>
      <c r="B46" s="182"/>
      <c r="C46" s="97"/>
      <c r="D46" s="183"/>
      <c r="E46" s="97"/>
      <c r="F46" s="176">
        <f t="shared" si="0"/>
        <v>0</v>
      </c>
    </row>
    <row r="47" spans="1:10" hidden="1" x14ac:dyDescent="0.25">
      <c r="A47" s="181"/>
      <c r="B47" s="182"/>
      <c r="C47" s="97"/>
      <c r="D47" s="183"/>
      <c r="E47" s="97"/>
      <c r="F47" s="176">
        <f t="shared" si="0"/>
        <v>0</v>
      </c>
    </row>
    <row r="48" spans="1:10" hidden="1" x14ac:dyDescent="0.25">
      <c r="A48" s="181"/>
      <c r="B48" s="182"/>
      <c r="C48" s="97"/>
      <c r="D48" s="183"/>
      <c r="E48" s="97"/>
      <c r="F48" s="176">
        <f t="shared" si="0"/>
        <v>0</v>
      </c>
    </row>
    <row r="49" spans="1:6" hidden="1" x14ac:dyDescent="0.25">
      <c r="A49" s="181"/>
      <c r="B49" s="182"/>
      <c r="C49" s="97"/>
      <c r="D49" s="183"/>
      <c r="E49" s="97"/>
      <c r="F49" s="176">
        <f t="shared" si="0"/>
        <v>0</v>
      </c>
    </row>
    <row r="50" spans="1:6" hidden="1" x14ac:dyDescent="0.25">
      <c r="A50" s="181"/>
      <c r="B50" s="182"/>
      <c r="C50" s="97"/>
      <c r="D50" s="183"/>
      <c r="E50" s="97"/>
      <c r="F50" s="176">
        <f t="shared" si="0"/>
        <v>0</v>
      </c>
    </row>
    <row r="51" spans="1:6" hidden="1" x14ac:dyDescent="0.25">
      <c r="A51" s="181"/>
      <c r="B51" s="182"/>
      <c r="C51" s="97"/>
      <c r="D51" s="183"/>
      <c r="E51" s="97"/>
      <c r="F51" s="176">
        <f t="shared" si="0"/>
        <v>0</v>
      </c>
    </row>
    <row r="52" spans="1:6" hidden="1" x14ac:dyDescent="0.25">
      <c r="A52" s="181"/>
      <c r="B52" s="182"/>
      <c r="C52" s="97"/>
      <c r="D52" s="183"/>
      <c r="E52" s="97"/>
      <c r="F52" s="176">
        <f t="shared" si="0"/>
        <v>0</v>
      </c>
    </row>
    <row r="53" spans="1:6" hidden="1" x14ac:dyDescent="0.25">
      <c r="A53" s="181"/>
      <c r="B53" s="182"/>
      <c r="C53" s="97"/>
      <c r="D53" s="183"/>
      <c r="E53" s="97"/>
      <c r="F53" s="176">
        <f t="shared" si="0"/>
        <v>0</v>
      </c>
    </row>
    <row r="54" spans="1:6" hidden="1" x14ac:dyDescent="0.25">
      <c r="A54" s="181"/>
      <c r="B54" s="182"/>
      <c r="C54" s="97"/>
      <c r="D54" s="183"/>
      <c r="E54" s="97"/>
      <c r="F54" s="176">
        <f t="shared" si="0"/>
        <v>0</v>
      </c>
    </row>
    <row r="55" spans="1:6" hidden="1" x14ac:dyDescent="0.25">
      <c r="A55" s="181"/>
      <c r="B55" s="182"/>
      <c r="C55" s="97"/>
      <c r="D55" s="183"/>
      <c r="E55" s="97"/>
      <c r="F55" s="176">
        <f t="shared" si="0"/>
        <v>0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0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0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0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0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0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0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0</v>
      </c>
    </row>
    <row r="79" spans="1:6" ht="19.5" thickBot="1" x14ac:dyDescent="0.35">
      <c r="A79" s="188"/>
      <c r="B79" s="189"/>
      <c r="C79" s="190">
        <f>SUM(C3:C78)</f>
        <v>1524395.48</v>
      </c>
      <c r="D79" s="168"/>
      <c r="E79" s="191">
        <f>SUM(E3:E78)</f>
        <v>1524395.48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61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37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39" t="s">
        <v>4</v>
      </c>
      <c r="F4" s="340"/>
      <c r="H4" s="341" t="s">
        <v>5</v>
      </c>
      <c r="I4" s="342"/>
      <c r="J4" s="18"/>
      <c r="K4" s="19"/>
      <c r="L4" s="20"/>
      <c r="M4" s="21" t="s">
        <v>6</v>
      </c>
      <c r="N4" s="22" t="s">
        <v>7</v>
      </c>
      <c r="P4" s="376" t="s">
        <v>8</v>
      </c>
      <c r="Q4" s="377"/>
      <c r="R4" s="375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H5" s="29">
        <v>44956</v>
      </c>
      <c r="I5" s="30">
        <v>651</v>
      </c>
      <c r="J5" s="8"/>
      <c r="K5" s="2"/>
      <c r="L5" s="9"/>
      <c r="M5" s="31">
        <f>51930+12500</f>
        <v>64430</v>
      </c>
      <c r="N5" s="32">
        <v>373</v>
      </c>
      <c r="O5" s="33"/>
      <c r="P5" s="222">
        <f>N5+M5+L5+I5+C5</f>
        <v>65454</v>
      </c>
      <c r="Q5" s="223">
        <v>0</v>
      </c>
      <c r="R5" s="224">
        <v>19685</v>
      </c>
      <c r="S5" s="33"/>
    </row>
    <row r="6" spans="1:21" ht="18" thickBot="1" x14ac:dyDescent="0.35">
      <c r="A6" s="23"/>
      <c r="B6" s="24">
        <v>44957</v>
      </c>
      <c r="C6" s="25">
        <v>0</v>
      </c>
      <c r="D6" s="35"/>
      <c r="E6" s="27">
        <v>44957</v>
      </c>
      <c r="F6" s="28">
        <v>64735</v>
      </c>
      <c r="H6" s="29">
        <v>44957</v>
      </c>
      <c r="I6" s="30">
        <v>31</v>
      </c>
      <c r="J6" s="36"/>
      <c r="K6" s="37"/>
      <c r="L6" s="38"/>
      <c r="M6" s="31">
        <f>12000+52726</f>
        <v>64726</v>
      </c>
      <c r="N6" s="32">
        <v>1226</v>
      </c>
      <c r="O6" s="33"/>
      <c r="P6" s="222">
        <f>N6+M6+L6+I6+C6</f>
        <v>65983</v>
      </c>
      <c r="Q6" s="223">
        <v>0</v>
      </c>
      <c r="R6" s="224">
        <v>1248</v>
      </c>
      <c r="S6" s="33"/>
      <c r="T6" s="9"/>
    </row>
    <row r="7" spans="1:21" ht="18" thickBot="1" x14ac:dyDescent="0.35">
      <c r="A7" s="23"/>
      <c r="B7" s="24">
        <v>44958</v>
      </c>
      <c r="C7" s="25">
        <v>512.5</v>
      </c>
      <c r="D7" s="39" t="s">
        <v>100</v>
      </c>
      <c r="E7" s="27">
        <v>44958</v>
      </c>
      <c r="F7" s="28">
        <v>50236</v>
      </c>
      <c r="H7" s="29">
        <v>44958</v>
      </c>
      <c r="I7" s="30">
        <v>1452</v>
      </c>
      <c r="J7" s="36"/>
      <c r="K7" s="40"/>
      <c r="L7" s="38"/>
      <c r="M7" s="31">
        <f>46644.5</f>
        <v>46644.5</v>
      </c>
      <c r="N7" s="32">
        <v>1627</v>
      </c>
      <c r="O7" s="33"/>
      <c r="P7" s="222">
        <f>N7+M7+L7+I7+C7</f>
        <v>50236</v>
      </c>
      <c r="Q7" s="223">
        <f t="shared" ref="Q7:Q44" si="0">P7-F7</f>
        <v>0</v>
      </c>
      <c r="R7" s="225">
        <v>0</v>
      </c>
      <c r="S7" s="33"/>
    </row>
    <row r="8" spans="1:21" ht="18" thickBot="1" x14ac:dyDescent="0.35">
      <c r="A8" s="23"/>
      <c r="B8" s="24">
        <v>44959</v>
      </c>
      <c r="C8" s="25">
        <v>0</v>
      </c>
      <c r="D8" s="39"/>
      <c r="E8" s="27">
        <v>44959</v>
      </c>
      <c r="F8" s="28">
        <v>79623</v>
      </c>
      <c r="H8" s="29">
        <v>44959</v>
      </c>
      <c r="I8" s="30">
        <v>118</v>
      </c>
      <c r="J8" s="41">
        <v>44959</v>
      </c>
      <c r="K8" s="42" t="s">
        <v>101</v>
      </c>
      <c r="L8" s="38">
        <v>3200</v>
      </c>
      <c r="M8" s="31">
        <f>15000+57433</f>
        <v>72433</v>
      </c>
      <c r="N8" s="32">
        <v>3872</v>
      </c>
      <c r="O8" s="33"/>
      <c r="P8" s="222">
        <f t="shared" ref="P8:P45" si="1">N8+M8+L8+I8+C8</f>
        <v>79623</v>
      </c>
      <c r="Q8" s="223">
        <f t="shared" si="0"/>
        <v>0</v>
      </c>
      <c r="R8" s="225">
        <v>0</v>
      </c>
      <c r="S8" s="33"/>
    </row>
    <row r="9" spans="1:21" ht="18" thickBot="1" x14ac:dyDescent="0.35">
      <c r="A9" s="23"/>
      <c r="B9" s="24">
        <v>44960</v>
      </c>
      <c r="C9" s="25">
        <v>15644</v>
      </c>
      <c r="D9" s="43" t="s">
        <v>69</v>
      </c>
      <c r="E9" s="27">
        <v>44960</v>
      </c>
      <c r="F9" s="28">
        <v>85123</v>
      </c>
      <c r="H9" s="29">
        <v>44960</v>
      </c>
      <c r="I9" s="30">
        <v>549</v>
      </c>
      <c r="J9" s="36"/>
      <c r="K9" s="44"/>
      <c r="L9" s="38"/>
      <c r="M9" s="31">
        <f>16000+43637</f>
        <v>59637</v>
      </c>
      <c r="N9" s="32">
        <v>9293</v>
      </c>
      <c r="O9" s="33"/>
      <c r="P9" s="222">
        <f t="shared" si="1"/>
        <v>85123</v>
      </c>
      <c r="Q9" s="223">
        <f t="shared" si="0"/>
        <v>0</v>
      </c>
      <c r="R9" s="225">
        <v>0</v>
      </c>
      <c r="S9" s="33"/>
    </row>
    <row r="10" spans="1:21" ht="18" thickBot="1" x14ac:dyDescent="0.35">
      <c r="A10" s="23"/>
      <c r="B10" s="24">
        <v>44961</v>
      </c>
      <c r="C10" s="25">
        <v>0</v>
      </c>
      <c r="D10" s="35"/>
      <c r="E10" s="27">
        <v>44961</v>
      </c>
      <c r="F10" s="28">
        <v>60461</v>
      </c>
      <c r="H10" s="29">
        <v>44961</v>
      </c>
      <c r="I10" s="30">
        <v>543</v>
      </c>
      <c r="J10" s="36">
        <v>44961</v>
      </c>
      <c r="K10" s="45" t="s">
        <v>102</v>
      </c>
      <c r="L10" s="46">
        <v>9000</v>
      </c>
      <c r="M10" s="31">
        <v>43000</v>
      </c>
      <c r="N10" s="32">
        <v>7921</v>
      </c>
      <c r="O10" s="33"/>
      <c r="P10" s="222">
        <f>N10+M10+L10+I10+C10</f>
        <v>60464</v>
      </c>
      <c r="Q10" s="223">
        <f t="shared" si="0"/>
        <v>3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5" t="s">
        <v>103</v>
      </c>
      <c r="E11" s="27">
        <v>44962</v>
      </c>
      <c r="F11" s="28">
        <v>76230</v>
      </c>
      <c r="H11" s="29">
        <v>44962</v>
      </c>
      <c r="I11" s="30">
        <v>500</v>
      </c>
      <c r="J11" s="41"/>
      <c r="K11" s="47"/>
      <c r="L11" s="38"/>
      <c r="M11" s="31">
        <f>71600+12141</f>
        <v>83741</v>
      </c>
      <c r="N11" s="32">
        <v>4669</v>
      </c>
      <c r="O11" s="33"/>
      <c r="P11" s="222">
        <f>N11+M11+L11+I11+C11</f>
        <v>93030</v>
      </c>
      <c r="Q11" s="223">
        <v>0</v>
      </c>
      <c r="R11" s="224">
        <v>16800</v>
      </c>
      <c r="S11" s="33"/>
    </row>
    <row r="12" spans="1:21" ht="18" thickBot="1" x14ac:dyDescent="0.35">
      <c r="A12" s="23"/>
      <c r="B12" s="24">
        <v>44963</v>
      </c>
      <c r="C12" s="25">
        <v>0</v>
      </c>
      <c r="D12" s="35"/>
      <c r="E12" s="27">
        <v>44963</v>
      </c>
      <c r="F12" s="28">
        <v>111609</v>
      </c>
      <c r="H12" s="29">
        <v>44963</v>
      </c>
      <c r="I12" s="30">
        <v>1110.5</v>
      </c>
      <c r="J12" s="36"/>
      <c r="K12" s="48"/>
      <c r="L12" s="38"/>
      <c r="M12" s="31">
        <f>7000+102247.5</f>
        <v>109247.5</v>
      </c>
      <c r="N12" s="32">
        <v>1251</v>
      </c>
      <c r="O12" s="33"/>
      <c r="P12" s="222">
        <f t="shared" si="1"/>
        <v>111609</v>
      </c>
      <c r="Q12" s="223">
        <f t="shared" si="0"/>
        <v>0</v>
      </c>
      <c r="R12" s="225">
        <v>0</v>
      </c>
      <c r="S12" s="33"/>
    </row>
    <row r="13" spans="1:21" ht="18" thickBot="1" x14ac:dyDescent="0.35">
      <c r="A13" s="23"/>
      <c r="B13" s="24">
        <v>44964</v>
      </c>
      <c r="C13" s="25">
        <v>0</v>
      </c>
      <c r="D13" s="39"/>
      <c r="E13" s="27">
        <v>44964</v>
      </c>
      <c r="F13" s="28">
        <v>58474</v>
      </c>
      <c r="H13" s="29">
        <v>44964</v>
      </c>
      <c r="I13" s="30">
        <v>600.5</v>
      </c>
      <c r="J13" s="36"/>
      <c r="K13" s="37"/>
      <c r="L13" s="38"/>
      <c r="M13" s="31">
        <f>31300+26470</f>
        <v>57770</v>
      </c>
      <c r="N13" s="32">
        <v>98</v>
      </c>
      <c r="O13" s="33"/>
      <c r="P13" s="222">
        <f t="shared" si="1"/>
        <v>58468.5</v>
      </c>
      <c r="Q13" s="226">
        <f t="shared" si="0"/>
        <v>-5.5</v>
      </c>
      <c r="R13" s="225">
        <v>0</v>
      </c>
      <c r="S13" s="33"/>
    </row>
    <row r="14" spans="1:21" ht="18" thickBot="1" x14ac:dyDescent="0.35">
      <c r="A14" s="23"/>
      <c r="B14" s="24">
        <v>44965</v>
      </c>
      <c r="C14" s="25">
        <v>0</v>
      </c>
      <c r="D14" s="43"/>
      <c r="E14" s="27">
        <v>44965</v>
      </c>
      <c r="F14" s="28">
        <v>68469</v>
      </c>
      <c r="H14" s="29">
        <v>44965</v>
      </c>
      <c r="I14" s="30">
        <v>613.5</v>
      </c>
      <c r="J14" s="36"/>
      <c r="K14" s="42"/>
      <c r="L14" s="38"/>
      <c r="M14" s="31">
        <v>66691</v>
      </c>
      <c r="N14" s="32">
        <v>1164</v>
      </c>
      <c r="O14" s="33"/>
      <c r="P14" s="222">
        <f t="shared" si="1"/>
        <v>68468.5</v>
      </c>
      <c r="Q14" s="226">
        <f t="shared" si="0"/>
        <v>-0.5</v>
      </c>
      <c r="R14" s="225">
        <v>0</v>
      </c>
      <c r="S14" s="33"/>
    </row>
    <row r="15" spans="1:21" ht="18" thickBot="1" x14ac:dyDescent="0.35">
      <c r="A15" s="23"/>
      <c r="B15" s="24">
        <v>44966</v>
      </c>
      <c r="C15" s="25">
        <v>0</v>
      </c>
      <c r="D15" s="43"/>
      <c r="E15" s="27">
        <v>44966</v>
      </c>
      <c r="F15" s="28">
        <v>109720</v>
      </c>
      <c r="H15" s="29">
        <v>44966</v>
      </c>
      <c r="I15" s="30">
        <v>164</v>
      </c>
      <c r="J15" s="36"/>
      <c r="K15" s="42"/>
      <c r="L15" s="38"/>
      <c r="M15" s="31">
        <f>51000+48419</f>
        <v>99419</v>
      </c>
      <c r="N15" s="32">
        <v>10137</v>
      </c>
      <c r="O15" s="33"/>
      <c r="P15" s="222">
        <f t="shared" si="1"/>
        <v>109720</v>
      </c>
      <c r="Q15" s="223">
        <f t="shared" si="0"/>
        <v>0</v>
      </c>
      <c r="R15" s="225">
        <v>0</v>
      </c>
      <c r="S15" s="33"/>
    </row>
    <row r="16" spans="1:21" ht="18" thickBot="1" x14ac:dyDescent="0.35">
      <c r="A16" s="23"/>
      <c r="B16" s="24">
        <v>44967</v>
      </c>
      <c r="C16" s="25">
        <v>20370</v>
      </c>
      <c r="D16" s="49" t="s">
        <v>69</v>
      </c>
      <c r="E16" s="27">
        <v>44967</v>
      </c>
      <c r="F16" s="28">
        <v>68417</v>
      </c>
      <c r="H16" s="29">
        <v>44967</v>
      </c>
      <c r="I16" s="30">
        <v>563</v>
      </c>
      <c r="J16" s="36"/>
      <c r="K16" s="42"/>
      <c r="L16" s="9"/>
      <c r="M16" s="31">
        <v>47342</v>
      </c>
      <c r="N16" s="32">
        <v>142</v>
      </c>
      <c r="O16" s="33"/>
      <c r="P16" s="222">
        <f t="shared" si="1"/>
        <v>68417</v>
      </c>
      <c r="Q16" s="223">
        <f t="shared" si="0"/>
        <v>0</v>
      </c>
      <c r="R16" s="225">
        <v>0</v>
      </c>
      <c r="S16" s="33"/>
    </row>
    <row r="17" spans="1:20" ht="18" thickBot="1" x14ac:dyDescent="0.35">
      <c r="A17" s="23"/>
      <c r="B17" s="24">
        <v>44968</v>
      </c>
      <c r="C17" s="25">
        <v>0</v>
      </c>
      <c r="D17" s="43"/>
      <c r="E17" s="27">
        <v>44968</v>
      </c>
      <c r="F17" s="28">
        <v>86248</v>
      </c>
      <c r="H17" s="29">
        <v>44968</v>
      </c>
      <c r="I17" s="30">
        <v>671</v>
      </c>
      <c r="J17" s="36">
        <v>44968</v>
      </c>
      <c r="K17" s="50" t="s">
        <v>104</v>
      </c>
      <c r="L17" s="46">
        <v>9657</v>
      </c>
      <c r="M17" s="31">
        <f>33400+37466</f>
        <v>70866</v>
      </c>
      <c r="N17" s="32">
        <v>5124</v>
      </c>
      <c r="O17" s="33"/>
      <c r="P17" s="222">
        <f t="shared" si="1"/>
        <v>86318</v>
      </c>
      <c r="Q17" s="223">
        <f t="shared" si="0"/>
        <v>70</v>
      </c>
      <c r="R17" s="225">
        <v>0</v>
      </c>
      <c r="S17" s="33"/>
    </row>
    <row r="18" spans="1:20" ht="18" thickBot="1" x14ac:dyDescent="0.35">
      <c r="A18" s="23"/>
      <c r="B18" s="24">
        <v>44969</v>
      </c>
      <c r="C18" s="25">
        <v>4604.5</v>
      </c>
      <c r="D18" s="35" t="s">
        <v>103</v>
      </c>
      <c r="E18" s="27">
        <v>44969</v>
      </c>
      <c r="F18" s="28">
        <v>112257</v>
      </c>
      <c r="H18" s="29">
        <v>44969</v>
      </c>
      <c r="I18" s="30">
        <v>532</v>
      </c>
      <c r="J18" s="36"/>
      <c r="K18" s="51"/>
      <c r="L18" s="38"/>
      <c r="M18" s="31">
        <f>90700+14512</f>
        <v>105212</v>
      </c>
      <c r="N18" s="32">
        <v>1912</v>
      </c>
      <c r="O18" s="33"/>
      <c r="P18" s="222">
        <f t="shared" si="1"/>
        <v>112260.5</v>
      </c>
      <c r="Q18" s="223">
        <f t="shared" si="0"/>
        <v>3.5</v>
      </c>
      <c r="R18" s="225">
        <v>0</v>
      </c>
      <c r="S18" s="33"/>
    </row>
    <row r="19" spans="1:20" ht="18" thickBot="1" x14ac:dyDescent="0.35">
      <c r="A19" s="23"/>
      <c r="B19" s="24">
        <v>44970</v>
      </c>
      <c r="C19" s="25">
        <v>0</v>
      </c>
      <c r="D19" s="35"/>
      <c r="E19" s="27">
        <v>44970</v>
      </c>
      <c r="F19" s="28">
        <v>136132</v>
      </c>
      <c r="H19" s="29">
        <v>44970</v>
      </c>
      <c r="I19" s="30">
        <v>595</v>
      </c>
      <c r="J19" s="36"/>
      <c r="K19" s="52"/>
      <c r="L19" s="53"/>
      <c r="M19" s="31">
        <f>11000+113000+9809</f>
        <v>133809</v>
      </c>
      <c r="N19" s="32">
        <v>1728</v>
      </c>
      <c r="O19" s="33"/>
      <c r="P19" s="222">
        <f t="shared" si="1"/>
        <v>136132</v>
      </c>
      <c r="Q19" s="223">
        <f t="shared" si="0"/>
        <v>0</v>
      </c>
      <c r="R19" s="225">
        <v>0</v>
      </c>
      <c r="S19" s="33"/>
    </row>
    <row r="20" spans="1:20" ht="18" thickBot="1" x14ac:dyDescent="0.35">
      <c r="A20" s="23"/>
      <c r="B20" s="24">
        <v>44971</v>
      </c>
      <c r="C20" s="25">
        <v>0</v>
      </c>
      <c r="D20" s="35"/>
      <c r="E20" s="27">
        <v>44971</v>
      </c>
      <c r="F20" s="28">
        <v>60594</v>
      </c>
      <c r="H20" s="29">
        <v>44971</v>
      </c>
      <c r="I20" s="30">
        <v>616</v>
      </c>
      <c r="J20" s="36"/>
      <c r="K20" s="54"/>
      <c r="L20" s="46"/>
      <c r="M20" s="31">
        <f>22500+37478</f>
        <v>59978</v>
      </c>
      <c r="N20" s="32">
        <v>0</v>
      </c>
      <c r="O20" s="33"/>
      <c r="P20" s="222">
        <f t="shared" si="1"/>
        <v>60594</v>
      </c>
      <c r="Q20" s="223">
        <f t="shared" si="0"/>
        <v>0</v>
      </c>
      <c r="R20" s="225">
        <v>0</v>
      </c>
      <c r="S20" s="33"/>
    </row>
    <row r="21" spans="1:20" ht="18" thickBot="1" x14ac:dyDescent="0.35">
      <c r="A21" s="23"/>
      <c r="B21" s="24">
        <v>44972</v>
      </c>
      <c r="C21" s="25">
        <v>0</v>
      </c>
      <c r="D21" s="35"/>
      <c r="E21" s="27">
        <v>44972</v>
      </c>
      <c r="F21" s="28">
        <v>46506</v>
      </c>
      <c r="H21" s="29">
        <v>44972</v>
      </c>
      <c r="I21" s="30">
        <v>711</v>
      </c>
      <c r="J21" s="36"/>
      <c r="K21" s="55"/>
      <c r="L21" s="46"/>
      <c r="M21" s="31">
        <f>18000+25602</f>
        <v>43602</v>
      </c>
      <c r="N21" s="32">
        <v>2193</v>
      </c>
      <c r="O21" s="33"/>
      <c r="P21" s="222">
        <f t="shared" si="1"/>
        <v>46506</v>
      </c>
      <c r="Q21" s="223">
        <f t="shared" si="0"/>
        <v>0</v>
      </c>
      <c r="R21" s="225">
        <v>0</v>
      </c>
      <c r="S21" s="33"/>
    </row>
    <row r="22" spans="1:20" ht="18" thickBot="1" x14ac:dyDescent="0.35">
      <c r="A22" s="23"/>
      <c r="B22" s="24">
        <v>44973</v>
      </c>
      <c r="C22" s="25">
        <v>37251</v>
      </c>
      <c r="D22" s="35" t="s">
        <v>69</v>
      </c>
      <c r="E22" s="27">
        <v>44973</v>
      </c>
      <c r="F22" s="28">
        <v>64392</v>
      </c>
      <c r="H22" s="29">
        <v>44973</v>
      </c>
      <c r="I22" s="30">
        <v>569</v>
      </c>
      <c r="J22" s="36"/>
      <c r="K22" s="42"/>
      <c r="L22" s="56"/>
      <c r="M22" s="31">
        <f>15692+9200</f>
        <v>24892</v>
      </c>
      <c r="N22" s="32">
        <v>1680</v>
      </c>
      <c r="O22" s="33"/>
      <c r="P22" s="222">
        <f t="shared" si="1"/>
        <v>64392</v>
      </c>
      <c r="Q22" s="223">
        <f t="shared" si="0"/>
        <v>0</v>
      </c>
      <c r="R22" s="225">
        <v>0</v>
      </c>
      <c r="S22" s="33"/>
    </row>
    <row r="23" spans="1:20" ht="18" thickBot="1" x14ac:dyDescent="0.35">
      <c r="A23" s="23"/>
      <c r="B23" s="24">
        <v>44974</v>
      </c>
      <c r="C23" s="25">
        <v>0</v>
      </c>
      <c r="D23" s="43"/>
      <c r="E23" s="27">
        <v>44974</v>
      </c>
      <c r="F23" s="28">
        <v>85305</v>
      </c>
      <c r="H23" s="29">
        <v>44974</v>
      </c>
      <c r="I23" s="30">
        <v>570</v>
      </c>
      <c r="J23" s="57"/>
      <c r="K23" s="58"/>
      <c r="L23" s="46"/>
      <c r="M23" s="31">
        <f>36500+45330</f>
        <v>81830</v>
      </c>
      <c r="N23" s="32">
        <v>2905</v>
      </c>
      <c r="O23" s="33"/>
      <c r="P23" s="222">
        <f t="shared" si="1"/>
        <v>85305</v>
      </c>
      <c r="Q23" s="223">
        <f t="shared" si="0"/>
        <v>0</v>
      </c>
      <c r="R23" s="225">
        <v>0</v>
      </c>
      <c r="S23" s="33"/>
    </row>
    <row r="24" spans="1:20" ht="18" thickBot="1" x14ac:dyDescent="0.35">
      <c r="A24" s="23"/>
      <c r="B24" s="24">
        <v>44975</v>
      </c>
      <c r="C24" s="25">
        <v>568</v>
      </c>
      <c r="D24" s="39" t="s">
        <v>105</v>
      </c>
      <c r="E24" s="27">
        <v>44975</v>
      </c>
      <c r="F24" s="28">
        <v>68722</v>
      </c>
      <c r="H24" s="29">
        <v>44975</v>
      </c>
      <c r="I24" s="30">
        <v>539</v>
      </c>
      <c r="J24" s="59">
        <v>44975</v>
      </c>
      <c r="K24" s="60" t="s">
        <v>106</v>
      </c>
      <c r="L24" s="61">
        <v>8316.67</v>
      </c>
      <c r="M24" s="31">
        <f>38114+15000</f>
        <v>53114</v>
      </c>
      <c r="N24" s="32">
        <v>6184</v>
      </c>
      <c r="O24" s="33"/>
      <c r="P24" s="222">
        <f t="shared" si="1"/>
        <v>68721.67</v>
      </c>
      <c r="Q24" s="223">
        <f t="shared" si="0"/>
        <v>-0.33000000000174623</v>
      </c>
      <c r="R24" s="225">
        <v>0</v>
      </c>
      <c r="S24" s="33"/>
    </row>
    <row r="25" spans="1:20" ht="18" thickBot="1" x14ac:dyDescent="0.35">
      <c r="A25" s="23"/>
      <c r="B25" s="24">
        <v>44976</v>
      </c>
      <c r="C25" s="25">
        <v>0</v>
      </c>
      <c r="D25" s="35"/>
      <c r="E25" s="27">
        <v>44976</v>
      </c>
      <c r="F25" s="28">
        <v>104132</v>
      </c>
      <c r="H25" s="29">
        <v>44976</v>
      </c>
      <c r="I25" s="30">
        <v>500</v>
      </c>
      <c r="J25" s="62"/>
      <c r="K25" s="63"/>
      <c r="L25" s="64"/>
      <c r="M25" s="31">
        <f>88000+13246</f>
        <v>101246</v>
      </c>
      <c r="N25" s="32">
        <v>2386</v>
      </c>
      <c r="O25" s="33"/>
      <c r="P25" s="222">
        <f t="shared" si="1"/>
        <v>104132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44977</v>
      </c>
      <c r="C26" s="25">
        <v>4120</v>
      </c>
      <c r="D26" s="35" t="s">
        <v>103</v>
      </c>
      <c r="E26" s="27">
        <v>44977</v>
      </c>
      <c r="F26" s="28">
        <v>143460</v>
      </c>
      <c r="H26" s="29">
        <v>44977</v>
      </c>
      <c r="I26" s="30">
        <v>633</v>
      </c>
      <c r="J26" s="36"/>
      <c r="K26" s="60"/>
      <c r="L26" s="46"/>
      <c r="M26" s="31">
        <f>5000+133707</f>
        <v>138707</v>
      </c>
      <c r="N26" s="32">
        <v>0</v>
      </c>
      <c r="O26" s="33"/>
      <c r="P26" s="222">
        <f t="shared" si="1"/>
        <v>143460</v>
      </c>
      <c r="Q26" s="223">
        <f t="shared" si="0"/>
        <v>0</v>
      </c>
      <c r="R26" s="225">
        <v>0</v>
      </c>
      <c r="S26" s="33"/>
    </row>
    <row r="27" spans="1:20" ht="18" thickBot="1" x14ac:dyDescent="0.35">
      <c r="A27" s="23"/>
      <c r="B27" s="24">
        <v>44978</v>
      </c>
      <c r="C27" s="25">
        <v>0</v>
      </c>
      <c r="D27" s="39"/>
      <c r="E27" s="27">
        <v>44978</v>
      </c>
      <c r="F27" s="28">
        <v>58359</v>
      </c>
      <c r="H27" s="29">
        <v>44978</v>
      </c>
      <c r="I27" s="30">
        <v>565</v>
      </c>
      <c r="J27" s="65"/>
      <c r="K27" s="66"/>
      <c r="L27" s="64"/>
      <c r="M27" s="31">
        <f>15000+42694</f>
        <v>57694</v>
      </c>
      <c r="N27" s="32">
        <v>0</v>
      </c>
      <c r="O27" s="33"/>
      <c r="P27" s="222">
        <f t="shared" si="1"/>
        <v>58259</v>
      </c>
      <c r="Q27" s="230">
        <f t="shared" si="0"/>
        <v>-100</v>
      </c>
      <c r="R27" s="225">
        <v>0</v>
      </c>
      <c r="S27" s="33"/>
    </row>
    <row r="28" spans="1:20" ht="18" thickBot="1" x14ac:dyDescent="0.35">
      <c r="A28" s="23"/>
      <c r="B28" s="24">
        <v>44979</v>
      </c>
      <c r="C28" s="25">
        <v>0</v>
      </c>
      <c r="D28" s="39"/>
      <c r="E28" s="27">
        <v>44979</v>
      </c>
      <c r="F28" s="28">
        <v>42871</v>
      </c>
      <c r="H28" s="29">
        <v>44979</v>
      </c>
      <c r="I28" s="30">
        <v>563</v>
      </c>
      <c r="J28" s="67"/>
      <c r="K28" s="68"/>
      <c r="L28" s="64"/>
      <c r="M28" s="31">
        <v>40533</v>
      </c>
      <c r="N28" s="32">
        <v>1875</v>
      </c>
      <c r="O28" s="33"/>
      <c r="P28" s="222">
        <f t="shared" si="1"/>
        <v>42971</v>
      </c>
      <c r="Q28" s="230">
        <f t="shared" si="0"/>
        <v>100</v>
      </c>
      <c r="R28" s="225">
        <v>0</v>
      </c>
      <c r="S28" s="33"/>
    </row>
    <row r="29" spans="1:20" ht="18" thickBot="1" x14ac:dyDescent="0.35">
      <c r="A29" s="23"/>
      <c r="B29" s="24">
        <v>44980</v>
      </c>
      <c r="C29" s="25">
        <v>0</v>
      </c>
      <c r="D29" s="69"/>
      <c r="E29" s="27">
        <v>44980</v>
      </c>
      <c r="F29" s="28">
        <v>68524</v>
      </c>
      <c r="H29" s="29">
        <v>44980</v>
      </c>
      <c r="I29" s="30">
        <v>72</v>
      </c>
      <c r="J29" s="65"/>
      <c r="K29" s="70"/>
      <c r="L29" s="64"/>
      <c r="M29" s="31">
        <f>54452+14000</f>
        <v>68452</v>
      </c>
      <c r="N29" s="32">
        <v>0</v>
      </c>
      <c r="O29" s="33"/>
      <c r="P29" s="222">
        <f t="shared" si="1"/>
        <v>68524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44981</v>
      </c>
      <c r="C30" s="25">
        <v>27141</v>
      </c>
      <c r="D30" s="69" t="s">
        <v>69</v>
      </c>
      <c r="E30" s="27">
        <v>44981</v>
      </c>
      <c r="F30" s="28">
        <v>79698</v>
      </c>
      <c r="H30" s="29">
        <v>44981</v>
      </c>
      <c r="I30" s="30">
        <v>124</v>
      </c>
      <c r="J30" s="71"/>
      <c r="K30" s="72"/>
      <c r="L30" s="73"/>
      <c r="M30" s="31">
        <f>11476+35000</f>
        <v>46476</v>
      </c>
      <c r="N30" s="32">
        <v>5957</v>
      </c>
      <c r="O30" s="33"/>
      <c r="P30" s="222">
        <f t="shared" si="1"/>
        <v>79698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44982</v>
      </c>
      <c r="C31" s="25">
        <v>0</v>
      </c>
      <c r="D31" s="74"/>
      <c r="E31" s="27">
        <v>44982</v>
      </c>
      <c r="F31" s="28">
        <v>99687</v>
      </c>
      <c r="H31" s="29">
        <v>44982</v>
      </c>
      <c r="I31" s="30">
        <v>150</v>
      </c>
      <c r="J31" s="71">
        <v>44982</v>
      </c>
      <c r="K31" s="75" t="s">
        <v>107</v>
      </c>
      <c r="L31" s="76">
        <v>9657</v>
      </c>
      <c r="M31" s="31">
        <f>42916+26000</f>
        <v>68916</v>
      </c>
      <c r="N31" s="32">
        <v>20964</v>
      </c>
      <c r="O31" s="33"/>
      <c r="P31" s="222">
        <f t="shared" si="1"/>
        <v>99687</v>
      </c>
      <c r="Q31" s="223">
        <f t="shared" si="0"/>
        <v>0</v>
      </c>
      <c r="R31" s="225">
        <v>0</v>
      </c>
      <c r="S31" s="33"/>
    </row>
    <row r="32" spans="1:20" ht="18" thickBot="1" x14ac:dyDescent="0.35">
      <c r="A32" s="23"/>
      <c r="B32" s="24">
        <v>44983</v>
      </c>
      <c r="C32" s="25">
        <v>0</v>
      </c>
      <c r="D32" s="79"/>
      <c r="E32" s="27">
        <v>44983</v>
      </c>
      <c r="F32" s="28">
        <v>110573</v>
      </c>
      <c r="H32" s="29">
        <v>44983</v>
      </c>
      <c r="I32" s="30">
        <v>0</v>
      </c>
      <c r="J32" s="71"/>
      <c r="K32" s="72"/>
      <c r="L32" s="73"/>
      <c r="M32" s="31">
        <f>8305+101000</f>
        <v>109305</v>
      </c>
      <c r="N32" s="32">
        <v>1268</v>
      </c>
      <c r="O32" s="33"/>
      <c r="P32" s="222">
        <f t="shared" si="1"/>
        <v>110573</v>
      </c>
      <c r="Q32" s="223">
        <f t="shared" si="0"/>
        <v>0</v>
      </c>
      <c r="R32" s="225">
        <v>0</v>
      </c>
      <c r="S32" s="33"/>
    </row>
    <row r="33" spans="1:19" ht="18" thickBot="1" x14ac:dyDescent="0.35">
      <c r="A33" s="23"/>
      <c r="B33" s="24">
        <v>44984</v>
      </c>
      <c r="C33" s="25">
        <v>0</v>
      </c>
      <c r="D33" s="77"/>
      <c r="E33" s="27">
        <v>44984</v>
      </c>
      <c r="F33" s="28">
        <v>144123</v>
      </c>
      <c r="H33" s="29">
        <v>44984</v>
      </c>
      <c r="I33" s="30">
        <v>28</v>
      </c>
      <c r="J33" s="71"/>
      <c r="K33" s="75"/>
      <c r="L33" s="78"/>
      <c r="M33" s="31">
        <f>11500+75000+57539</f>
        <v>144039</v>
      </c>
      <c r="N33" s="32">
        <v>56</v>
      </c>
      <c r="O33" s="33"/>
      <c r="P33" s="222">
        <f t="shared" si="1"/>
        <v>144123</v>
      </c>
      <c r="Q33" s="223">
        <f t="shared" si="0"/>
        <v>0</v>
      </c>
      <c r="R33" s="225">
        <v>0</v>
      </c>
      <c r="S33" s="33"/>
    </row>
    <row r="34" spans="1:19" ht="18" thickBot="1" x14ac:dyDescent="0.35">
      <c r="A34" s="23"/>
      <c r="B34" s="24">
        <v>44985</v>
      </c>
      <c r="C34" s="25">
        <v>0</v>
      </c>
      <c r="D34" s="79"/>
      <c r="E34" s="27">
        <v>44985</v>
      </c>
      <c r="F34" s="28">
        <v>76623</v>
      </c>
      <c r="H34" s="29">
        <v>44985</v>
      </c>
      <c r="I34" s="30">
        <v>599</v>
      </c>
      <c r="J34" s="71"/>
      <c r="K34" s="80"/>
      <c r="L34" s="81"/>
      <c r="M34" s="31">
        <f>17771+30000+27000</f>
        <v>74771</v>
      </c>
      <c r="N34" s="32">
        <v>1253</v>
      </c>
      <c r="O34" s="33"/>
      <c r="P34" s="222">
        <f t="shared" si="1"/>
        <v>76623</v>
      </c>
      <c r="Q34" s="223">
        <f t="shared" si="0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222">
        <f t="shared" si="1"/>
        <v>0</v>
      </c>
      <c r="Q35" s="223">
        <f t="shared" si="0"/>
        <v>0</v>
      </c>
      <c r="R35" s="225">
        <v>0</v>
      </c>
      <c r="S35" s="33"/>
    </row>
    <row r="36" spans="1:19" ht="19.5" thickBot="1" x14ac:dyDescent="0.35">
      <c r="A36" s="23"/>
      <c r="B36" s="24"/>
      <c r="C36" s="25"/>
      <c r="D36" s="82"/>
      <c r="E36" s="27"/>
      <c r="F36" s="28">
        <v>0</v>
      </c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>
        <v>0</v>
      </c>
      <c r="H37" s="29"/>
      <c r="I37" s="30"/>
      <c r="J37" s="71">
        <v>44974</v>
      </c>
      <c r="K37" s="85" t="s">
        <v>113</v>
      </c>
      <c r="L37" s="78">
        <v>1392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71">
        <v>44980</v>
      </c>
      <c r="K38" s="75" t="s">
        <v>109</v>
      </c>
      <c r="L38" s="78">
        <v>979.68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71">
        <v>44979</v>
      </c>
      <c r="K39" s="86" t="s">
        <v>111</v>
      </c>
      <c r="L39" s="73">
        <v>549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9.5" thickBot="1" x14ac:dyDescent="0.35">
      <c r="A40" s="23"/>
      <c r="B40" s="24"/>
      <c r="C40" s="25"/>
      <c r="D40" s="77"/>
      <c r="E40" s="27"/>
      <c r="F40" s="28"/>
      <c r="H40" s="29"/>
      <c r="I40" s="30"/>
      <c r="J40" s="71">
        <v>44977</v>
      </c>
      <c r="K40" s="221" t="s">
        <v>110</v>
      </c>
      <c r="L40" s="73">
        <v>27676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71" t="s">
        <v>114</v>
      </c>
      <c r="K41" s="86" t="s">
        <v>112</v>
      </c>
      <c r="L41" s="73">
        <v>5407.19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222">
        <v>0</v>
      </c>
      <c r="Q42" s="223">
        <f t="shared" si="0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71"/>
      <c r="K43" s="86"/>
      <c r="L43" s="73"/>
      <c r="M43" s="31">
        <v>0</v>
      </c>
      <c r="N43" s="32">
        <v>0</v>
      </c>
      <c r="O43" s="33"/>
      <c r="P43" s="227">
        <f t="shared" si="1"/>
        <v>0</v>
      </c>
      <c r="Q43" s="228">
        <f t="shared" si="0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71"/>
      <c r="K44" s="86"/>
      <c r="L44" s="73"/>
      <c r="M44" s="89">
        <v>0</v>
      </c>
      <c r="N44" s="90"/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71"/>
      <c r="K45" s="94"/>
      <c r="L45" s="73"/>
      <c r="M45" s="361">
        <f>SUM(M5:M39)</f>
        <v>2238523</v>
      </c>
      <c r="N45" s="346">
        <f>SUM(N5:N39)</f>
        <v>97258</v>
      </c>
      <c r="P45" s="95">
        <f t="shared" si="1"/>
        <v>2335781</v>
      </c>
      <c r="Q45" s="96">
        <f>SUM(Q5:Q39)</f>
        <v>70.169999999998254</v>
      </c>
      <c r="R45" s="96">
        <f>SUM(R5:R39)</f>
        <v>37733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71"/>
      <c r="K46" s="99"/>
      <c r="L46" s="73"/>
      <c r="M46" s="362"/>
      <c r="N46" s="347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71"/>
      <c r="K47" s="75"/>
      <c r="L47" s="78"/>
      <c r="M47" s="102"/>
      <c r="N47" s="103"/>
      <c r="P47" s="34"/>
      <c r="Q47" s="9"/>
    </row>
    <row r="48" spans="1:19" ht="15.7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111"/>
      <c r="K48" s="112"/>
      <c r="L48" s="9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114331</v>
      </c>
      <c r="D49" s="116"/>
      <c r="E49" s="117" t="s">
        <v>10</v>
      </c>
      <c r="F49" s="118">
        <f>SUM(F5:F48)</f>
        <v>2467072</v>
      </c>
      <c r="G49" s="116"/>
      <c r="H49" s="119" t="s">
        <v>11</v>
      </c>
      <c r="I49" s="120">
        <f>SUM(I5:I48)</f>
        <v>14932.5</v>
      </c>
      <c r="J49" s="121"/>
      <c r="K49" s="122" t="s">
        <v>12</v>
      </c>
      <c r="L49" s="123">
        <f>SUM(L5:L48)</f>
        <v>75834.540000000008</v>
      </c>
      <c r="M49" s="124"/>
      <c r="N49" s="124"/>
      <c r="P49" s="34"/>
      <c r="Q49" s="9"/>
    </row>
    <row r="50" spans="1:17" ht="16.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8" t="s">
        <v>13</v>
      </c>
      <c r="I51" s="349"/>
      <c r="J51" s="128"/>
      <c r="K51" s="350">
        <f>I49+L49</f>
        <v>90767.040000000008</v>
      </c>
      <c r="L51" s="351"/>
      <c r="M51" s="352">
        <f>N45+M45</f>
        <v>2335781</v>
      </c>
      <c r="N51" s="353"/>
      <c r="P51" s="34"/>
      <c r="Q51" s="9"/>
    </row>
    <row r="52" spans="1:17" ht="15.75" x14ac:dyDescent="0.25">
      <c r="D52" s="345" t="s">
        <v>14</v>
      </c>
      <c r="E52" s="345"/>
      <c r="F52" s="129">
        <f>F49-K51-C49</f>
        <v>2261973.96</v>
      </c>
      <c r="I52" s="130"/>
      <c r="J52" s="131"/>
      <c r="P52" s="34"/>
      <c r="Q52" s="9"/>
    </row>
    <row r="53" spans="1:17" ht="18.75" x14ac:dyDescent="0.3">
      <c r="D53" s="363" t="s">
        <v>15</v>
      </c>
      <c r="E53" s="363"/>
      <c r="F53" s="124">
        <v>-2224189.7400000002</v>
      </c>
      <c r="I53" s="364" t="s">
        <v>16</v>
      </c>
      <c r="J53" s="365"/>
      <c r="K53" s="366">
        <f>F55+F56+F57</f>
        <v>296963.76999999973</v>
      </c>
      <c r="L53" s="367"/>
      <c r="P53" s="34"/>
      <c r="Q53" s="9"/>
    </row>
    <row r="54" spans="1:17" ht="19.5" thickBot="1" x14ac:dyDescent="0.35">
      <c r="D54" s="132"/>
      <c r="E54" s="133"/>
      <c r="F54" s="134">
        <v>0</v>
      </c>
      <c r="I54" s="135"/>
      <c r="J54" s="136"/>
      <c r="K54" s="137"/>
      <c r="L54" s="138"/>
    </row>
    <row r="55" spans="1:17" ht="19.5" thickTop="1" x14ac:dyDescent="0.3">
      <c r="C55" s="5" t="s">
        <v>9</v>
      </c>
      <c r="E55" s="126" t="s">
        <v>17</v>
      </c>
      <c r="F55" s="124">
        <f>SUM(F52:F54)</f>
        <v>37784.219999999739</v>
      </c>
      <c r="H55" s="23"/>
      <c r="I55" s="139" t="s">
        <v>18</v>
      </c>
      <c r="J55" s="140"/>
      <c r="K55" s="368">
        <f>-C4</f>
        <v>-223528.9</v>
      </c>
      <c r="L55" s="369"/>
    </row>
    <row r="56" spans="1:17" ht="16.5" thickBot="1" x14ac:dyDescent="0.3">
      <c r="D56" s="141" t="s">
        <v>19</v>
      </c>
      <c r="E56" s="126" t="s">
        <v>20</v>
      </c>
      <c r="F56" s="142">
        <v>28625</v>
      </c>
    </row>
    <row r="57" spans="1:17" ht="20.25" thickTop="1" thickBot="1" x14ac:dyDescent="0.35">
      <c r="C57" s="143">
        <v>44985</v>
      </c>
      <c r="D57" s="370" t="s">
        <v>21</v>
      </c>
      <c r="E57" s="371"/>
      <c r="F57" s="144">
        <v>230554.55</v>
      </c>
      <c r="I57" s="372" t="s">
        <v>22</v>
      </c>
      <c r="J57" s="373"/>
      <c r="K57" s="374">
        <f>K53+K55</f>
        <v>73434.869999999733</v>
      </c>
      <c r="L57" s="374"/>
    </row>
    <row r="58" spans="1:17" ht="17.25" x14ac:dyDescent="0.3">
      <c r="C58" s="145"/>
      <c r="D58" s="146"/>
      <c r="E58" s="147"/>
      <c r="F58" s="148"/>
      <c r="J58" s="149"/>
    </row>
    <row r="59" spans="1:17" ht="15" customHeight="1" x14ac:dyDescent="0.25">
      <c r="I59" s="150"/>
      <c r="J59" s="150"/>
      <c r="K59" s="151"/>
      <c r="L59" s="151"/>
    </row>
    <row r="60" spans="1:17" ht="16.5" customHeight="1" x14ac:dyDescent="0.25">
      <c r="B60" s="152"/>
      <c r="C60" s="153"/>
      <c r="D60" s="154"/>
      <c r="E60" s="34"/>
      <c r="I60" s="150"/>
      <c r="J60" s="150"/>
      <c r="K60" s="151"/>
      <c r="L60" s="151"/>
      <c r="M60" s="155"/>
      <c r="N60" s="126"/>
    </row>
    <row r="61" spans="1:17" ht="15.75" x14ac:dyDescent="0.25">
      <c r="B61" s="152"/>
      <c r="C61" s="156"/>
      <c r="E61" s="34"/>
      <c r="M61" s="155"/>
      <c r="N61" s="126"/>
    </row>
    <row r="62" spans="1:17" ht="15.75" x14ac:dyDescent="0.25">
      <c r="B62" s="152"/>
      <c r="C62" s="156"/>
      <c r="E62" s="34"/>
      <c r="F62" s="157"/>
      <c r="L62" s="158"/>
      <c r="M62" s="1"/>
    </row>
    <row r="63" spans="1:17" ht="15.75" x14ac:dyDescent="0.25">
      <c r="B63" s="152"/>
      <c r="C63" s="156"/>
      <c r="E63" s="34"/>
      <c r="M63" s="1"/>
    </row>
    <row r="64" spans="1:17" ht="15.75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44956</v>
      </c>
      <c r="B3" s="175" t="s">
        <v>55</v>
      </c>
      <c r="C3" s="142">
        <v>78896</v>
      </c>
      <c r="D3" s="208">
        <v>44960</v>
      </c>
      <c r="E3" s="207">
        <v>78896</v>
      </c>
      <c r="F3" s="173">
        <f>C3-E3</f>
        <v>0</v>
      </c>
    </row>
    <row r="4" spans="1:7" ht="22.5" customHeight="1" x14ac:dyDescent="0.25">
      <c r="A4" s="174">
        <v>44958</v>
      </c>
      <c r="B4" s="175" t="s">
        <v>57</v>
      </c>
      <c r="C4" s="142">
        <v>3852.85</v>
      </c>
      <c r="D4" s="208">
        <v>44960</v>
      </c>
      <c r="E4" s="207">
        <v>3852.85</v>
      </c>
      <c r="F4" s="176">
        <f>C4-E4+F3</f>
        <v>0</v>
      </c>
    </row>
    <row r="5" spans="1:7" ht="21" customHeight="1" x14ac:dyDescent="0.25">
      <c r="A5" s="174">
        <v>44958</v>
      </c>
      <c r="B5" s="175" t="s">
        <v>56</v>
      </c>
      <c r="C5" s="142">
        <v>33129.599999999999</v>
      </c>
      <c r="D5" s="208">
        <v>44960</v>
      </c>
      <c r="E5" s="207">
        <v>33129.599999999999</v>
      </c>
      <c r="F5" s="176">
        <f t="shared" ref="F5:F68" si="0">C5-E5+F4</f>
        <v>0</v>
      </c>
    </row>
    <row r="6" spans="1:7" ht="21" customHeight="1" x14ac:dyDescent="0.3">
      <c r="A6" s="174">
        <v>44958</v>
      </c>
      <c r="B6" s="175" t="s">
        <v>58</v>
      </c>
      <c r="C6" s="142">
        <v>77299.399999999994</v>
      </c>
      <c r="D6" s="208">
        <v>44960</v>
      </c>
      <c r="E6" s="207">
        <v>77299.399999999994</v>
      </c>
      <c r="F6" s="176">
        <f t="shared" si="0"/>
        <v>0</v>
      </c>
      <c r="G6" s="177"/>
    </row>
    <row r="7" spans="1:7" ht="21" customHeight="1" x14ac:dyDescent="0.25">
      <c r="A7" s="174">
        <v>44959</v>
      </c>
      <c r="B7" s="175" t="s">
        <v>59</v>
      </c>
      <c r="C7" s="142">
        <v>83397.55</v>
      </c>
      <c r="D7" s="208">
        <v>44960</v>
      </c>
      <c r="E7" s="207">
        <v>83397.55</v>
      </c>
      <c r="F7" s="176">
        <f t="shared" si="0"/>
        <v>0</v>
      </c>
    </row>
    <row r="8" spans="1:7" ht="21" customHeight="1" x14ac:dyDescent="0.25">
      <c r="A8" s="174">
        <v>44959</v>
      </c>
      <c r="B8" s="175" t="s">
        <v>60</v>
      </c>
      <c r="C8" s="142">
        <v>44916</v>
      </c>
      <c r="D8" s="208">
        <v>44960</v>
      </c>
      <c r="E8" s="207">
        <v>44916</v>
      </c>
      <c r="F8" s="176">
        <f t="shared" si="0"/>
        <v>0</v>
      </c>
    </row>
    <row r="9" spans="1:7" ht="21" customHeight="1" x14ac:dyDescent="0.25">
      <c r="A9" s="174">
        <v>44960</v>
      </c>
      <c r="B9" s="175" t="s">
        <v>62</v>
      </c>
      <c r="C9" s="142">
        <v>59628.54</v>
      </c>
      <c r="D9" s="212">
        <v>44968</v>
      </c>
      <c r="E9" s="213">
        <v>59628.54</v>
      </c>
      <c r="F9" s="176">
        <f t="shared" si="0"/>
        <v>0</v>
      </c>
    </row>
    <row r="10" spans="1:7" ht="21" customHeight="1" x14ac:dyDescent="0.25">
      <c r="A10" s="174">
        <v>44960</v>
      </c>
      <c r="B10" s="175" t="s">
        <v>63</v>
      </c>
      <c r="C10" s="142">
        <v>34552</v>
      </c>
      <c r="D10" s="212">
        <v>44968</v>
      </c>
      <c r="E10" s="213">
        <v>34552</v>
      </c>
      <c r="F10" s="176">
        <f t="shared" si="0"/>
        <v>0</v>
      </c>
    </row>
    <row r="11" spans="1:7" ht="21" customHeight="1" x14ac:dyDescent="0.25">
      <c r="A11" s="174">
        <v>44961</v>
      </c>
      <c r="B11" s="175" t="s">
        <v>64</v>
      </c>
      <c r="C11" s="142">
        <v>111300.16</v>
      </c>
      <c r="D11" s="212">
        <v>44968</v>
      </c>
      <c r="E11" s="213">
        <v>111300.16</v>
      </c>
      <c r="F11" s="176">
        <f t="shared" si="0"/>
        <v>0</v>
      </c>
    </row>
    <row r="12" spans="1:7" ht="21" customHeight="1" x14ac:dyDescent="0.3">
      <c r="A12" s="174">
        <v>44963</v>
      </c>
      <c r="B12" s="175" t="s">
        <v>65</v>
      </c>
      <c r="C12" s="142">
        <v>9963</v>
      </c>
      <c r="D12" s="212">
        <v>44968</v>
      </c>
      <c r="E12" s="213">
        <v>9963</v>
      </c>
      <c r="F12" s="176">
        <f t="shared" si="0"/>
        <v>0</v>
      </c>
      <c r="G12" s="177"/>
    </row>
    <row r="13" spans="1:7" ht="21" customHeight="1" x14ac:dyDescent="0.25">
      <c r="A13" s="174">
        <v>44963</v>
      </c>
      <c r="B13" s="175" t="s">
        <v>66</v>
      </c>
      <c r="C13" s="142">
        <v>75529.25</v>
      </c>
      <c r="D13" s="212">
        <v>44968</v>
      </c>
      <c r="E13" s="213">
        <v>75529.25</v>
      </c>
      <c r="F13" s="176">
        <f t="shared" si="0"/>
        <v>0</v>
      </c>
    </row>
    <row r="14" spans="1:7" ht="21" customHeight="1" x14ac:dyDescent="0.25">
      <c r="A14" s="174">
        <v>44964</v>
      </c>
      <c r="B14" s="175" t="s">
        <v>77</v>
      </c>
      <c r="C14" s="142">
        <v>83670.740000000005</v>
      </c>
      <c r="D14" s="212">
        <v>44968</v>
      </c>
      <c r="E14" s="213">
        <v>83670.740000000005</v>
      </c>
      <c r="F14" s="176">
        <f t="shared" si="0"/>
        <v>0</v>
      </c>
    </row>
    <row r="15" spans="1:7" ht="21" customHeight="1" x14ac:dyDescent="0.25">
      <c r="A15" s="174">
        <v>44965</v>
      </c>
      <c r="B15" s="175" t="s">
        <v>78</v>
      </c>
      <c r="C15" s="142">
        <v>12446</v>
      </c>
      <c r="D15" s="212">
        <v>44968</v>
      </c>
      <c r="E15" s="213">
        <v>12446</v>
      </c>
      <c r="F15" s="176">
        <f t="shared" si="0"/>
        <v>0</v>
      </c>
    </row>
    <row r="16" spans="1:7" ht="21" customHeight="1" x14ac:dyDescent="0.25">
      <c r="A16" s="174">
        <v>44965</v>
      </c>
      <c r="B16" s="175" t="s">
        <v>79</v>
      </c>
      <c r="C16" s="142">
        <v>45123.76</v>
      </c>
      <c r="D16" s="212">
        <v>44968</v>
      </c>
      <c r="E16" s="213">
        <v>45123.76</v>
      </c>
      <c r="F16" s="176">
        <f t="shared" si="0"/>
        <v>0</v>
      </c>
    </row>
    <row r="17" spans="1:10" ht="21" customHeight="1" x14ac:dyDescent="0.25">
      <c r="A17" s="174">
        <v>44967</v>
      </c>
      <c r="B17" s="175" t="s">
        <v>80</v>
      </c>
      <c r="C17" s="142">
        <v>166731.16</v>
      </c>
      <c r="D17" s="212">
        <v>44968</v>
      </c>
      <c r="E17" s="213">
        <v>166731.16</v>
      </c>
      <c r="F17" s="176">
        <f t="shared" si="0"/>
        <v>0</v>
      </c>
    </row>
    <row r="18" spans="1:10" ht="21" customHeight="1" x14ac:dyDescent="0.25">
      <c r="A18" s="174">
        <v>44967</v>
      </c>
      <c r="B18" s="175" t="s">
        <v>81</v>
      </c>
      <c r="C18" s="142">
        <v>6377.4</v>
      </c>
      <c r="D18" s="212">
        <v>44968</v>
      </c>
      <c r="E18" s="213">
        <v>6377.4</v>
      </c>
      <c r="F18" s="176">
        <f t="shared" si="0"/>
        <v>0</v>
      </c>
    </row>
    <row r="19" spans="1:10" ht="21" customHeight="1" x14ac:dyDescent="0.25">
      <c r="A19" s="174">
        <v>44968</v>
      </c>
      <c r="B19" s="175" t="s">
        <v>82</v>
      </c>
      <c r="C19" s="142">
        <v>152217.42000000001</v>
      </c>
      <c r="D19" s="214">
        <v>44975</v>
      </c>
      <c r="E19" s="215">
        <v>152217.42000000001</v>
      </c>
      <c r="F19" s="176">
        <f t="shared" si="0"/>
        <v>0</v>
      </c>
    </row>
    <row r="20" spans="1:10" ht="21" customHeight="1" x14ac:dyDescent="0.25">
      <c r="A20" s="174">
        <v>44970</v>
      </c>
      <c r="B20" s="175" t="s">
        <v>83</v>
      </c>
      <c r="C20" s="142">
        <v>45703.76</v>
      </c>
      <c r="D20" s="214">
        <v>44975</v>
      </c>
      <c r="E20" s="215">
        <v>45703.76</v>
      </c>
      <c r="F20" s="176">
        <f t="shared" si="0"/>
        <v>0</v>
      </c>
    </row>
    <row r="21" spans="1:10" ht="24.75" customHeight="1" x14ac:dyDescent="0.25">
      <c r="A21" s="174">
        <v>44971</v>
      </c>
      <c r="B21" s="175" t="s">
        <v>84</v>
      </c>
      <c r="C21" s="142">
        <v>8278.6</v>
      </c>
      <c r="D21" s="214">
        <v>44975</v>
      </c>
      <c r="E21" s="215">
        <v>8278.6</v>
      </c>
      <c r="F21" s="176">
        <f t="shared" si="0"/>
        <v>0</v>
      </c>
    </row>
    <row r="22" spans="1:10" ht="21" customHeight="1" x14ac:dyDescent="0.25">
      <c r="A22" s="174">
        <v>44971</v>
      </c>
      <c r="B22" s="175" t="s">
        <v>85</v>
      </c>
      <c r="C22" s="142">
        <v>110776.46</v>
      </c>
      <c r="D22" s="214">
        <v>44975</v>
      </c>
      <c r="E22" s="215">
        <v>110776.46</v>
      </c>
      <c r="F22" s="176">
        <f t="shared" si="0"/>
        <v>0</v>
      </c>
    </row>
    <row r="23" spans="1:10" ht="21" customHeight="1" x14ac:dyDescent="0.25">
      <c r="A23" s="174">
        <v>44972</v>
      </c>
      <c r="B23" s="175" t="s">
        <v>86</v>
      </c>
      <c r="C23" s="142">
        <v>20044.8</v>
      </c>
      <c r="D23" s="214">
        <v>44975</v>
      </c>
      <c r="E23" s="215">
        <v>20044.8</v>
      </c>
      <c r="F23" s="176">
        <f t="shared" si="0"/>
        <v>0</v>
      </c>
    </row>
    <row r="24" spans="1:10" ht="21" customHeight="1" x14ac:dyDescent="0.3">
      <c r="A24" s="174">
        <v>44972</v>
      </c>
      <c r="B24" s="175" t="s">
        <v>87</v>
      </c>
      <c r="C24" s="142">
        <v>844.44</v>
      </c>
      <c r="D24" s="214">
        <v>44975</v>
      </c>
      <c r="E24" s="215">
        <v>844.44</v>
      </c>
      <c r="F24" s="176">
        <f t="shared" si="0"/>
        <v>0</v>
      </c>
      <c r="G24" s="177"/>
    </row>
    <row r="25" spans="1:10" ht="21" customHeight="1" x14ac:dyDescent="0.25">
      <c r="A25" s="174">
        <v>44973</v>
      </c>
      <c r="B25" s="175" t="s">
        <v>88</v>
      </c>
      <c r="C25" s="142">
        <v>69518.399999999994</v>
      </c>
      <c r="D25" s="214">
        <v>44975</v>
      </c>
      <c r="E25" s="215">
        <v>69518.399999999994</v>
      </c>
      <c r="F25" s="176">
        <f t="shared" si="0"/>
        <v>0</v>
      </c>
    </row>
    <row r="26" spans="1:10" ht="21" customHeight="1" x14ac:dyDescent="0.25">
      <c r="A26" s="174">
        <v>44974</v>
      </c>
      <c r="B26" s="175" t="s">
        <v>89</v>
      </c>
      <c r="C26" s="142">
        <v>105172.87</v>
      </c>
      <c r="D26" s="216">
        <v>44982</v>
      </c>
      <c r="E26" s="217">
        <v>105172.87</v>
      </c>
      <c r="F26" s="176">
        <f t="shared" si="0"/>
        <v>0</v>
      </c>
    </row>
    <row r="27" spans="1:10" ht="21" customHeight="1" x14ac:dyDescent="0.25">
      <c r="A27" s="174">
        <v>44975</v>
      </c>
      <c r="B27" s="175" t="s">
        <v>90</v>
      </c>
      <c r="C27" s="142">
        <v>116872.96000000001</v>
      </c>
      <c r="D27" s="216">
        <v>44982</v>
      </c>
      <c r="E27" s="217">
        <v>116872.96000000001</v>
      </c>
      <c r="F27" s="176">
        <f t="shared" si="0"/>
        <v>0</v>
      </c>
    </row>
    <row r="28" spans="1:10" ht="21" customHeight="1" x14ac:dyDescent="0.25">
      <c r="A28" s="174">
        <v>44975</v>
      </c>
      <c r="B28" s="175" t="s">
        <v>91</v>
      </c>
      <c r="C28" s="142">
        <v>4177.6000000000004</v>
      </c>
      <c r="D28" s="216">
        <v>44982</v>
      </c>
      <c r="E28" s="217">
        <v>4177.6000000000004</v>
      </c>
      <c r="F28" s="176">
        <f t="shared" si="0"/>
        <v>0</v>
      </c>
    </row>
    <row r="29" spans="1:10" ht="21" customHeight="1" x14ac:dyDescent="0.25">
      <c r="A29" s="174">
        <v>44975</v>
      </c>
      <c r="B29" s="175" t="s">
        <v>92</v>
      </c>
      <c r="C29" s="142">
        <v>16299.2</v>
      </c>
      <c r="D29" s="216">
        <v>44982</v>
      </c>
      <c r="E29" s="217">
        <v>16299.2</v>
      </c>
      <c r="F29" s="176">
        <f t="shared" si="0"/>
        <v>0</v>
      </c>
      <c r="J29" s="142">
        <v>0</v>
      </c>
    </row>
    <row r="30" spans="1:10" ht="21" customHeight="1" x14ac:dyDescent="0.25">
      <c r="A30" s="174">
        <v>44975</v>
      </c>
      <c r="B30" s="175" t="s">
        <v>93</v>
      </c>
      <c r="C30" s="142">
        <v>4728</v>
      </c>
      <c r="D30" s="216">
        <v>44982</v>
      </c>
      <c r="E30" s="217">
        <v>4728</v>
      </c>
      <c r="F30" s="176">
        <f t="shared" si="0"/>
        <v>0</v>
      </c>
      <c r="J30" s="142">
        <v>0</v>
      </c>
    </row>
    <row r="31" spans="1:10" ht="21" customHeight="1" x14ac:dyDescent="0.25">
      <c r="A31" s="174">
        <v>44978</v>
      </c>
      <c r="B31" s="175" t="s">
        <v>94</v>
      </c>
      <c r="C31" s="142">
        <v>152507.28</v>
      </c>
      <c r="D31" s="216">
        <v>44982</v>
      </c>
      <c r="E31" s="217">
        <v>152507.28</v>
      </c>
      <c r="F31" s="176">
        <f t="shared" si="0"/>
        <v>0</v>
      </c>
      <c r="J31" s="142">
        <v>0</v>
      </c>
    </row>
    <row r="32" spans="1:10" ht="21" customHeight="1" x14ac:dyDescent="0.3">
      <c r="A32" s="174">
        <v>44980</v>
      </c>
      <c r="B32" s="175" t="s">
        <v>95</v>
      </c>
      <c r="C32" s="142">
        <v>36653.4</v>
      </c>
      <c r="D32" s="216">
        <v>44982</v>
      </c>
      <c r="E32" s="217">
        <v>36653.4</v>
      </c>
      <c r="F32" s="176">
        <f t="shared" si="0"/>
        <v>0</v>
      </c>
      <c r="G32" s="177"/>
      <c r="J32" s="142">
        <v>0</v>
      </c>
    </row>
    <row r="33" spans="1:10" ht="21" customHeight="1" x14ac:dyDescent="0.25">
      <c r="A33" s="174">
        <v>44980</v>
      </c>
      <c r="B33" s="175" t="s">
        <v>99</v>
      </c>
      <c r="C33" s="142">
        <v>139527.16</v>
      </c>
      <c r="D33" s="216">
        <v>44982</v>
      </c>
      <c r="E33" s="217">
        <v>139527.16</v>
      </c>
      <c r="F33" s="176">
        <f t="shared" si="0"/>
        <v>0</v>
      </c>
      <c r="J33" s="142">
        <v>0</v>
      </c>
    </row>
    <row r="34" spans="1:10" ht="21" customHeight="1" x14ac:dyDescent="0.25">
      <c r="A34" s="174">
        <v>44982</v>
      </c>
      <c r="B34" s="175" t="s">
        <v>96</v>
      </c>
      <c r="C34" s="142">
        <v>146926.39000000001</v>
      </c>
      <c r="D34" s="174"/>
      <c r="E34" s="142"/>
      <c r="F34" s="176">
        <f t="shared" si="0"/>
        <v>146926.39000000001</v>
      </c>
      <c r="J34" s="142">
        <v>0</v>
      </c>
    </row>
    <row r="35" spans="1:10" ht="18.75" customHeight="1" x14ac:dyDescent="0.25">
      <c r="A35" s="174">
        <v>44982</v>
      </c>
      <c r="B35" s="175" t="s">
        <v>97</v>
      </c>
      <c r="C35" s="142">
        <v>77936.95</v>
      </c>
      <c r="D35" s="174"/>
      <c r="E35" s="142"/>
      <c r="F35" s="176">
        <f t="shared" si="0"/>
        <v>224863.34000000003</v>
      </c>
      <c r="J35" s="142">
        <v>0</v>
      </c>
    </row>
    <row r="36" spans="1:10" ht="18.75" customHeight="1" x14ac:dyDescent="0.25">
      <c r="A36" s="174">
        <v>44984</v>
      </c>
      <c r="B36" s="175" t="s">
        <v>98</v>
      </c>
      <c r="C36" s="142">
        <v>89190.64</v>
      </c>
      <c r="D36" s="174"/>
      <c r="E36" s="142"/>
      <c r="F36" s="176">
        <f t="shared" si="0"/>
        <v>314053.98000000004</v>
      </c>
      <c r="J36" s="126">
        <v>0</v>
      </c>
    </row>
    <row r="37" spans="1:10" ht="18.75" customHeight="1" x14ac:dyDescent="0.25">
      <c r="A37" s="174"/>
      <c r="B37" s="175"/>
      <c r="C37" s="142"/>
      <c r="D37" s="174"/>
      <c r="E37" s="142"/>
      <c r="F37" s="176">
        <f t="shared" si="0"/>
        <v>314053.98000000004</v>
      </c>
      <c r="J37" s="178">
        <f>SUM(J29:J36)</f>
        <v>0</v>
      </c>
    </row>
    <row r="38" spans="1:10" ht="18.75" customHeight="1" x14ac:dyDescent="0.25">
      <c r="A38" s="174"/>
      <c r="B38" s="175"/>
      <c r="C38" s="142"/>
      <c r="D38" s="174"/>
      <c r="E38" s="142"/>
      <c r="F38" s="176">
        <f t="shared" si="0"/>
        <v>314053.98000000004</v>
      </c>
    </row>
    <row r="39" spans="1:10" ht="18.75" customHeight="1" x14ac:dyDescent="0.25">
      <c r="A39" s="174"/>
      <c r="B39" s="175"/>
      <c r="C39" s="142"/>
      <c r="D39" s="174"/>
      <c r="E39" s="142"/>
      <c r="F39" s="176">
        <f t="shared" si="0"/>
        <v>314053.98000000004</v>
      </c>
    </row>
    <row r="40" spans="1:10" ht="18.75" customHeight="1" x14ac:dyDescent="0.25">
      <c r="A40" s="174"/>
      <c r="B40" s="175"/>
      <c r="C40" s="142"/>
      <c r="D40" s="174"/>
      <c r="E40" s="97"/>
      <c r="F40" s="176">
        <f t="shared" si="0"/>
        <v>314053.98000000004</v>
      </c>
    </row>
    <row r="41" spans="1:10" ht="18.75" customHeight="1" x14ac:dyDescent="0.25">
      <c r="A41" s="174"/>
      <c r="B41" s="175"/>
      <c r="C41" s="142"/>
      <c r="D41" s="174"/>
      <c r="E41" s="97"/>
      <c r="F41" s="176">
        <f t="shared" si="0"/>
        <v>314053.98000000004</v>
      </c>
    </row>
    <row r="42" spans="1:10" ht="18.75" customHeight="1" x14ac:dyDescent="0.25">
      <c r="A42" s="179"/>
      <c r="B42" s="180"/>
      <c r="C42" s="97"/>
      <c r="D42" s="174"/>
      <c r="E42" s="97"/>
      <c r="F42" s="176">
        <f t="shared" si="0"/>
        <v>314053.98000000004</v>
      </c>
    </row>
    <row r="43" spans="1:10" x14ac:dyDescent="0.25">
      <c r="A43" s="181"/>
      <c r="B43" s="182"/>
      <c r="C43" s="97"/>
      <c r="D43" s="183"/>
      <c r="E43" s="97"/>
      <c r="F43" s="176">
        <f t="shared" si="0"/>
        <v>314053.98000000004</v>
      </c>
    </row>
    <row r="44" spans="1:10" ht="15" customHeight="1" x14ac:dyDescent="0.25">
      <c r="A44" s="181"/>
      <c r="B44" s="182"/>
      <c r="C44" s="97"/>
      <c r="D44" s="183"/>
      <c r="E44" s="97"/>
      <c r="F44" s="176">
        <f t="shared" si="0"/>
        <v>314053.98000000004</v>
      </c>
    </row>
    <row r="45" spans="1:10" x14ac:dyDescent="0.25">
      <c r="A45" s="181"/>
      <c r="B45" s="182"/>
      <c r="C45" s="97"/>
      <c r="D45" s="183"/>
      <c r="E45" s="97"/>
      <c r="F45" s="176">
        <f t="shared" si="0"/>
        <v>314053.98000000004</v>
      </c>
    </row>
    <row r="46" spans="1:10" x14ac:dyDescent="0.25">
      <c r="A46" s="181"/>
      <c r="B46" s="182"/>
      <c r="C46" s="97"/>
      <c r="D46" s="183"/>
      <c r="E46" s="97"/>
      <c r="F46" s="176">
        <f t="shared" si="0"/>
        <v>314053.98000000004</v>
      </c>
    </row>
    <row r="47" spans="1:10" x14ac:dyDescent="0.25">
      <c r="A47" s="181"/>
      <c r="B47" s="182"/>
      <c r="C47" s="97"/>
      <c r="D47" s="183"/>
      <c r="E47" s="97"/>
      <c r="F47" s="176">
        <f t="shared" si="0"/>
        <v>314053.98000000004</v>
      </c>
    </row>
    <row r="48" spans="1:10" x14ac:dyDescent="0.25">
      <c r="A48" s="181"/>
      <c r="B48" s="182"/>
      <c r="C48" s="97"/>
      <c r="D48" s="183"/>
      <c r="E48" s="97"/>
      <c r="F48" s="176">
        <f t="shared" si="0"/>
        <v>314053.98000000004</v>
      </c>
    </row>
    <row r="49" spans="1:6" x14ac:dyDescent="0.25">
      <c r="A49" s="181"/>
      <c r="B49" s="182"/>
      <c r="C49" s="97"/>
      <c r="D49" s="183"/>
      <c r="E49" s="97"/>
      <c r="F49" s="176">
        <f t="shared" si="0"/>
        <v>314053.98000000004</v>
      </c>
    </row>
    <row r="50" spans="1:6" x14ac:dyDescent="0.25">
      <c r="A50" s="181"/>
      <c r="B50" s="182"/>
      <c r="C50" s="97"/>
      <c r="D50" s="183"/>
      <c r="E50" s="97"/>
      <c r="F50" s="176">
        <f t="shared" si="0"/>
        <v>314053.98000000004</v>
      </c>
    </row>
    <row r="51" spans="1:6" x14ac:dyDescent="0.25">
      <c r="A51" s="181"/>
      <c r="B51" s="182"/>
      <c r="C51" s="97"/>
      <c r="D51" s="183"/>
      <c r="E51" s="97"/>
      <c r="F51" s="176">
        <f t="shared" si="0"/>
        <v>314053.98000000004</v>
      </c>
    </row>
    <row r="52" spans="1:6" x14ac:dyDescent="0.25">
      <c r="A52" s="181"/>
      <c r="B52" s="182"/>
      <c r="C52" s="97"/>
      <c r="D52" s="183"/>
      <c r="E52" s="97"/>
      <c r="F52" s="176">
        <f t="shared" si="0"/>
        <v>314053.98000000004</v>
      </c>
    </row>
    <row r="53" spans="1:6" x14ac:dyDescent="0.25">
      <c r="A53" s="181"/>
      <c r="B53" s="182"/>
      <c r="C53" s="97"/>
      <c r="D53" s="183"/>
      <c r="E53" s="97"/>
      <c r="F53" s="176">
        <f t="shared" si="0"/>
        <v>314053.98000000004</v>
      </c>
    </row>
    <row r="54" spans="1:6" x14ac:dyDescent="0.25">
      <c r="A54" s="181"/>
      <c r="B54" s="182"/>
      <c r="C54" s="97"/>
      <c r="D54" s="183"/>
      <c r="E54" s="97"/>
      <c r="F54" s="176">
        <f t="shared" si="0"/>
        <v>314053.98000000004</v>
      </c>
    </row>
    <row r="55" spans="1:6" x14ac:dyDescent="0.25">
      <c r="A55" s="181"/>
      <c r="B55" s="182"/>
      <c r="C55" s="97"/>
      <c r="D55" s="183"/>
      <c r="E55" s="97"/>
      <c r="F55" s="176">
        <f t="shared" si="0"/>
        <v>314053.98000000004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314053.98000000004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314053.98000000004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314053.98000000004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314053.98000000004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314053.98000000004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314053.98000000004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314053.98000000004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314053.98000000004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314053.98000000004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314053.98000000004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314053.98000000004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314053.98000000004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314053.98000000004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314053.98000000004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314053.98000000004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314053.98000000004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314053.98000000004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314053.98000000004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314053.98000000004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314053.98000000004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314053.98000000004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314053.98000000004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314053.98000000004</v>
      </c>
    </row>
    <row r="79" spans="1:6" ht="19.5" thickBot="1" x14ac:dyDescent="0.35">
      <c r="A79" s="188"/>
      <c r="B79" s="189"/>
      <c r="C79" s="190">
        <f>SUM(C3:C78)</f>
        <v>2224189.7400000002</v>
      </c>
      <c r="D79" s="168"/>
      <c r="E79" s="191">
        <f>SUM(E3:E78)</f>
        <v>1910135.76</v>
      </c>
      <c r="F79" s="192">
        <f>F78</f>
        <v>314053.98000000004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115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235"/>
      <c r="L2" s="237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37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39" t="s">
        <v>4</v>
      </c>
      <c r="F4" s="340"/>
      <c r="H4" s="341" t="s">
        <v>5</v>
      </c>
      <c r="I4" s="342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75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H5" s="29">
        <v>44986</v>
      </c>
      <c r="I5" s="30">
        <v>673</v>
      </c>
      <c r="J5" s="235"/>
      <c r="K5" s="241"/>
      <c r="L5" s="13"/>
      <c r="M5" s="31">
        <f>39061+3828</f>
        <v>42889</v>
      </c>
      <c r="N5" s="32">
        <v>113</v>
      </c>
      <c r="O5" s="33"/>
      <c r="P5" s="222">
        <f>N5+M5+L5+I5+C5</f>
        <v>47849</v>
      </c>
      <c r="Q5" s="223">
        <v>0</v>
      </c>
      <c r="R5" s="224">
        <v>7003</v>
      </c>
      <c r="S5" s="33"/>
    </row>
    <row r="6" spans="1:21" ht="18" thickBot="1" x14ac:dyDescent="0.35">
      <c r="A6" s="23"/>
      <c r="B6" s="24">
        <v>44987</v>
      </c>
      <c r="C6" s="25">
        <v>0</v>
      </c>
      <c r="D6" s="35"/>
      <c r="E6" s="27">
        <v>44987</v>
      </c>
      <c r="F6" s="28">
        <v>61565</v>
      </c>
      <c r="H6" s="29">
        <v>44987</v>
      </c>
      <c r="I6" s="30">
        <v>57</v>
      </c>
      <c r="J6" s="242"/>
      <c r="K6" s="68" t="s">
        <v>9</v>
      </c>
      <c r="L6" s="243"/>
      <c r="M6" s="31">
        <f>19000+39619</f>
        <v>58619</v>
      </c>
      <c r="N6" s="32">
        <v>4789</v>
      </c>
      <c r="O6" s="33"/>
      <c r="P6" s="222">
        <f>N6+M6+L6+I6+C6</f>
        <v>63465</v>
      </c>
      <c r="Q6" s="223">
        <v>0</v>
      </c>
      <c r="R6" s="224">
        <v>1900</v>
      </c>
      <c r="S6" s="33"/>
      <c r="T6" s="9"/>
    </row>
    <row r="7" spans="1:21" ht="18" thickBot="1" x14ac:dyDescent="0.35">
      <c r="A7" s="23"/>
      <c r="B7" s="24">
        <v>44988</v>
      </c>
      <c r="C7" s="25">
        <v>8209</v>
      </c>
      <c r="D7" s="39" t="s">
        <v>69</v>
      </c>
      <c r="E7" s="27">
        <v>44988</v>
      </c>
      <c r="F7" s="28">
        <v>110006</v>
      </c>
      <c r="H7" s="29">
        <v>44988</v>
      </c>
      <c r="I7" s="30">
        <v>581</v>
      </c>
      <c r="J7" s="242"/>
      <c r="K7" s="99"/>
      <c r="L7" s="243"/>
      <c r="M7" s="31">
        <f>50000+49987</f>
        <v>99987</v>
      </c>
      <c r="N7" s="32">
        <v>2607</v>
      </c>
      <c r="O7" s="33"/>
      <c r="P7" s="222">
        <f>N7+M7+L7+I7+C7</f>
        <v>111384</v>
      </c>
      <c r="Q7" s="230">
        <f>P7-F7-378</f>
        <v>1000</v>
      </c>
      <c r="R7" s="224">
        <v>378</v>
      </c>
      <c r="S7" s="33"/>
    </row>
    <row r="8" spans="1:21" ht="18" thickBot="1" x14ac:dyDescent="0.35">
      <c r="A8" s="23"/>
      <c r="B8" s="24">
        <v>44989</v>
      </c>
      <c r="C8" s="25">
        <v>0</v>
      </c>
      <c r="D8" s="39"/>
      <c r="E8" s="27">
        <v>44989</v>
      </c>
      <c r="F8" s="28">
        <v>47183</v>
      </c>
      <c r="H8" s="29">
        <v>44989</v>
      </c>
      <c r="I8" s="30">
        <v>974</v>
      </c>
      <c r="J8" s="242"/>
      <c r="K8" s="244"/>
      <c r="L8" s="243"/>
      <c r="M8" s="31">
        <f>7000+36335</f>
        <v>43335</v>
      </c>
      <c r="N8" s="32">
        <v>4278</v>
      </c>
      <c r="O8" s="33"/>
      <c r="P8" s="222">
        <f t="shared" ref="P8:P45" si="0">N8+M8+L8+I8+C8</f>
        <v>48587</v>
      </c>
      <c r="Q8" s="223">
        <v>0</v>
      </c>
      <c r="R8" s="224">
        <v>1404</v>
      </c>
      <c r="S8" s="33"/>
    </row>
    <row r="9" spans="1:21" ht="18" thickBot="1" x14ac:dyDescent="0.35">
      <c r="A9" s="23"/>
      <c r="B9" s="24">
        <v>44990</v>
      </c>
      <c r="C9" s="25">
        <v>0</v>
      </c>
      <c r="D9" s="43"/>
      <c r="E9" s="27">
        <v>44990</v>
      </c>
      <c r="F9" s="28">
        <v>94515</v>
      </c>
      <c r="H9" s="29">
        <v>44990</v>
      </c>
      <c r="I9" s="30">
        <v>590</v>
      </c>
      <c r="J9" s="242"/>
      <c r="K9" s="245"/>
      <c r="L9" s="243"/>
      <c r="M9" s="31">
        <f>97000+14044</f>
        <v>111044</v>
      </c>
      <c r="N9" s="32">
        <v>621</v>
      </c>
      <c r="O9" s="33"/>
      <c r="P9" s="222">
        <f t="shared" si="0"/>
        <v>112255</v>
      </c>
      <c r="Q9" s="223">
        <v>0</v>
      </c>
      <c r="R9" s="224">
        <v>17740</v>
      </c>
      <c r="S9" s="33"/>
    </row>
    <row r="10" spans="1:21" ht="18" thickBot="1" x14ac:dyDescent="0.35">
      <c r="A10" s="23"/>
      <c r="B10" s="24">
        <v>44991</v>
      </c>
      <c r="C10" s="25">
        <v>2940</v>
      </c>
      <c r="D10" s="35" t="s">
        <v>67</v>
      </c>
      <c r="E10" s="27">
        <v>44991</v>
      </c>
      <c r="F10" s="28">
        <v>138469</v>
      </c>
      <c r="H10" s="29">
        <v>44991</v>
      </c>
      <c r="I10" s="30">
        <v>616</v>
      </c>
      <c r="J10" s="242"/>
      <c r="K10" s="246"/>
      <c r="L10" s="247"/>
      <c r="M10" s="31">
        <f>16000+70000+48913</f>
        <v>134913</v>
      </c>
      <c r="N10" s="32">
        <v>0</v>
      </c>
      <c r="O10" s="33"/>
      <c r="P10" s="222">
        <f>N10+M10+L10+I10+C10</f>
        <v>138469</v>
      </c>
      <c r="Q10" s="223">
        <f t="shared" ref="Q10:Q44" si="1">P10-F10</f>
        <v>0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5"/>
      <c r="E11" s="27">
        <v>44992</v>
      </c>
      <c r="F11" s="28">
        <v>106309</v>
      </c>
      <c r="H11" s="29">
        <v>44992</v>
      </c>
      <c r="I11" s="30">
        <v>567</v>
      </c>
      <c r="J11" s="242">
        <v>44992</v>
      </c>
      <c r="K11" s="245" t="s">
        <v>160</v>
      </c>
      <c r="L11" s="243">
        <v>7816.67</v>
      </c>
      <c r="M11" s="31">
        <f>27500+68703</f>
        <v>96203</v>
      </c>
      <c r="N11" s="32">
        <v>1723</v>
      </c>
      <c r="O11" s="33"/>
      <c r="P11" s="222">
        <f>N11+M11+L11+I11+C11</f>
        <v>106309.67</v>
      </c>
      <c r="Q11" s="223">
        <f t="shared" si="1"/>
        <v>0.66999999999825377</v>
      </c>
      <c r="R11" s="225">
        <v>0</v>
      </c>
      <c r="S11" s="33"/>
    </row>
    <row r="12" spans="1:21" ht="18" thickBot="1" x14ac:dyDescent="0.35">
      <c r="A12" s="23"/>
      <c r="B12" s="24">
        <v>44993</v>
      </c>
      <c r="C12" s="25">
        <v>485</v>
      </c>
      <c r="D12" s="35" t="s">
        <v>100</v>
      </c>
      <c r="E12" s="27">
        <v>44993</v>
      </c>
      <c r="F12" s="28">
        <v>22101</v>
      </c>
      <c r="H12" s="29">
        <v>44993</v>
      </c>
      <c r="I12" s="30">
        <v>629</v>
      </c>
      <c r="J12" s="242"/>
      <c r="K12" s="248"/>
      <c r="L12" s="243"/>
      <c r="M12" s="31">
        <f>6000+14949</f>
        <v>20949</v>
      </c>
      <c r="N12" s="32">
        <v>38</v>
      </c>
      <c r="O12" s="33"/>
      <c r="P12" s="222">
        <f t="shared" si="0"/>
        <v>22101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44994</v>
      </c>
      <c r="C13" s="25">
        <v>0</v>
      </c>
      <c r="D13" s="39"/>
      <c r="E13" s="27">
        <v>44994</v>
      </c>
      <c r="F13" s="28">
        <v>77215</v>
      </c>
      <c r="H13" s="29">
        <v>44994</v>
      </c>
      <c r="I13" s="30">
        <v>312</v>
      </c>
      <c r="J13" s="242"/>
      <c r="K13" s="68"/>
      <c r="L13" s="243"/>
      <c r="M13" s="31">
        <f>37000+39703</f>
        <v>76703</v>
      </c>
      <c r="N13" s="32">
        <v>200</v>
      </c>
      <c r="O13" s="33"/>
      <c r="P13" s="222">
        <f t="shared" si="0"/>
        <v>77215</v>
      </c>
      <c r="Q13" s="223">
        <f t="shared" si="1"/>
        <v>0</v>
      </c>
      <c r="R13" s="225">
        <v>0</v>
      </c>
      <c r="S13" s="33"/>
    </row>
    <row r="14" spans="1:21" ht="18" thickBot="1" x14ac:dyDescent="0.35">
      <c r="A14" s="23"/>
      <c r="B14" s="24">
        <v>44995</v>
      </c>
      <c r="C14" s="25">
        <v>12818</v>
      </c>
      <c r="D14" s="43" t="s">
        <v>69</v>
      </c>
      <c r="E14" s="27">
        <v>44995</v>
      </c>
      <c r="F14" s="28">
        <v>144672</v>
      </c>
      <c r="H14" s="29">
        <v>44995</v>
      </c>
      <c r="I14" s="30">
        <v>560</v>
      </c>
      <c r="J14" s="242"/>
      <c r="K14" s="244"/>
      <c r="L14" s="243"/>
      <c r="M14" s="31">
        <f>25000+106295</f>
        <v>131295</v>
      </c>
      <c r="N14" s="32">
        <v>0</v>
      </c>
      <c r="O14" s="33"/>
      <c r="P14" s="222">
        <f t="shared" si="0"/>
        <v>144673</v>
      </c>
      <c r="Q14" s="223">
        <f t="shared" si="1"/>
        <v>1</v>
      </c>
      <c r="R14" s="225">
        <v>0</v>
      </c>
      <c r="S14" s="33"/>
    </row>
    <row r="15" spans="1:21" ht="18" thickBot="1" x14ac:dyDescent="0.35">
      <c r="A15" s="23"/>
      <c r="B15" s="24">
        <v>44996</v>
      </c>
      <c r="C15" s="25">
        <v>1701</v>
      </c>
      <c r="D15" s="43" t="s">
        <v>161</v>
      </c>
      <c r="E15" s="27">
        <v>44996</v>
      </c>
      <c r="F15" s="28">
        <v>83147</v>
      </c>
      <c r="H15" s="29">
        <v>44996</v>
      </c>
      <c r="I15" s="30">
        <v>647</v>
      </c>
      <c r="J15" s="242">
        <v>44996</v>
      </c>
      <c r="K15" s="244" t="s">
        <v>162</v>
      </c>
      <c r="L15" s="243">
        <v>7900</v>
      </c>
      <c r="M15" s="31">
        <f>25000+42244</f>
        <v>67244</v>
      </c>
      <c r="N15" s="32">
        <v>5655</v>
      </c>
      <c r="O15" s="33"/>
      <c r="P15" s="222">
        <f t="shared" si="0"/>
        <v>83147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44997</v>
      </c>
      <c r="C16" s="25">
        <v>0</v>
      </c>
      <c r="D16" s="49"/>
      <c r="E16" s="27">
        <v>44997</v>
      </c>
      <c r="F16" s="28">
        <v>132329</v>
      </c>
      <c r="H16" s="29">
        <v>44997</v>
      </c>
      <c r="I16" s="30">
        <v>535</v>
      </c>
      <c r="J16" s="242"/>
      <c r="K16" s="244"/>
      <c r="L16" s="13"/>
      <c r="M16" s="31">
        <f>53000+51000+25100</f>
        <v>129100</v>
      </c>
      <c r="N16" s="32">
        <v>2696</v>
      </c>
      <c r="O16" s="33"/>
      <c r="P16" s="222">
        <f t="shared" si="0"/>
        <v>132331</v>
      </c>
      <c r="Q16" s="223">
        <f t="shared" si="1"/>
        <v>2</v>
      </c>
      <c r="R16" s="225">
        <v>0</v>
      </c>
      <c r="S16" s="33"/>
    </row>
    <row r="17" spans="1:20" ht="18" thickBot="1" x14ac:dyDescent="0.35">
      <c r="A17" s="23"/>
      <c r="B17" s="24">
        <v>44998</v>
      </c>
      <c r="C17" s="25">
        <v>0</v>
      </c>
      <c r="D17" s="43"/>
      <c r="E17" s="27">
        <v>44998</v>
      </c>
      <c r="F17" s="28">
        <v>161282</v>
      </c>
      <c r="H17" s="29">
        <v>44998</v>
      </c>
      <c r="I17" s="30">
        <v>643</v>
      </c>
      <c r="J17" s="242"/>
      <c r="K17" s="244"/>
      <c r="L17" s="247"/>
      <c r="M17" s="31">
        <f>36000+124639</f>
        <v>160639</v>
      </c>
      <c r="N17" s="32">
        <v>0</v>
      </c>
      <c r="O17" s="33"/>
      <c r="P17" s="222">
        <f t="shared" si="0"/>
        <v>161282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44999</v>
      </c>
      <c r="C18" s="25">
        <v>3210</v>
      </c>
      <c r="D18" s="35" t="s">
        <v>67</v>
      </c>
      <c r="E18" s="27">
        <v>44999</v>
      </c>
      <c r="F18" s="28">
        <v>124114</v>
      </c>
      <c r="H18" s="29">
        <v>44999</v>
      </c>
      <c r="I18" s="30">
        <v>222</v>
      </c>
      <c r="J18" s="242"/>
      <c r="K18" s="249"/>
      <c r="L18" s="243"/>
      <c r="M18" s="31">
        <f>18500+102182</f>
        <v>120682</v>
      </c>
      <c r="N18" s="32">
        <v>0</v>
      </c>
      <c r="O18" s="33"/>
      <c r="P18" s="222">
        <f t="shared" si="0"/>
        <v>124114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45000</v>
      </c>
      <c r="C19" s="25">
        <v>0</v>
      </c>
      <c r="D19" s="35"/>
      <c r="E19" s="27">
        <v>45000</v>
      </c>
      <c r="F19" s="28">
        <v>44605</v>
      </c>
      <c r="H19" s="29">
        <v>45000</v>
      </c>
      <c r="I19" s="30">
        <v>593</v>
      </c>
      <c r="J19" s="242"/>
      <c r="K19" s="250"/>
      <c r="L19" s="251"/>
      <c r="M19" s="31">
        <f>15000+27417</f>
        <v>42417</v>
      </c>
      <c r="N19" s="32">
        <v>1595</v>
      </c>
      <c r="O19" s="33"/>
      <c r="P19" s="222">
        <f t="shared" si="0"/>
        <v>44605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45001</v>
      </c>
      <c r="C20" s="25">
        <v>0</v>
      </c>
      <c r="D20" s="35"/>
      <c r="E20" s="27">
        <v>45001</v>
      </c>
      <c r="F20" s="28">
        <v>112609</v>
      </c>
      <c r="H20" s="29">
        <v>45001</v>
      </c>
      <c r="I20" s="30">
        <v>523</v>
      </c>
      <c r="J20" s="242"/>
      <c r="K20" s="246"/>
      <c r="L20" s="247"/>
      <c r="M20" s="31">
        <f>69485+41600</f>
        <v>111085</v>
      </c>
      <c r="N20" s="32">
        <v>1001</v>
      </c>
      <c r="O20" s="33"/>
      <c r="P20" s="222">
        <f t="shared" si="0"/>
        <v>112609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45002</v>
      </c>
      <c r="C21" s="25">
        <v>12939</v>
      </c>
      <c r="D21" s="35" t="s">
        <v>69</v>
      </c>
      <c r="E21" s="27">
        <v>45002</v>
      </c>
      <c r="F21" s="28">
        <v>124638</v>
      </c>
      <c r="H21" s="29">
        <v>45002</v>
      </c>
      <c r="I21" s="30">
        <v>127</v>
      </c>
      <c r="J21" s="242"/>
      <c r="K21" s="252"/>
      <c r="L21" s="247"/>
      <c r="M21" s="31">
        <f>95992+12000</f>
        <v>107992</v>
      </c>
      <c r="N21" s="32">
        <v>3580</v>
      </c>
      <c r="O21" s="33"/>
      <c r="P21" s="222">
        <f t="shared" si="0"/>
        <v>124638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45003</v>
      </c>
      <c r="C22" s="25">
        <v>0</v>
      </c>
      <c r="D22" s="35"/>
      <c r="E22" s="27">
        <v>45003</v>
      </c>
      <c r="F22" s="28">
        <v>76608</v>
      </c>
      <c r="H22" s="29">
        <v>45003</v>
      </c>
      <c r="I22" s="30">
        <v>1063</v>
      </c>
      <c r="J22" s="242">
        <v>45003</v>
      </c>
      <c r="K22" s="244" t="s">
        <v>163</v>
      </c>
      <c r="L22" s="253">
        <v>8386</v>
      </c>
      <c r="M22" s="31">
        <f>31103+28000</f>
        <v>59103</v>
      </c>
      <c r="N22" s="32">
        <f>4936+3120</f>
        <v>8056</v>
      </c>
      <c r="O22" s="33"/>
      <c r="P22" s="222">
        <f t="shared" si="0"/>
        <v>76608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45004</v>
      </c>
      <c r="C23" s="25">
        <v>0</v>
      </c>
      <c r="D23" s="43"/>
      <c r="E23" s="27">
        <v>45004</v>
      </c>
      <c r="F23" s="28">
        <v>116707</v>
      </c>
      <c r="H23" s="29">
        <v>45004</v>
      </c>
      <c r="I23" s="30">
        <v>500</v>
      </c>
      <c r="J23" s="254"/>
      <c r="K23" s="255"/>
      <c r="L23" s="247"/>
      <c r="M23" s="31">
        <f>56432+56000</f>
        <v>112432</v>
      </c>
      <c r="N23" s="32">
        <v>3775</v>
      </c>
      <c r="O23" s="33"/>
      <c r="P23" s="222">
        <f t="shared" si="0"/>
        <v>116707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45005</v>
      </c>
      <c r="C24" s="25">
        <v>0</v>
      </c>
      <c r="D24" s="39"/>
      <c r="E24" s="27">
        <v>45005</v>
      </c>
      <c r="F24" s="28">
        <v>167012</v>
      </c>
      <c r="H24" s="29">
        <v>45005</v>
      </c>
      <c r="I24" s="30">
        <v>1148</v>
      </c>
      <c r="J24" s="256"/>
      <c r="K24" s="255"/>
      <c r="L24" s="257"/>
      <c r="M24" s="31">
        <f>123478+41200</f>
        <v>164678</v>
      </c>
      <c r="N24" s="32">
        <v>1186</v>
      </c>
      <c r="O24" s="33"/>
      <c r="P24" s="222">
        <f t="shared" si="0"/>
        <v>167012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45006</v>
      </c>
      <c r="C25" s="25">
        <v>0</v>
      </c>
      <c r="D25" s="35"/>
      <c r="E25" s="27">
        <v>45006</v>
      </c>
      <c r="F25" s="28">
        <v>98911</v>
      </c>
      <c r="H25" s="29">
        <v>45006</v>
      </c>
      <c r="I25" s="30">
        <v>18</v>
      </c>
      <c r="J25" s="258"/>
      <c r="K25" s="259"/>
      <c r="L25" s="260"/>
      <c r="M25" s="31">
        <f>5300+92318</f>
        <v>97618</v>
      </c>
      <c r="N25" s="32">
        <f>190+1085</f>
        <v>1275</v>
      </c>
      <c r="O25" s="33"/>
      <c r="P25" s="222">
        <f t="shared" si="0"/>
        <v>98911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45007</v>
      </c>
      <c r="C26" s="25">
        <v>3480</v>
      </c>
      <c r="D26" s="35" t="s">
        <v>67</v>
      </c>
      <c r="E26" s="27">
        <v>45007</v>
      </c>
      <c r="F26" s="28">
        <v>62059</v>
      </c>
      <c r="H26" s="29">
        <v>45007</v>
      </c>
      <c r="I26" s="30">
        <v>64</v>
      </c>
      <c r="J26" s="242"/>
      <c r="K26" s="255"/>
      <c r="L26" s="247"/>
      <c r="M26" s="31">
        <v>57072</v>
      </c>
      <c r="N26" s="32">
        <v>1443</v>
      </c>
      <c r="O26" s="33"/>
      <c r="P26" s="222">
        <f t="shared" si="0"/>
        <v>62059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45008</v>
      </c>
      <c r="C27" s="25">
        <v>2655</v>
      </c>
      <c r="D27" s="39" t="s">
        <v>164</v>
      </c>
      <c r="E27" s="27">
        <v>45008</v>
      </c>
      <c r="F27" s="28">
        <v>118074</v>
      </c>
      <c r="H27" s="29">
        <v>45008</v>
      </c>
      <c r="I27" s="30">
        <v>18</v>
      </c>
      <c r="J27" s="261"/>
      <c r="K27" s="259"/>
      <c r="L27" s="260"/>
      <c r="M27" s="31">
        <f>22700+92701</f>
        <v>115401</v>
      </c>
      <c r="N27" s="32">
        <v>0</v>
      </c>
      <c r="O27" s="33"/>
      <c r="P27" s="222">
        <f t="shared" si="0"/>
        <v>118074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45009</v>
      </c>
      <c r="C28" s="25">
        <v>18707</v>
      </c>
      <c r="D28" s="39" t="s">
        <v>69</v>
      </c>
      <c r="E28" s="27">
        <v>45009</v>
      </c>
      <c r="F28" s="28">
        <v>109480</v>
      </c>
      <c r="H28" s="29">
        <v>45009</v>
      </c>
      <c r="I28" s="30">
        <v>116</v>
      </c>
      <c r="J28" s="262"/>
      <c r="K28" s="68"/>
      <c r="L28" s="260"/>
      <c r="M28" s="31">
        <f>16000+70989</f>
        <v>86989</v>
      </c>
      <c r="N28" s="32">
        <v>3668</v>
      </c>
      <c r="O28" s="33"/>
      <c r="P28" s="222">
        <f t="shared" si="0"/>
        <v>109480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45010</v>
      </c>
      <c r="C29" s="25">
        <v>0</v>
      </c>
      <c r="D29" s="69"/>
      <c r="E29" s="27">
        <v>45010</v>
      </c>
      <c r="F29" s="28">
        <v>74820</v>
      </c>
      <c r="H29" s="29">
        <v>45010</v>
      </c>
      <c r="I29" s="30">
        <v>142</v>
      </c>
      <c r="J29" s="261">
        <v>45010</v>
      </c>
      <c r="K29" s="263" t="s">
        <v>165</v>
      </c>
      <c r="L29" s="260">
        <v>12045</v>
      </c>
      <c r="M29" s="233">
        <f>30700</f>
        <v>30700</v>
      </c>
      <c r="N29" s="32">
        <v>8222</v>
      </c>
      <c r="O29" s="33"/>
      <c r="P29" s="222">
        <f t="shared" si="0"/>
        <v>51109</v>
      </c>
      <c r="Q29" s="234">
        <f t="shared" si="1"/>
        <v>-23711</v>
      </c>
      <c r="R29" s="225">
        <v>0</v>
      </c>
      <c r="S29" s="33"/>
      <c r="T29" s="9"/>
    </row>
    <row r="30" spans="1:20" ht="18" thickBot="1" x14ac:dyDescent="0.35">
      <c r="A30" s="23"/>
      <c r="B30" s="24">
        <v>45011</v>
      </c>
      <c r="C30" s="25">
        <v>9514</v>
      </c>
      <c r="D30" s="69" t="s">
        <v>166</v>
      </c>
      <c r="E30" s="27">
        <v>45011</v>
      </c>
      <c r="F30" s="28">
        <v>131563</v>
      </c>
      <c r="H30" s="29">
        <v>45011</v>
      </c>
      <c r="I30" s="30">
        <v>0</v>
      </c>
      <c r="J30" s="83"/>
      <c r="K30" s="264"/>
      <c r="L30" s="265"/>
      <c r="M30" s="233">
        <f>33777</f>
        <v>33777</v>
      </c>
      <c r="N30" s="32">
        <v>4272</v>
      </c>
      <c r="O30" s="33"/>
      <c r="P30" s="222">
        <f t="shared" si="0"/>
        <v>47563</v>
      </c>
      <c r="Q30" s="234">
        <f t="shared" si="1"/>
        <v>-84000</v>
      </c>
      <c r="R30" s="225">
        <v>0</v>
      </c>
      <c r="S30" s="33"/>
    </row>
    <row r="31" spans="1:20" ht="18" thickBot="1" x14ac:dyDescent="0.35">
      <c r="A31" s="23"/>
      <c r="B31" s="24">
        <v>45012</v>
      </c>
      <c r="C31" s="25">
        <v>0</v>
      </c>
      <c r="D31" s="74"/>
      <c r="E31" s="27">
        <v>45012</v>
      </c>
      <c r="F31" s="28">
        <v>189808</v>
      </c>
      <c r="H31" s="29">
        <v>45012</v>
      </c>
      <c r="I31" s="30">
        <v>152</v>
      </c>
      <c r="J31" s="83"/>
      <c r="K31" s="266"/>
      <c r="L31" s="267"/>
      <c r="M31" s="31">
        <f>21500+168156</f>
        <v>189656</v>
      </c>
      <c r="N31" s="32">
        <v>0</v>
      </c>
      <c r="O31" s="33"/>
      <c r="P31" s="222">
        <f t="shared" si="0"/>
        <v>189808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45013</v>
      </c>
      <c r="C32" s="25">
        <v>0</v>
      </c>
      <c r="D32" s="79"/>
      <c r="E32" s="27">
        <v>45013</v>
      </c>
      <c r="F32" s="28">
        <v>102688</v>
      </c>
      <c r="H32" s="29">
        <v>45013</v>
      </c>
      <c r="I32" s="30">
        <v>55</v>
      </c>
      <c r="J32" s="83"/>
      <c r="K32" s="264"/>
      <c r="L32" s="265"/>
      <c r="M32" s="31">
        <f>19000+83066</f>
        <v>102066</v>
      </c>
      <c r="N32" s="32">
        <v>567</v>
      </c>
      <c r="O32" s="33"/>
      <c r="P32" s="222">
        <f t="shared" si="0"/>
        <v>102688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45014</v>
      </c>
      <c r="C33" s="25">
        <v>0</v>
      </c>
      <c r="D33" s="77"/>
      <c r="E33" s="27">
        <v>45014</v>
      </c>
      <c r="F33" s="28">
        <v>24205</v>
      </c>
      <c r="H33" s="29">
        <v>45014</v>
      </c>
      <c r="I33" s="30">
        <v>59</v>
      </c>
      <c r="J33" s="83"/>
      <c r="K33" s="266"/>
      <c r="L33" s="203"/>
      <c r="M33" s="31">
        <v>24084</v>
      </c>
      <c r="N33" s="32">
        <v>62</v>
      </c>
      <c r="O33" s="33"/>
      <c r="P33" s="222">
        <f t="shared" si="0"/>
        <v>24205</v>
      </c>
      <c r="Q33" s="223">
        <f t="shared" si="1"/>
        <v>0</v>
      </c>
      <c r="R33" s="225">
        <v>0</v>
      </c>
      <c r="S33" s="33"/>
    </row>
    <row r="34" spans="1:19" ht="33" thickBot="1" x14ac:dyDescent="0.35">
      <c r="A34" s="23"/>
      <c r="B34" s="24">
        <v>45015</v>
      </c>
      <c r="C34" s="25">
        <v>0</v>
      </c>
      <c r="D34" s="79"/>
      <c r="E34" s="27">
        <v>45015</v>
      </c>
      <c r="F34" s="28">
        <v>72817</v>
      </c>
      <c r="H34" s="29">
        <v>45015</v>
      </c>
      <c r="I34" s="30">
        <v>37</v>
      </c>
      <c r="J34" s="83">
        <v>45015</v>
      </c>
      <c r="K34" s="80" t="s">
        <v>167</v>
      </c>
      <c r="L34" s="268">
        <v>11500</v>
      </c>
      <c r="M34" s="31">
        <v>61280</v>
      </c>
      <c r="N34" s="32">
        <v>0</v>
      </c>
      <c r="O34" s="33"/>
      <c r="P34" s="222">
        <f t="shared" si="0"/>
        <v>72817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>
        <v>0</v>
      </c>
      <c r="D35" s="74"/>
      <c r="E35" s="27"/>
      <c r="F35" s="28"/>
      <c r="H35" s="29"/>
      <c r="I35" s="30"/>
      <c r="J35" s="83"/>
      <c r="K35" s="266"/>
      <c r="L35" s="203"/>
      <c r="M35" s="31">
        <v>0</v>
      </c>
      <c r="N35" s="32">
        <v>0</v>
      </c>
      <c r="O35" s="33"/>
      <c r="P35" s="222">
        <f t="shared" si="0"/>
        <v>0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/>
      <c r="C36" s="25">
        <v>0</v>
      </c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0"/>
        <v>0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/>
      <c r="C37" s="25">
        <v>0</v>
      </c>
      <c r="D37" s="79"/>
      <c r="E37" s="27"/>
      <c r="F37" s="28"/>
      <c r="H37" s="29"/>
      <c r="I37" s="30"/>
      <c r="J37" s="83">
        <v>45002</v>
      </c>
      <c r="K37" s="270" t="s">
        <v>108</v>
      </c>
      <c r="L37" s="203">
        <v>1392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45012</v>
      </c>
      <c r="K38" s="266" t="s">
        <v>169</v>
      </c>
      <c r="L38" s="203">
        <v>364140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/>
      <c r="K39" s="218"/>
      <c r="L39" s="265"/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/>
      <c r="K41" s="218"/>
      <c r="L41" s="265"/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218"/>
      <c r="L43" s="265"/>
      <c r="M43" s="31">
        <v>0</v>
      </c>
      <c r="N43" s="32">
        <v>0</v>
      </c>
      <c r="O43" s="33"/>
      <c r="P43" s="227">
        <f t="shared" si="0"/>
        <v>0</v>
      </c>
      <c r="Q43" s="228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1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218"/>
      <c r="L45" s="265"/>
      <c r="M45" s="361">
        <f>SUM(M5:M39)</f>
        <v>2689952</v>
      </c>
      <c r="N45" s="346">
        <f>SUM(N5:N39)</f>
        <v>61422</v>
      </c>
      <c r="P45" s="95">
        <f t="shared" si="0"/>
        <v>2751374</v>
      </c>
      <c r="Q45" s="282">
        <f>SUM(Q5:Q39)</f>
        <v>-106707.33</v>
      </c>
      <c r="R45" s="96">
        <f>SUM(R5:R39)</f>
        <v>28425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2"/>
      <c r="N46" s="347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80832</v>
      </c>
      <c r="D49" s="116"/>
      <c r="E49" s="117" t="s">
        <v>10</v>
      </c>
      <c r="F49" s="118">
        <f>SUM(F5:F48)</f>
        <v>2970357</v>
      </c>
      <c r="G49" s="116"/>
      <c r="H49" s="119" t="s">
        <v>11</v>
      </c>
      <c r="I49" s="120">
        <f>SUM(I5:I48)</f>
        <v>12221</v>
      </c>
      <c r="J49" s="273"/>
      <c r="K49" s="274" t="s">
        <v>12</v>
      </c>
      <c r="L49" s="275">
        <f>SUM(L5:L48)</f>
        <v>413179.67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8" t="s">
        <v>13</v>
      </c>
      <c r="I51" s="349"/>
      <c r="J51" s="128"/>
      <c r="K51" s="350">
        <f>I49+L49</f>
        <v>425400.67</v>
      </c>
      <c r="L51" s="351"/>
      <c r="M51" s="352">
        <f>N45+M45</f>
        <v>2751374</v>
      </c>
      <c r="N51" s="353"/>
      <c r="P51" s="34"/>
      <c r="Q51" s="9"/>
    </row>
    <row r="52" spans="1:17" x14ac:dyDescent="0.25">
      <c r="D52" s="345" t="s">
        <v>14</v>
      </c>
      <c r="E52" s="345"/>
      <c r="F52" s="129">
        <f>F49-K51-C49</f>
        <v>2464124.33</v>
      </c>
      <c r="I52" s="130"/>
      <c r="J52" s="131"/>
      <c r="P52" s="34"/>
      <c r="Q52" s="9"/>
    </row>
    <row r="53" spans="1:17" x14ac:dyDescent="0.25">
      <c r="D53" s="363" t="s">
        <v>15</v>
      </c>
      <c r="E53" s="363"/>
      <c r="F53" s="124">
        <v>-2869426.04</v>
      </c>
      <c r="I53" s="364" t="s">
        <v>16</v>
      </c>
      <c r="J53" s="365"/>
      <c r="K53" s="378">
        <f>F55+F56+F57</f>
        <v>-32021.369999999937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-405301.70999999996</v>
      </c>
      <c r="H55" s="23"/>
      <c r="I55" s="139" t="s">
        <v>18</v>
      </c>
      <c r="J55" s="140"/>
      <c r="K55" s="380">
        <f>-C4</f>
        <v>-230554.55</v>
      </c>
      <c r="L55" s="381"/>
    </row>
    <row r="56" spans="1:17" ht="16.5" thickBot="1" x14ac:dyDescent="0.3">
      <c r="D56" s="141" t="s">
        <v>19</v>
      </c>
      <c r="E56" s="126" t="s">
        <v>20</v>
      </c>
      <c r="F56" s="142">
        <v>32088</v>
      </c>
    </row>
    <row r="57" spans="1:17" ht="20.25" thickTop="1" thickBot="1" x14ac:dyDescent="0.35">
      <c r="C57" s="143">
        <v>45015</v>
      </c>
      <c r="D57" s="370" t="s">
        <v>21</v>
      </c>
      <c r="E57" s="371"/>
      <c r="F57" s="144">
        <v>341192.34</v>
      </c>
      <c r="I57" s="382" t="s">
        <v>170</v>
      </c>
      <c r="J57" s="383"/>
      <c r="K57" s="384">
        <f>K53+K55</f>
        <v>-262575.91999999993</v>
      </c>
      <c r="L57" s="384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44986</v>
      </c>
      <c r="B3" s="175" t="s">
        <v>116</v>
      </c>
      <c r="C3" s="142">
        <v>56416.3</v>
      </c>
      <c r="D3" s="208"/>
      <c r="E3" s="207"/>
      <c r="F3" s="173">
        <f>C3-E3</f>
        <v>56416.3</v>
      </c>
    </row>
    <row r="4" spans="1:7" ht="22.5" customHeight="1" x14ac:dyDescent="0.25">
      <c r="A4" s="174">
        <v>44986</v>
      </c>
      <c r="B4" s="175" t="s">
        <v>117</v>
      </c>
      <c r="C4" s="142">
        <v>32587.200000000001</v>
      </c>
      <c r="D4" s="208"/>
      <c r="E4" s="207"/>
      <c r="F4" s="176">
        <f>C4-E4+F3</f>
        <v>89003.5</v>
      </c>
    </row>
    <row r="5" spans="1:7" ht="21" customHeight="1" x14ac:dyDescent="0.25">
      <c r="A5" s="174">
        <v>44987</v>
      </c>
      <c r="B5" s="175" t="s">
        <v>118</v>
      </c>
      <c r="C5" s="142">
        <v>167188.4</v>
      </c>
      <c r="D5" s="208"/>
      <c r="E5" s="207"/>
      <c r="F5" s="176">
        <f t="shared" ref="F5:F68" si="0">C5-E5+F4</f>
        <v>256191.9</v>
      </c>
    </row>
    <row r="6" spans="1:7" ht="21" customHeight="1" x14ac:dyDescent="0.3">
      <c r="A6" s="174">
        <v>44988</v>
      </c>
      <c r="B6" s="175" t="s">
        <v>119</v>
      </c>
      <c r="C6" s="142">
        <v>80004.850000000006</v>
      </c>
      <c r="D6" s="208"/>
      <c r="E6" s="207"/>
      <c r="F6" s="176">
        <f t="shared" si="0"/>
        <v>336196.75</v>
      </c>
      <c r="G6" s="177"/>
    </row>
    <row r="7" spans="1:7" ht="21" customHeight="1" x14ac:dyDescent="0.25">
      <c r="A7" s="174">
        <v>44989</v>
      </c>
      <c r="B7" s="175" t="s">
        <v>120</v>
      </c>
      <c r="C7" s="142">
        <v>111204.71</v>
      </c>
      <c r="D7" s="208"/>
      <c r="E7" s="207"/>
      <c r="F7" s="176">
        <f t="shared" si="0"/>
        <v>447401.46</v>
      </c>
    </row>
    <row r="8" spans="1:7" ht="21" customHeight="1" x14ac:dyDescent="0.25">
      <c r="A8" s="174">
        <v>44989</v>
      </c>
      <c r="B8" s="175" t="s">
        <v>121</v>
      </c>
      <c r="C8" s="142">
        <v>31158.5</v>
      </c>
      <c r="D8" s="208"/>
      <c r="E8" s="207"/>
      <c r="F8" s="176">
        <f t="shared" si="0"/>
        <v>478559.96</v>
      </c>
    </row>
    <row r="9" spans="1:7" ht="21" customHeight="1" x14ac:dyDescent="0.25">
      <c r="A9" s="174">
        <v>44989</v>
      </c>
      <c r="B9" s="175" t="s">
        <v>122</v>
      </c>
      <c r="C9" s="142">
        <v>23886.2</v>
      </c>
      <c r="D9" s="174"/>
      <c r="E9" s="142"/>
      <c r="F9" s="176">
        <f t="shared" si="0"/>
        <v>502446.16000000003</v>
      </c>
    </row>
    <row r="10" spans="1:7" ht="21" customHeight="1" x14ac:dyDescent="0.25">
      <c r="A10" s="174">
        <v>44989</v>
      </c>
      <c r="B10" s="175" t="s">
        <v>123</v>
      </c>
      <c r="C10" s="142">
        <v>10249.6</v>
      </c>
      <c r="D10" s="174"/>
      <c r="E10" s="142"/>
      <c r="F10" s="176">
        <f t="shared" si="0"/>
        <v>512695.76</v>
      </c>
    </row>
    <row r="11" spans="1:7" ht="21" customHeight="1" x14ac:dyDescent="0.25">
      <c r="A11" s="174">
        <v>44991</v>
      </c>
      <c r="B11" s="175" t="s">
        <v>124</v>
      </c>
      <c r="C11" s="142">
        <v>97973.8</v>
      </c>
      <c r="D11" s="174"/>
      <c r="E11" s="142"/>
      <c r="F11" s="176">
        <f t="shared" si="0"/>
        <v>610669.56000000006</v>
      </c>
    </row>
    <row r="12" spans="1:7" ht="21" customHeight="1" x14ac:dyDescent="0.3">
      <c r="A12" s="174">
        <v>44992</v>
      </c>
      <c r="B12" s="175" t="s">
        <v>125</v>
      </c>
      <c r="C12" s="142">
        <v>10493.52</v>
      </c>
      <c r="D12" s="174"/>
      <c r="E12" s="142"/>
      <c r="F12" s="176">
        <f t="shared" si="0"/>
        <v>621163.08000000007</v>
      </c>
      <c r="G12" s="177"/>
    </row>
    <row r="13" spans="1:7" ht="21" customHeight="1" x14ac:dyDescent="0.25">
      <c r="A13" s="174">
        <v>44992</v>
      </c>
      <c r="B13" s="175" t="s">
        <v>126</v>
      </c>
      <c r="C13" s="142">
        <v>46782.2</v>
      </c>
      <c r="D13" s="174"/>
      <c r="E13" s="142"/>
      <c r="F13" s="176">
        <f t="shared" si="0"/>
        <v>667945.28</v>
      </c>
    </row>
    <row r="14" spans="1:7" ht="21" customHeight="1" x14ac:dyDescent="0.25">
      <c r="A14" s="174">
        <v>44993</v>
      </c>
      <c r="B14" s="175" t="s">
        <v>127</v>
      </c>
      <c r="C14" s="142">
        <v>81267.320000000007</v>
      </c>
      <c r="D14" s="174"/>
      <c r="E14" s="142"/>
      <c r="F14" s="176">
        <f t="shared" si="0"/>
        <v>749212.60000000009</v>
      </c>
    </row>
    <row r="15" spans="1:7" ht="21" customHeight="1" x14ac:dyDescent="0.25">
      <c r="A15" s="174">
        <v>44995</v>
      </c>
      <c r="B15" s="175" t="s">
        <v>128</v>
      </c>
      <c r="C15" s="142">
        <v>69661.899999999994</v>
      </c>
      <c r="D15" s="174"/>
      <c r="E15" s="142"/>
      <c r="F15" s="176">
        <f t="shared" si="0"/>
        <v>818874.50000000012</v>
      </c>
    </row>
    <row r="16" spans="1:7" ht="21" customHeight="1" x14ac:dyDescent="0.25">
      <c r="A16" s="174">
        <v>44995</v>
      </c>
      <c r="B16" s="175" t="s">
        <v>129</v>
      </c>
      <c r="C16" s="142">
        <v>80384.2</v>
      </c>
      <c r="D16" s="174"/>
      <c r="E16" s="142"/>
      <c r="F16" s="176">
        <f t="shared" si="0"/>
        <v>899258.70000000007</v>
      </c>
    </row>
    <row r="17" spans="1:10" ht="21" customHeight="1" x14ac:dyDescent="0.25">
      <c r="A17" s="174">
        <v>44995</v>
      </c>
      <c r="B17" s="175" t="s">
        <v>130</v>
      </c>
      <c r="C17" s="142">
        <v>26566.799999999999</v>
      </c>
      <c r="D17" s="174"/>
      <c r="E17" s="142"/>
      <c r="F17" s="176">
        <f t="shared" si="0"/>
        <v>925825.50000000012</v>
      </c>
    </row>
    <row r="18" spans="1:10" ht="21" customHeight="1" x14ac:dyDescent="0.25">
      <c r="A18" s="174">
        <v>44995</v>
      </c>
      <c r="B18" s="175" t="s">
        <v>131</v>
      </c>
      <c r="C18" s="142">
        <v>72043.199999999997</v>
      </c>
      <c r="D18" s="174"/>
      <c r="E18" s="142"/>
      <c r="F18" s="176">
        <f t="shared" si="0"/>
        <v>997868.70000000007</v>
      </c>
    </row>
    <row r="19" spans="1:10" ht="21" customHeight="1" x14ac:dyDescent="0.25">
      <c r="A19" s="174">
        <v>44996</v>
      </c>
      <c r="B19" s="175" t="s">
        <v>132</v>
      </c>
      <c r="C19" s="142">
        <v>66052.399999999994</v>
      </c>
      <c r="D19" s="174"/>
      <c r="E19" s="142"/>
      <c r="F19" s="176">
        <f t="shared" si="0"/>
        <v>1063921.1000000001</v>
      </c>
    </row>
    <row r="20" spans="1:10" ht="21" customHeight="1" x14ac:dyDescent="0.25">
      <c r="A20" s="174">
        <v>44996</v>
      </c>
      <c r="B20" s="175" t="s">
        <v>133</v>
      </c>
      <c r="C20" s="142">
        <v>80441.600000000006</v>
      </c>
      <c r="D20" s="174"/>
      <c r="E20" s="142"/>
      <c r="F20" s="176">
        <f t="shared" si="0"/>
        <v>1144362.7000000002</v>
      </c>
    </row>
    <row r="21" spans="1:10" ht="24.75" customHeight="1" x14ac:dyDescent="0.25">
      <c r="A21" s="174">
        <v>44998</v>
      </c>
      <c r="B21" s="175" t="s">
        <v>134</v>
      </c>
      <c r="C21" s="142">
        <v>17596.8</v>
      </c>
      <c r="D21" s="291"/>
      <c r="E21" s="142"/>
      <c r="F21" s="176">
        <f t="shared" si="0"/>
        <v>1161959.5000000002</v>
      </c>
    </row>
    <row r="22" spans="1:10" ht="21" customHeight="1" x14ac:dyDescent="0.25">
      <c r="A22" s="174">
        <v>44998</v>
      </c>
      <c r="B22" s="175" t="s">
        <v>135</v>
      </c>
      <c r="C22" s="142">
        <v>75126.05</v>
      </c>
      <c r="D22" s="174"/>
      <c r="E22" s="142"/>
      <c r="F22" s="176">
        <f t="shared" si="0"/>
        <v>1237085.5500000003</v>
      </c>
    </row>
    <row r="23" spans="1:10" ht="21" customHeight="1" x14ac:dyDescent="0.25">
      <c r="A23" s="174">
        <v>44998</v>
      </c>
      <c r="B23" s="175" t="s">
        <v>136</v>
      </c>
      <c r="C23" s="142">
        <v>50218</v>
      </c>
      <c r="D23" s="174"/>
      <c r="E23" s="142"/>
      <c r="F23" s="176">
        <f t="shared" si="0"/>
        <v>1287303.5500000003</v>
      </c>
    </row>
    <row r="24" spans="1:10" ht="21" customHeight="1" x14ac:dyDescent="0.3">
      <c r="A24" s="174">
        <v>44999</v>
      </c>
      <c r="B24" s="175" t="s">
        <v>137</v>
      </c>
      <c r="C24" s="142">
        <v>50950.400000000001</v>
      </c>
      <c r="D24" s="174"/>
      <c r="E24" s="142"/>
      <c r="F24" s="176">
        <f t="shared" si="0"/>
        <v>1338253.9500000002</v>
      </c>
      <c r="G24" s="177"/>
    </row>
    <row r="25" spans="1:10" ht="21" customHeight="1" x14ac:dyDescent="0.25">
      <c r="A25" s="174">
        <v>45000</v>
      </c>
      <c r="B25" s="175" t="s">
        <v>138</v>
      </c>
      <c r="C25" s="142">
        <v>91595.02</v>
      </c>
      <c r="D25" s="174"/>
      <c r="E25" s="142"/>
      <c r="F25" s="176">
        <f t="shared" si="0"/>
        <v>1429848.9700000002</v>
      </c>
    </row>
    <row r="26" spans="1:10" ht="21" customHeight="1" x14ac:dyDescent="0.25">
      <c r="A26" s="174">
        <v>45001</v>
      </c>
      <c r="B26" s="175" t="s">
        <v>139</v>
      </c>
      <c r="C26" s="142">
        <v>157336.79999999999</v>
      </c>
      <c r="D26" s="174"/>
      <c r="E26" s="142"/>
      <c r="F26" s="176">
        <f t="shared" si="0"/>
        <v>1587185.7700000003</v>
      </c>
    </row>
    <row r="27" spans="1:10" ht="21" customHeight="1" x14ac:dyDescent="0.25">
      <c r="A27" s="174">
        <v>45001</v>
      </c>
      <c r="B27" s="175" t="s">
        <v>140</v>
      </c>
      <c r="C27" s="142">
        <v>2166</v>
      </c>
      <c r="D27" s="174"/>
      <c r="E27" s="142"/>
      <c r="F27" s="176">
        <f t="shared" si="0"/>
        <v>1589351.7700000003</v>
      </c>
    </row>
    <row r="28" spans="1:10" ht="21" customHeight="1" x14ac:dyDescent="0.25">
      <c r="A28" s="174">
        <v>45001</v>
      </c>
      <c r="B28" s="175" t="s">
        <v>141</v>
      </c>
      <c r="C28" s="142">
        <v>7987.2</v>
      </c>
      <c r="D28" s="174"/>
      <c r="E28" s="142"/>
      <c r="F28" s="176">
        <f t="shared" si="0"/>
        <v>1597338.9700000002</v>
      </c>
    </row>
    <row r="29" spans="1:10" ht="21" customHeight="1" x14ac:dyDescent="0.25">
      <c r="A29" s="174">
        <v>45002</v>
      </c>
      <c r="B29" s="175" t="s">
        <v>142</v>
      </c>
      <c r="C29" s="142">
        <v>57515.48</v>
      </c>
      <c r="D29" s="174"/>
      <c r="E29" s="142"/>
      <c r="F29" s="176">
        <f t="shared" si="0"/>
        <v>1654854.4500000002</v>
      </c>
      <c r="J29" s="142">
        <v>0</v>
      </c>
    </row>
    <row r="30" spans="1:10" ht="21" customHeight="1" x14ac:dyDescent="0.25">
      <c r="A30" s="174">
        <v>45002</v>
      </c>
      <c r="B30" s="175" t="s">
        <v>143</v>
      </c>
      <c r="C30" s="142">
        <v>155086.71</v>
      </c>
      <c r="D30" s="174"/>
      <c r="E30" s="142"/>
      <c r="F30" s="176">
        <f t="shared" si="0"/>
        <v>1809941.1600000001</v>
      </c>
      <c r="J30" s="142">
        <v>0</v>
      </c>
    </row>
    <row r="31" spans="1:10" ht="21" customHeight="1" x14ac:dyDescent="0.25">
      <c r="A31" s="174">
        <v>45003</v>
      </c>
      <c r="B31" s="175" t="s">
        <v>144</v>
      </c>
      <c r="C31" s="142">
        <v>65083.4</v>
      </c>
      <c r="D31" s="174"/>
      <c r="E31" s="142"/>
      <c r="F31" s="176">
        <f t="shared" si="0"/>
        <v>1875024.56</v>
      </c>
      <c r="J31" s="142">
        <v>0</v>
      </c>
    </row>
    <row r="32" spans="1:10" ht="21" customHeight="1" x14ac:dyDescent="0.3">
      <c r="A32" s="174">
        <v>45003</v>
      </c>
      <c r="B32" s="175" t="s">
        <v>145</v>
      </c>
      <c r="C32" s="142">
        <v>7147.8</v>
      </c>
      <c r="D32" s="174"/>
      <c r="E32" s="142"/>
      <c r="F32" s="176">
        <f t="shared" si="0"/>
        <v>1882172.36</v>
      </c>
      <c r="G32" s="177"/>
      <c r="J32" s="142">
        <v>0</v>
      </c>
    </row>
    <row r="33" spans="1:10" ht="21" customHeight="1" x14ac:dyDescent="0.25">
      <c r="A33" s="174">
        <v>45005</v>
      </c>
      <c r="B33" s="175" t="s">
        <v>146</v>
      </c>
      <c r="C33" s="142">
        <v>78851.350000000006</v>
      </c>
      <c r="D33" s="174"/>
      <c r="E33" s="142"/>
      <c r="F33" s="176">
        <f t="shared" si="0"/>
        <v>1961023.7100000002</v>
      </c>
      <c r="J33" s="142">
        <v>0</v>
      </c>
    </row>
    <row r="34" spans="1:10" ht="21" customHeight="1" x14ac:dyDescent="0.25">
      <c r="A34" s="174">
        <v>45005</v>
      </c>
      <c r="B34" s="175" t="s">
        <v>147</v>
      </c>
      <c r="C34" s="142">
        <v>43916.800000000003</v>
      </c>
      <c r="D34" s="174"/>
      <c r="E34" s="142"/>
      <c r="F34" s="176">
        <f t="shared" si="0"/>
        <v>2004940.5100000002</v>
      </c>
      <c r="J34" s="142">
        <v>0</v>
      </c>
    </row>
    <row r="35" spans="1:10" ht="18.75" customHeight="1" x14ac:dyDescent="0.25">
      <c r="A35" s="174">
        <v>45006</v>
      </c>
      <c r="B35" s="175" t="s">
        <v>148</v>
      </c>
      <c r="C35" s="142">
        <v>58371.82</v>
      </c>
      <c r="D35" s="174"/>
      <c r="E35" s="142"/>
      <c r="F35" s="176">
        <f t="shared" si="0"/>
        <v>2063312.3300000003</v>
      </c>
      <c r="J35" s="142">
        <v>0</v>
      </c>
    </row>
    <row r="36" spans="1:10" ht="18.75" customHeight="1" x14ac:dyDescent="0.25">
      <c r="A36" s="174">
        <v>45007</v>
      </c>
      <c r="B36" s="175" t="s">
        <v>149</v>
      </c>
      <c r="C36" s="142">
        <v>49800</v>
      </c>
      <c r="D36" s="174"/>
      <c r="E36" s="142"/>
      <c r="F36" s="176">
        <f t="shared" si="0"/>
        <v>2113112.33</v>
      </c>
      <c r="J36" s="126">
        <v>0</v>
      </c>
    </row>
    <row r="37" spans="1:10" ht="18.75" customHeight="1" x14ac:dyDescent="0.25">
      <c r="A37" s="174">
        <v>45008</v>
      </c>
      <c r="B37" s="175" t="s">
        <v>150</v>
      </c>
      <c r="C37" s="142">
        <v>19380</v>
      </c>
      <c r="D37" s="174"/>
      <c r="E37" s="142"/>
      <c r="F37" s="176">
        <f t="shared" si="0"/>
        <v>2132492.33</v>
      </c>
      <c r="J37" s="178">
        <f>SUM(J29:J36)</f>
        <v>0</v>
      </c>
    </row>
    <row r="38" spans="1:10" ht="18.75" customHeight="1" x14ac:dyDescent="0.25">
      <c r="A38" s="174">
        <v>45008</v>
      </c>
      <c r="B38" s="175" t="s">
        <v>151</v>
      </c>
      <c r="C38" s="142">
        <v>103725.73</v>
      </c>
      <c r="D38" s="174"/>
      <c r="E38" s="142"/>
      <c r="F38" s="176">
        <f t="shared" si="0"/>
        <v>2236218.06</v>
      </c>
    </row>
    <row r="39" spans="1:10" ht="18.75" customHeight="1" x14ac:dyDescent="0.25">
      <c r="A39" s="174">
        <v>45009</v>
      </c>
      <c r="B39" s="175" t="s">
        <v>152</v>
      </c>
      <c r="C39" s="142">
        <v>90703.66</v>
      </c>
      <c r="D39" s="174"/>
      <c r="E39" s="142"/>
      <c r="F39" s="176">
        <f t="shared" si="0"/>
        <v>2326921.7200000002</v>
      </c>
    </row>
    <row r="40" spans="1:10" ht="18.75" customHeight="1" x14ac:dyDescent="0.25">
      <c r="A40" s="174">
        <v>45009</v>
      </c>
      <c r="B40" s="175" t="s">
        <v>153</v>
      </c>
      <c r="C40" s="142">
        <v>15108</v>
      </c>
      <c r="D40" s="174"/>
      <c r="E40" s="97"/>
      <c r="F40" s="176">
        <f t="shared" si="0"/>
        <v>2342029.7200000002</v>
      </c>
    </row>
    <row r="41" spans="1:10" ht="18.75" customHeight="1" x14ac:dyDescent="0.25">
      <c r="A41" s="174">
        <v>45010</v>
      </c>
      <c r="B41" s="175" t="s">
        <v>154</v>
      </c>
      <c r="C41" s="142">
        <v>110246.96</v>
      </c>
      <c r="D41" s="174"/>
      <c r="E41" s="97"/>
      <c r="F41" s="176">
        <f t="shared" si="0"/>
        <v>2452276.6800000002</v>
      </c>
    </row>
    <row r="42" spans="1:10" ht="24" customHeight="1" x14ac:dyDescent="0.25">
      <c r="A42" s="174">
        <v>45010</v>
      </c>
      <c r="B42" s="175" t="s">
        <v>155</v>
      </c>
      <c r="C42" s="142">
        <v>73872.600000000006</v>
      </c>
      <c r="D42" s="174"/>
      <c r="E42" s="97"/>
      <c r="F42" s="176">
        <f t="shared" si="0"/>
        <v>2526149.2800000003</v>
      </c>
    </row>
    <row r="43" spans="1:10" ht="23.25" customHeight="1" x14ac:dyDescent="0.25">
      <c r="A43" s="231">
        <v>45012</v>
      </c>
      <c r="B43" s="232" t="s">
        <v>156</v>
      </c>
      <c r="C43" s="142">
        <v>18201.599999999999</v>
      </c>
      <c r="D43" s="183"/>
      <c r="E43" s="97"/>
      <c r="F43" s="176">
        <f t="shared" si="0"/>
        <v>2544350.8800000004</v>
      </c>
    </row>
    <row r="44" spans="1:10" ht="23.25" customHeight="1" x14ac:dyDescent="0.25">
      <c r="A44" s="231">
        <v>45012</v>
      </c>
      <c r="B44" s="232" t="s">
        <v>157</v>
      </c>
      <c r="C44" s="142">
        <v>80248.600000000006</v>
      </c>
      <c r="D44" s="183"/>
      <c r="E44" s="97"/>
      <c r="F44" s="176">
        <f t="shared" si="0"/>
        <v>2624599.4800000004</v>
      </c>
    </row>
    <row r="45" spans="1:10" ht="23.25" customHeight="1" x14ac:dyDescent="0.25">
      <c r="A45" s="231">
        <v>45013</v>
      </c>
      <c r="B45" s="232" t="s">
        <v>158</v>
      </c>
      <c r="C45" s="142">
        <v>103968.36</v>
      </c>
      <c r="D45" s="183"/>
      <c r="E45" s="97"/>
      <c r="F45" s="176">
        <f t="shared" si="0"/>
        <v>2728567.8400000003</v>
      </c>
    </row>
    <row r="46" spans="1:10" ht="23.25" customHeight="1" x14ac:dyDescent="0.25">
      <c r="A46" s="231">
        <v>45014</v>
      </c>
      <c r="B46" s="232" t="s">
        <v>159</v>
      </c>
      <c r="C46" s="142">
        <v>60574.6</v>
      </c>
      <c r="D46" s="183"/>
      <c r="E46" s="97"/>
      <c r="F46" s="176">
        <f t="shared" si="0"/>
        <v>2789142.4400000004</v>
      </c>
    </row>
    <row r="47" spans="1:10" ht="23.25" customHeight="1" x14ac:dyDescent="0.25">
      <c r="A47" s="231">
        <v>45015</v>
      </c>
      <c r="B47" s="232" t="s">
        <v>168</v>
      </c>
      <c r="C47" s="142">
        <v>80283.600000000006</v>
      </c>
      <c r="D47" s="183"/>
      <c r="E47" s="97"/>
      <c r="F47" s="176">
        <f t="shared" si="0"/>
        <v>2869426.0400000005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2869426.0400000005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2869426.0400000005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2869426.0400000005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2869426.0400000005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2869426.0400000005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2869426.0400000005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2869426.0400000005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2869426.0400000005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2869426.0400000005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2869426.0400000005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2869426.0400000005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2869426.0400000005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2869426.0400000005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2869426.0400000005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2869426.0400000005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2869426.0400000005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2869426.0400000005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2869426.0400000005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2869426.0400000005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2869426.0400000005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2869426.0400000005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2869426.0400000005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2869426.0400000005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2869426.0400000005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2869426.0400000005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2869426.0400000005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2869426.0400000005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2869426.0400000005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2869426.0400000005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2869426.0400000005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2869426.0400000005</v>
      </c>
    </row>
    <row r="79" spans="1:6" ht="19.5" thickBot="1" x14ac:dyDescent="0.35">
      <c r="A79" s="188"/>
      <c r="B79" s="189"/>
      <c r="C79" s="190">
        <f>SUM(C3:C78)</f>
        <v>2869426.0400000005</v>
      </c>
      <c r="D79" s="168"/>
      <c r="E79" s="191">
        <f>SUM(E3:E78)</f>
        <v>0</v>
      </c>
      <c r="F79" s="192">
        <f>F78</f>
        <v>2869426.0400000005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171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39" t="s">
        <v>4</v>
      </c>
      <c r="F4" s="340"/>
      <c r="H4" s="341" t="s">
        <v>5</v>
      </c>
      <c r="I4" s="342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86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H5" s="29">
        <v>45016</v>
      </c>
      <c r="I5" s="30">
        <v>48</v>
      </c>
      <c r="J5" s="235"/>
      <c r="K5" s="241"/>
      <c r="L5" s="13"/>
      <c r="M5" s="31">
        <f>23000+77372</f>
        <v>100372</v>
      </c>
      <c r="N5" s="32">
        <v>0</v>
      </c>
      <c r="O5" s="33"/>
      <c r="P5" s="222">
        <f>N5+M5+L5+I5+C5</f>
        <v>111233</v>
      </c>
      <c r="Q5" s="223">
        <v>0</v>
      </c>
      <c r="R5" s="224">
        <v>4937</v>
      </c>
      <c r="S5" s="33"/>
    </row>
    <row r="6" spans="1:21" ht="18" thickBot="1" x14ac:dyDescent="0.35">
      <c r="A6" s="23"/>
      <c r="B6" s="24">
        <v>45017</v>
      </c>
      <c r="C6" s="25">
        <v>0</v>
      </c>
      <c r="D6" s="35"/>
      <c r="E6" s="27">
        <v>45017</v>
      </c>
      <c r="F6" s="28">
        <v>54760</v>
      </c>
      <c r="H6" s="29">
        <v>45017</v>
      </c>
      <c r="I6" s="30">
        <v>167</v>
      </c>
      <c r="J6" s="242">
        <v>45017</v>
      </c>
      <c r="K6" s="68" t="s">
        <v>204</v>
      </c>
      <c r="L6" s="243">
        <v>10739</v>
      </c>
      <c r="M6" s="31">
        <f>16155+21400</f>
        <v>37555</v>
      </c>
      <c r="N6" s="32">
        <v>7523</v>
      </c>
      <c r="O6" s="33"/>
      <c r="P6" s="222">
        <f>N6+M6+L6+I6+C6</f>
        <v>55984</v>
      </c>
      <c r="Q6" s="223">
        <v>0</v>
      </c>
      <c r="R6" s="224">
        <v>1224</v>
      </c>
      <c r="S6" s="33"/>
      <c r="T6" s="9"/>
    </row>
    <row r="7" spans="1:21" ht="18" thickBot="1" x14ac:dyDescent="0.35">
      <c r="A7" s="23"/>
      <c r="B7" s="24">
        <v>45018</v>
      </c>
      <c r="C7" s="25">
        <v>0</v>
      </c>
      <c r="D7" s="39"/>
      <c r="E7" s="27">
        <v>45018</v>
      </c>
      <c r="F7" s="28">
        <v>58215</v>
      </c>
      <c r="H7" s="29">
        <v>45018</v>
      </c>
      <c r="I7" s="30">
        <v>0</v>
      </c>
      <c r="J7" s="242">
        <v>45018</v>
      </c>
      <c r="K7" s="99" t="s">
        <v>205</v>
      </c>
      <c r="L7" s="243">
        <v>15000</v>
      </c>
      <c r="M7" s="31">
        <f>51500+8756</f>
        <v>60256</v>
      </c>
      <c r="N7" s="32">
        <v>3066</v>
      </c>
      <c r="O7" s="33"/>
      <c r="P7" s="222">
        <f>N7+M7+L7+I7+C7</f>
        <v>78322</v>
      </c>
      <c r="Q7" s="223">
        <v>0</v>
      </c>
      <c r="R7" s="224">
        <v>20107</v>
      </c>
      <c r="S7" s="33"/>
    </row>
    <row r="8" spans="1:21" ht="18" thickBot="1" x14ac:dyDescent="0.35">
      <c r="A8" s="23"/>
      <c r="B8" s="24">
        <v>45019</v>
      </c>
      <c r="C8" s="25">
        <v>1705</v>
      </c>
      <c r="D8" s="39" t="s">
        <v>206</v>
      </c>
      <c r="E8" s="27">
        <v>45019</v>
      </c>
      <c r="F8" s="28">
        <v>69516</v>
      </c>
      <c r="H8" s="29">
        <v>45019</v>
      </c>
      <c r="I8" s="30">
        <v>134</v>
      </c>
      <c r="J8" s="242"/>
      <c r="K8" s="244"/>
      <c r="L8" s="243"/>
      <c r="M8" s="31">
        <f>59877+7800</f>
        <v>67677</v>
      </c>
      <c r="N8" s="32">
        <v>0</v>
      </c>
      <c r="O8" s="33"/>
      <c r="P8" s="222">
        <f t="shared" ref="P8:P45" si="0">N8+M8+L8+I8+C8</f>
        <v>69516</v>
      </c>
      <c r="Q8" s="223">
        <f t="shared" ref="Q8:Q41" si="1">P8-F8</f>
        <v>0</v>
      </c>
      <c r="R8" s="225">
        <v>0</v>
      </c>
      <c r="S8" s="33"/>
    </row>
    <row r="9" spans="1:21" ht="18" thickBot="1" x14ac:dyDescent="0.35">
      <c r="A9" s="23"/>
      <c r="B9" s="24">
        <v>45020</v>
      </c>
      <c r="C9" s="25">
        <v>3000</v>
      </c>
      <c r="D9" s="43" t="s">
        <v>67</v>
      </c>
      <c r="E9" s="27">
        <v>45020</v>
      </c>
      <c r="F9" s="28">
        <v>79247</v>
      </c>
      <c r="H9" s="29">
        <v>45020</v>
      </c>
      <c r="I9" s="30">
        <v>140</v>
      </c>
      <c r="J9" s="242"/>
      <c r="K9" s="245"/>
      <c r="L9" s="243"/>
      <c r="M9" s="31">
        <f>68177+6500</f>
        <v>74677</v>
      </c>
      <c r="N9" s="283">
        <f>554+118+758</f>
        <v>1430</v>
      </c>
      <c r="O9" s="33"/>
      <c r="P9" s="222">
        <f t="shared" si="0"/>
        <v>79247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45021</v>
      </c>
      <c r="C10" s="25">
        <v>0</v>
      </c>
      <c r="D10" s="35"/>
      <c r="E10" s="27">
        <v>45021</v>
      </c>
      <c r="F10" s="28">
        <v>58852</v>
      </c>
      <c r="H10" s="29">
        <v>45021</v>
      </c>
      <c r="I10" s="30">
        <v>638.5</v>
      </c>
      <c r="J10" s="242"/>
      <c r="K10" s="246"/>
      <c r="L10" s="247"/>
      <c r="M10" s="31">
        <v>58098</v>
      </c>
      <c r="N10" s="32">
        <v>116</v>
      </c>
      <c r="O10" s="33"/>
      <c r="P10" s="222">
        <f>N10+M10+L10+I10+C10</f>
        <v>58852.5</v>
      </c>
      <c r="Q10" s="223">
        <f t="shared" si="1"/>
        <v>0.5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5"/>
      <c r="E11" s="27">
        <v>45022</v>
      </c>
      <c r="F11" s="28">
        <v>76525</v>
      </c>
      <c r="H11" s="29">
        <v>45022</v>
      </c>
      <c r="I11" s="30">
        <v>38</v>
      </c>
      <c r="J11" s="242"/>
      <c r="K11" s="245"/>
      <c r="L11" s="243"/>
      <c r="M11" s="31">
        <f>55350+18800</f>
        <v>74150</v>
      </c>
      <c r="N11" s="32">
        <v>2337</v>
      </c>
      <c r="O11" s="33"/>
      <c r="P11" s="222">
        <f>N11+M11+L11+I11+C11</f>
        <v>76525</v>
      </c>
      <c r="Q11" s="223">
        <f t="shared" si="1"/>
        <v>0</v>
      </c>
      <c r="R11" s="225">
        <v>0</v>
      </c>
      <c r="S11" s="33"/>
    </row>
    <row r="12" spans="1:21" ht="18" thickBot="1" x14ac:dyDescent="0.35">
      <c r="A12" s="23"/>
      <c r="B12" s="24">
        <v>45023</v>
      </c>
      <c r="C12" s="25">
        <v>0</v>
      </c>
      <c r="D12" s="35"/>
      <c r="E12" s="27">
        <v>45023</v>
      </c>
      <c r="F12" s="28">
        <v>26495</v>
      </c>
      <c r="H12" s="29">
        <v>45023</v>
      </c>
      <c r="I12" s="30">
        <v>119</v>
      </c>
      <c r="J12" s="242"/>
      <c r="K12" s="248"/>
      <c r="L12" s="243"/>
      <c r="M12" s="31">
        <v>23608</v>
      </c>
      <c r="N12" s="32">
        <v>2768</v>
      </c>
      <c r="O12" s="33"/>
      <c r="P12" s="222">
        <f t="shared" si="0"/>
        <v>26495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45024</v>
      </c>
      <c r="C13" s="25">
        <v>15544</v>
      </c>
      <c r="D13" s="39" t="s">
        <v>166</v>
      </c>
      <c r="E13" s="27">
        <v>45024</v>
      </c>
      <c r="F13" s="28">
        <v>82208</v>
      </c>
      <c r="H13" s="29">
        <v>45024</v>
      </c>
      <c r="I13" s="30">
        <v>189</v>
      </c>
      <c r="J13" s="242">
        <v>45024</v>
      </c>
      <c r="K13" s="68" t="s">
        <v>207</v>
      </c>
      <c r="L13" s="243">
        <v>7239</v>
      </c>
      <c r="M13" s="31">
        <f>23050+32080</f>
        <v>55130</v>
      </c>
      <c r="N13" s="32">
        <v>9926</v>
      </c>
      <c r="O13" s="33"/>
      <c r="P13" s="222">
        <f t="shared" si="0"/>
        <v>88028</v>
      </c>
      <c r="Q13" s="223">
        <v>0</v>
      </c>
      <c r="R13" s="224">
        <v>5820</v>
      </c>
      <c r="S13" s="33"/>
    </row>
    <row r="14" spans="1:21" ht="18" thickBot="1" x14ac:dyDescent="0.35">
      <c r="A14" s="23"/>
      <c r="B14" s="24">
        <v>45025</v>
      </c>
      <c r="C14" s="25">
        <v>0</v>
      </c>
      <c r="D14" s="43"/>
      <c r="E14" s="27">
        <v>45025</v>
      </c>
      <c r="F14" s="28">
        <v>86179</v>
      </c>
      <c r="H14" s="29">
        <v>45025</v>
      </c>
      <c r="I14" s="30">
        <v>179</v>
      </c>
      <c r="J14" s="242"/>
      <c r="K14" s="244"/>
      <c r="L14" s="243"/>
      <c r="M14" s="31">
        <f>82700+3300</f>
        <v>86000</v>
      </c>
      <c r="N14" s="32">
        <v>0</v>
      </c>
      <c r="O14" s="33"/>
      <c r="P14" s="222">
        <f t="shared" si="0"/>
        <v>86179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45026</v>
      </c>
      <c r="C15" s="25">
        <v>0</v>
      </c>
      <c r="D15" s="43"/>
      <c r="E15" s="27">
        <v>45026</v>
      </c>
      <c r="F15" s="28">
        <v>87173</v>
      </c>
      <c r="H15" s="29">
        <v>45026</v>
      </c>
      <c r="I15" s="30">
        <v>158</v>
      </c>
      <c r="J15" s="242"/>
      <c r="K15" s="244"/>
      <c r="L15" s="243"/>
      <c r="M15" s="31">
        <f>56000+30322</f>
        <v>86322</v>
      </c>
      <c r="N15" s="32">
        <v>693</v>
      </c>
      <c r="O15" s="33"/>
      <c r="P15" s="222">
        <f t="shared" si="0"/>
        <v>87173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45027</v>
      </c>
      <c r="C16" s="25">
        <v>2730</v>
      </c>
      <c r="D16" s="49" t="s">
        <v>67</v>
      </c>
      <c r="E16" s="27">
        <v>45027</v>
      </c>
      <c r="F16" s="28">
        <v>97690</v>
      </c>
      <c r="H16" s="29">
        <v>45027</v>
      </c>
      <c r="I16" s="30">
        <v>10</v>
      </c>
      <c r="J16" s="242"/>
      <c r="K16" s="244"/>
      <c r="L16" s="13"/>
      <c r="M16" s="31">
        <f>62159+32000</f>
        <v>94159</v>
      </c>
      <c r="N16" s="32">
        <v>1594</v>
      </c>
      <c r="O16" s="33"/>
      <c r="P16" s="222">
        <f t="shared" si="0"/>
        <v>98493</v>
      </c>
      <c r="Q16" s="284">
        <f t="shared" si="1"/>
        <v>803</v>
      </c>
      <c r="R16" s="225">
        <v>0</v>
      </c>
      <c r="S16" s="33"/>
    </row>
    <row r="17" spans="1:20" ht="18" thickBot="1" x14ac:dyDescent="0.35">
      <c r="A17" s="23"/>
      <c r="B17" s="24">
        <v>45028</v>
      </c>
      <c r="C17" s="25">
        <v>0</v>
      </c>
      <c r="D17" s="43"/>
      <c r="E17" s="27">
        <v>45028</v>
      </c>
      <c r="F17" s="28">
        <v>27439</v>
      </c>
      <c r="H17" s="29">
        <v>45028</v>
      </c>
      <c r="I17" s="30">
        <v>184</v>
      </c>
      <c r="J17" s="242"/>
      <c r="K17" s="244"/>
      <c r="L17" s="247"/>
      <c r="M17" s="31">
        <v>27255</v>
      </c>
      <c r="N17" s="32">
        <v>0</v>
      </c>
      <c r="O17" s="33"/>
      <c r="P17" s="222">
        <f t="shared" si="0"/>
        <v>27439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45029</v>
      </c>
      <c r="C18" s="25">
        <v>0</v>
      </c>
      <c r="D18" s="35"/>
      <c r="E18" s="27">
        <v>45029</v>
      </c>
      <c r="F18" s="28">
        <v>54142</v>
      </c>
      <c r="H18" s="29">
        <v>45029</v>
      </c>
      <c r="I18" s="30">
        <v>35</v>
      </c>
      <c r="J18" s="242"/>
      <c r="K18" s="249"/>
      <c r="L18" s="243"/>
      <c r="M18" s="31">
        <f>11100+42300</f>
        <v>53400</v>
      </c>
      <c r="N18" s="32">
        <v>707</v>
      </c>
      <c r="O18" s="33"/>
      <c r="P18" s="222">
        <f t="shared" si="0"/>
        <v>54142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45030</v>
      </c>
      <c r="C19" s="25">
        <v>18033</v>
      </c>
      <c r="D19" s="35" t="s">
        <v>166</v>
      </c>
      <c r="E19" s="27">
        <v>45030</v>
      </c>
      <c r="F19" s="28">
        <v>84430</v>
      </c>
      <c r="H19" s="29">
        <v>45030</v>
      </c>
      <c r="I19" s="30">
        <v>145</v>
      </c>
      <c r="J19" s="242"/>
      <c r="K19" s="250"/>
      <c r="L19" s="251"/>
      <c r="M19" s="31">
        <f>29100+34172</f>
        <v>63272</v>
      </c>
      <c r="N19" s="32">
        <v>2980</v>
      </c>
      <c r="O19" s="33"/>
      <c r="P19" s="222">
        <f t="shared" si="0"/>
        <v>84430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45031</v>
      </c>
      <c r="C20" s="25">
        <v>480</v>
      </c>
      <c r="D20" s="35" t="s">
        <v>67</v>
      </c>
      <c r="E20" s="27">
        <v>45031</v>
      </c>
      <c r="F20" s="28">
        <v>105928</v>
      </c>
      <c r="H20" s="29">
        <v>45031</v>
      </c>
      <c r="I20" s="30">
        <v>142</v>
      </c>
      <c r="J20" s="242">
        <v>45031</v>
      </c>
      <c r="K20" s="246" t="s">
        <v>208</v>
      </c>
      <c r="L20" s="247">
        <v>4700</v>
      </c>
      <c r="M20" s="31">
        <f>36600+60133</f>
        <v>96733</v>
      </c>
      <c r="N20" s="32">
        <v>3873</v>
      </c>
      <c r="O20" s="33"/>
      <c r="P20" s="222">
        <f t="shared" si="0"/>
        <v>105928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45032</v>
      </c>
      <c r="C21" s="25">
        <v>0</v>
      </c>
      <c r="D21" s="35"/>
      <c r="E21" s="27">
        <v>45032</v>
      </c>
      <c r="F21" s="28">
        <v>75916</v>
      </c>
      <c r="H21" s="29">
        <v>45032</v>
      </c>
      <c r="I21" s="30">
        <v>0</v>
      </c>
      <c r="J21" s="242"/>
      <c r="K21" s="252"/>
      <c r="L21" s="247"/>
      <c r="M21" s="31">
        <f>55600+16340</f>
        <v>71940</v>
      </c>
      <c r="N21" s="32">
        <v>3976</v>
      </c>
      <c r="O21" s="33"/>
      <c r="P21" s="222">
        <f t="shared" si="0"/>
        <v>75916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45033</v>
      </c>
      <c r="C22" s="25">
        <v>0</v>
      </c>
      <c r="D22" s="35"/>
      <c r="E22" s="27">
        <v>45033</v>
      </c>
      <c r="F22" s="28">
        <v>45261</v>
      </c>
      <c r="H22" s="29">
        <v>45033</v>
      </c>
      <c r="I22" s="30">
        <v>109</v>
      </c>
      <c r="J22" s="242">
        <v>45033</v>
      </c>
      <c r="K22" s="285" t="s">
        <v>209</v>
      </c>
      <c r="L22" s="253">
        <v>10000</v>
      </c>
      <c r="M22" s="31">
        <f>11000+23187</f>
        <v>34187</v>
      </c>
      <c r="N22" s="32">
        <v>965</v>
      </c>
      <c r="O22" s="33"/>
      <c r="P22" s="222">
        <f t="shared" si="0"/>
        <v>45261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45034</v>
      </c>
      <c r="C23" s="25">
        <v>0</v>
      </c>
      <c r="D23" s="43"/>
      <c r="E23" s="27">
        <v>45034</v>
      </c>
      <c r="F23" s="28">
        <v>49176</v>
      </c>
      <c r="H23" s="29">
        <v>45034</v>
      </c>
      <c r="I23" s="30">
        <v>42</v>
      </c>
      <c r="J23" s="254"/>
      <c r="K23" s="255"/>
      <c r="L23" s="247"/>
      <c r="M23" s="31">
        <f>8100+40533</f>
        <v>48633</v>
      </c>
      <c r="N23" s="32">
        <v>501</v>
      </c>
      <c r="O23" s="33"/>
      <c r="P23" s="222">
        <f t="shared" si="0"/>
        <v>49176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45035</v>
      </c>
      <c r="C24" s="25">
        <v>0</v>
      </c>
      <c r="D24" s="39"/>
      <c r="E24" s="27">
        <v>45035</v>
      </c>
      <c r="F24" s="28">
        <v>83504</v>
      </c>
      <c r="H24" s="29">
        <v>45035</v>
      </c>
      <c r="I24" s="30">
        <v>111</v>
      </c>
      <c r="J24" s="256"/>
      <c r="K24" s="255"/>
      <c r="L24" s="257"/>
      <c r="M24" s="31">
        <f>8500+71869</f>
        <v>80369</v>
      </c>
      <c r="N24" s="32">
        <v>3024</v>
      </c>
      <c r="O24" s="33"/>
      <c r="P24" s="222">
        <f t="shared" si="0"/>
        <v>83504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45036</v>
      </c>
      <c r="C25" s="25">
        <v>2400</v>
      </c>
      <c r="D25" s="35" t="s">
        <v>67</v>
      </c>
      <c r="E25" s="27">
        <v>45036</v>
      </c>
      <c r="F25" s="28">
        <v>78726</v>
      </c>
      <c r="H25" s="29">
        <v>45036</v>
      </c>
      <c r="I25" s="30">
        <v>70</v>
      </c>
      <c r="J25" s="258"/>
      <c r="K25" s="259"/>
      <c r="L25" s="260"/>
      <c r="M25" s="31">
        <f>16600+59656</f>
        <v>76256</v>
      </c>
      <c r="N25" s="32">
        <v>0</v>
      </c>
      <c r="O25" s="33"/>
      <c r="P25" s="222">
        <f t="shared" si="0"/>
        <v>78726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45037</v>
      </c>
      <c r="C26" s="25">
        <v>14471</v>
      </c>
      <c r="D26" s="35" t="s">
        <v>69</v>
      </c>
      <c r="E26" s="27">
        <v>45037</v>
      </c>
      <c r="F26" s="28">
        <v>86916</v>
      </c>
      <c r="H26" s="29">
        <v>45037</v>
      </c>
      <c r="I26" s="30">
        <v>219</v>
      </c>
      <c r="J26" s="242"/>
      <c r="K26" s="255"/>
      <c r="L26" s="247"/>
      <c r="M26" s="31">
        <f>67849</f>
        <v>67849</v>
      </c>
      <c r="N26" s="32">
        <v>4377</v>
      </c>
      <c r="O26" s="33"/>
      <c r="P26" s="222">
        <f t="shared" si="0"/>
        <v>86916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45038</v>
      </c>
      <c r="C27" s="25">
        <v>0</v>
      </c>
      <c r="D27" s="39"/>
      <c r="E27" s="27">
        <v>45038</v>
      </c>
      <c r="F27" s="28">
        <v>89280</v>
      </c>
      <c r="H27" s="29">
        <v>45038</v>
      </c>
      <c r="I27" s="30">
        <v>71</v>
      </c>
      <c r="J27" s="261">
        <v>45038</v>
      </c>
      <c r="K27" s="259" t="s">
        <v>210</v>
      </c>
      <c r="L27" s="260">
        <v>9000</v>
      </c>
      <c r="M27" s="31">
        <f>30700+41154</f>
        <v>71854</v>
      </c>
      <c r="N27" s="32">
        <v>8355</v>
      </c>
      <c r="O27" s="33"/>
      <c r="P27" s="222">
        <f t="shared" si="0"/>
        <v>89280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45039</v>
      </c>
      <c r="C28" s="25">
        <v>480</v>
      </c>
      <c r="D28" s="39" t="s">
        <v>100</v>
      </c>
      <c r="E28" s="27">
        <v>45039</v>
      </c>
      <c r="F28" s="28">
        <v>113440</v>
      </c>
      <c r="H28" s="29">
        <v>45039</v>
      </c>
      <c r="I28" s="30">
        <v>15</v>
      </c>
      <c r="J28" s="262"/>
      <c r="K28" s="68"/>
      <c r="L28" s="260"/>
      <c r="M28" s="31">
        <f>100600+8707</f>
        <v>109307</v>
      </c>
      <c r="N28" s="32">
        <v>3638</v>
      </c>
      <c r="O28" s="33"/>
      <c r="P28" s="222">
        <f t="shared" si="0"/>
        <v>113440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45040</v>
      </c>
      <c r="C29" s="25">
        <v>2730</v>
      </c>
      <c r="D29" s="69" t="s">
        <v>67</v>
      </c>
      <c r="E29" s="27">
        <v>45040</v>
      </c>
      <c r="F29" s="28">
        <v>121430</v>
      </c>
      <c r="H29" s="29">
        <v>45040</v>
      </c>
      <c r="I29" s="30">
        <v>148</v>
      </c>
      <c r="J29" s="261"/>
      <c r="K29" s="263"/>
      <c r="L29" s="260"/>
      <c r="M29" s="31">
        <f>10000+106763</f>
        <v>116763</v>
      </c>
      <c r="N29" s="32">
        <v>1789</v>
      </c>
      <c r="O29" s="33"/>
      <c r="P29" s="222">
        <f t="shared" si="0"/>
        <v>121430</v>
      </c>
      <c r="Q29" s="223">
        <f t="shared" si="1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45041</v>
      </c>
      <c r="C30" s="25">
        <v>0</v>
      </c>
      <c r="D30" s="69"/>
      <c r="E30" s="27">
        <v>45041</v>
      </c>
      <c r="F30" s="28">
        <v>74729</v>
      </c>
      <c r="H30" s="29">
        <v>45041</v>
      </c>
      <c r="I30" s="30">
        <v>18</v>
      </c>
      <c r="J30" s="83"/>
      <c r="K30" s="264"/>
      <c r="L30" s="265"/>
      <c r="M30" s="31">
        <f>7500+66346</f>
        <v>73846</v>
      </c>
      <c r="N30" s="32">
        <v>865</v>
      </c>
      <c r="O30" s="33"/>
      <c r="P30" s="222">
        <f t="shared" si="0"/>
        <v>74729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45042</v>
      </c>
      <c r="C31" s="25">
        <v>1894</v>
      </c>
      <c r="D31" s="74" t="s">
        <v>211</v>
      </c>
      <c r="E31" s="27">
        <v>45042</v>
      </c>
      <c r="F31" s="28">
        <v>56424</v>
      </c>
      <c r="H31" s="29">
        <v>45042</v>
      </c>
      <c r="I31" s="30">
        <v>101</v>
      </c>
      <c r="J31" s="83"/>
      <c r="K31" s="266"/>
      <c r="L31" s="267"/>
      <c r="M31" s="31">
        <v>54429</v>
      </c>
      <c r="N31" s="32">
        <v>0</v>
      </c>
      <c r="O31" s="33"/>
      <c r="P31" s="222">
        <f t="shared" si="0"/>
        <v>56424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45043</v>
      </c>
      <c r="C32" s="25">
        <v>0</v>
      </c>
      <c r="D32" s="79"/>
      <c r="E32" s="27">
        <v>45043</v>
      </c>
      <c r="F32" s="28">
        <v>85938</v>
      </c>
      <c r="H32" s="29">
        <v>45043</v>
      </c>
      <c r="I32" s="30">
        <v>112</v>
      </c>
      <c r="J32" s="83"/>
      <c r="K32" s="264"/>
      <c r="L32" s="265"/>
      <c r="M32" s="31">
        <f>68685+13000</f>
        <v>81685</v>
      </c>
      <c r="N32" s="32">
        <v>4141</v>
      </c>
      <c r="O32" s="33"/>
      <c r="P32" s="222">
        <f t="shared" si="0"/>
        <v>85938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45044</v>
      </c>
      <c r="C33" s="25">
        <v>9194</v>
      </c>
      <c r="D33" s="77" t="s">
        <v>69</v>
      </c>
      <c r="E33" s="27">
        <v>45044</v>
      </c>
      <c r="F33" s="28">
        <v>136049</v>
      </c>
      <c r="H33" s="29">
        <v>45044</v>
      </c>
      <c r="I33" s="30">
        <v>81</v>
      </c>
      <c r="J33" s="83"/>
      <c r="K33" s="266"/>
      <c r="L33" s="203"/>
      <c r="M33" s="31">
        <f>33600+91736</f>
        <v>125336</v>
      </c>
      <c r="N33" s="32">
        <v>1438</v>
      </c>
      <c r="O33" s="33"/>
      <c r="P33" s="222">
        <f t="shared" si="0"/>
        <v>136049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45045</v>
      </c>
      <c r="C34" s="25">
        <v>3549</v>
      </c>
      <c r="D34" s="79" t="s">
        <v>69</v>
      </c>
      <c r="E34" s="27">
        <v>45045</v>
      </c>
      <c r="F34" s="28">
        <v>79034</v>
      </c>
      <c r="H34" s="29">
        <v>45045</v>
      </c>
      <c r="I34" s="30">
        <v>167</v>
      </c>
      <c r="J34" s="83">
        <v>45045</v>
      </c>
      <c r="K34" s="80" t="s">
        <v>212</v>
      </c>
      <c r="L34" s="268">
        <v>9352</v>
      </c>
      <c r="M34" s="31">
        <f>12700+48441</f>
        <v>61141</v>
      </c>
      <c r="N34" s="32">
        <v>4825</v>
      </c>
      <c r="O34" s="33"/>
      <c r="P34" s="222">
        <f t="shared" si="0"/>
        <v>79034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>
        <v>45046</v>
      </c>
      <c r="C35" s="25">
        <v>0</v>
      </c>
      <c r="D35" s="74"/>
      <c r="E35" s="27">
        <v>45046</v>
      </c>
      <c r="F35" s="28">
        <v>65712</v>
      </c>
      <c r="H35" s="29">
        <v>45046</v>
      </c>
      <c r="I35" s="30">
        <v>22</v>
      </c>
      <c r="J35" s="83"/>
      <c r="K35" s="266"/>
      <c r="L35" s="203"/>
      <c r="M35" s="31">
        <f>55500+9676</f>
        <v>65176</v>
      </c>
      <c r="N35" s="32">
        <v>514</v>
      </c>
      <c r="O35" s="33"/>
      <c r="P35" s="222">
        <f t="shared" si="0"/>
        <v>65712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>
        <v>45047</v>
      </c>
      <c r="C36" s="25">
        <v>0</v>
      </c>
      <c r="D36" s="82"/>
      <c r="E36" s="27">
        <v>45047</v>
      </c>
      <c r="F36" s="28">
        <v>131263</v>
      </c>
      <c r="H36" s="29">
        <v>45047</v>
      </c>
      <c r="I36" s="30">
        <v>75</v>
      </c>
      <c r="J36" s="83"/>
      <c r="K36" s="269"/>
      <c r="L36" s="203"/>
      <c r="M36" s="31">
        <f>20900+108362</f>
        <v>129262</v>
      </c>
      <c r="N36" s="32">
        <v>1926</v>
      </c>
      <c r="O36" s="33"/>
      <c r="P36" s="222">
        <f t="shared" si="0"/>
        <v>131263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>
        <v>45048</v>
      </c>
      <c r="C37" s="25">
        <v>3900</v>
      </c>
      <c r="D37" s="79" t="s">
        <v>213</v>
      </c>
      <c r="E37" s="27">
        <v>45048</v>
      </c>
      <c r="F37" s="28">
        <v>70706</v>
      </c>
      <c r="H37" s="29">
        <v>45048</v>
      </c>
      <c r="I37" s="30">
        <v>24</v>
      </c>
      <c r="J37" s="83"/>
      <c r="K37" s="270"/>
      <c r="L37" s="203"/>
      <c r="M37" s="31">
        <f>35600+30790</f>
        <v>66390</v>
      </c>
      <c r="N37" s="32">
        <v>392</v>
      </c>
      <c r="O37" s="33"/>
      <c r="P37" s="222">
        <f t="shared" si="0"/>
        <v>70706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45049</v>
      </c>
      <c r="C38" s="25">
        <v>0</v>
      </c>
      <c r="D38" s="77"/>
      <c r="E38" s="27">
        <v>45049</v>
      </c>
      <c r="F38" s="28">
        <v>44693</v>
      </c>
      <c r="H38" s="29">
        <v>45049</v>
      </c>
      <c r="I38" s="30">
        <v>210</v>
      </c>
      <c r="J38" s="83"/>
      <c r="K38" s="266"/>
      <c r="L38" s="203"/>
      <c r="M38" s="31">
        <v>44383</v>
      </c>
      <c r="N38" s="32">
        <v>100</v>
      </c>
      <c r="O38" s="33"/>
      <c r="P38" s="222">
        <f t="shared" si="0"/>
        <v>44693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45050</v>
      </c>
      <c r="C39" s="25">
        <v>0</v>
      </c>
      <c r="D39" s="77"/>
      <c r="E39" s="27">
        <v>45050</v>
      </c>
      <c r="F39" s="28">
        <v>52115</v>
      </c>
      <c r="H39" s="29">
        <v>45050</v>
      </c>
      <c r="I39" s="30">
        <v>5</v>
      </c>
      <c r="J39" s="83"/>
      <c r="K39" s="218"/>
      <c r="L39" s="265"/>
      <c r="M39" s="31">
        <f>14000+37239</f>
        <v>51239</v>
      </c>
      <c r="N39" s="32">
        <v>871</v>
      </c>
      <c r="O39" s="33"/>
      <c r="P39" s="222">
        <f t="shared" si="0"/>
        <v>52115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f t="shared" si="0"/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45026</v>
      </c>
      <c r="K41" s="288" t="s">
        <v>227</v>
      </c>
      <c r="L41" s="265">
        <v>1225.1199999999999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45033</v>
      </c>
      <c r="K42" s="218" t="s">
        <v>108</v>
      </c>
      <c r="L42" s="265">
        <v>1392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45033</v>
      </c>
      <c r="K43" s="296" t="s">
        <v>230</v>
      </c>
      <c r="L43" s="265">
        <v>14500</v>
      </c>
      <c r="M43" s="31">
        <v>0</v>
      </c>
      <c r="N43" s="32">
        <v>0</v>
      </c>
      <c r="O43" s="33"/>
      <c r="P43" s="227">
        <f t="shared" si="0"/>
        <v>14500</v>
      </c>
      <c r="Q43" s="228">
        <f t="shared" si="2"/>
        <v>14500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>
        <v>45042</v>
      </c>
      <c r="K44" s="218" t="s">
        <v>109</v>
      </c>
      <c r="L44" s="265">
        <v>1031.47</v>
      </c>
      <c r="M44" s="89">
        <v>0</v>
      </c>
      <c r="N44" s="90"/>
      <c r="O44" s="33"/>
      <c r="P44" s="34">
        <f t="shared" si="0"/>
        <v>1031.47</v>
      </c>
      <c r="Q44" s="13">
        <f t="shared" si="2"/>
        <v>1031.47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294">
        <v>45050</v>
      </c>
      <c r="K45" s="293" t="s">
        <v>228</v>
      </c>
      <c r="L45" s="295">
        <v>2123.98</v>
      </c>
      <c r="M45" s="361">
        <f>SUM(M5:M39)</f>
        <v>2488709</v>
      </c>
      <c r="N45" s="346">
        <f>SUM(N5:N39)</f>
        <v>78710</v>
      </c>
      <c r="P45" s="95">
        <f t="shared" si="0"/>
        <v>2569542.98</v>
      </c>
      <c r="Q45" s="96">
        <f>SUM(Q5:Q39)</f>
        <v>803.5</v>
      </c>
      <c r="R45" s="96">
        <f>SUM(R5:R39)</f>
        <v>32088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>
        <v>45037</v>
      </c>
      <c r="K46" s="289" t="s">
        <v>229</v>
      </c>
      <c r="L46" s="265">
        <v>34015</v>
      </c>
      <c r="M46" s="362"/>
      <c r="N46" s="347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90923</v>
      </c>
      <c r="D49" s="116"/>
      <c r="E49" s="117" t="s">
        <v>10</v>
      </c>
      <c r="F49" s="118">
        <f>SUM(F5:F48)</f>
        <v>2695407</v>
      </c>
      <c r="G49" s="116"/>
      <c r="H49" s="119" t="s">
        <v>11</v>
      </c>
      <c r="I49" s="120">
        <f>SUM(I5:I48)</f>
        <v>3926.5</v>
      </c>
      <c r="J49" s="273"/>
      <c r="K49" s="274" t="s">
        <v>12</v>
      </c>
      <c r="L49" s="275">
        <f>SUM(L5:L48)</f>
        <v>120317.56999999999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8" t="s">
        <v>13</v>
      </c>
      <c r="I51" s="349"/>
      <c r="J51" s="128"/>
      <c r="K51" s="350">
        <f>I49+L49</f>
        <v>124244.06999999999</v>
      </c>
      <c r="L51" s="351"/>
      <c r="M51" s="352">
        <f>N45+M45</f>
        <v>2567419</v>
      </c>
      <c r="N51" s="353"/>
      <c r="P51" s="34"/>
      <c r="Q51" s="9"/>
    </row>
    <row r="52" spans="1:17" x14ac:dyDescent="0.25">
      <c r="D52" s="345" t="s">
        <v>14</v>
      </c>
      <c r="E52" s="345"/>
      <c r="F52" s="129">
        <f>F49-K51-C49</f>
        <v>2480239.9300000002</v>
      </c>
      <c r="I52" s="130"/>
      <c r="J52" s="131"/>
      <c r="P52" s="34"/>
      <c r="Q52" s="9"/>
    </row>
    <row r="53" spans="1:17" x14ac:dyDescent="0.25">
      <c r="D53" s="363" t="s">
        <v>15</v>
      </c>
      <c r="E53" s="363"/>
      <c r="F53" s="124">
        <v>-2463938.5299999998</v>
      </c>
      <c r="I53" s="364" t="s">
        <v>16</v>
      </c>
      <c r="J53" s="365"/>
      <c r="K53" s="378">
        <f>F55+F56+F57</f>
        <v>439109.10000000038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16301.400000000373</v>
      </c>
      <c r="H55" s="23"/>
      <c r="I55" s="139" t="s">
        <v>18</v>
      </c>
      <c r="J55" s="140"/>
      <c r="K55" s="380">
        <f>-C4</f>
        <v>-341192.34</v>
      </c>
      <c r="L55" s="381"/>
    </row>
    <row r="56" spans="1:17" ht="16.5" thickBot="1" x14ac:dyDescent="0.3">
      <c r="D56" s="141" t="s">
        <v>19</v>
      </c>
      <c r="E56" s="126" t="s">
        <v>20</v>
      </c>
      <c r="F56" s="142">
        <v>28259</v>
      </c>
    </row>
    <row r="57" spans="1:17" ht="20.25" thickTop="1" thickBot="1" x14ac:dyDescent="0.35">
      <c r="C57" s="143">
        <v>45050</v>
      </c>
      <c r="D57" s="370" t="s">
        <v>21</v>
      </c>
      <c r="E57" s="371"/>
      <c r="F57" s="144">
        <v>394548.7</v>
      </c>
      <c r="I57" s="387" t="s">
        <v>22</v>
      </c>
      <c r="J57" s="388"/>
      <c r="K57" s="389">
        <f>K53+K55</f>
        <v>97916.760000000359</v>
      </c>
      <c r="L57" s="389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45016</v>
      </c>
      <c r="B3" s="175" t="s">
        <v>172</v>
      </c>
      <c r="C3" s="142">
        <v>107193.8</v>
      </c>
      <c r="D3" s="208"/>
      <c r="E3" s="207"/>
      <c r="F3" s="173">
        <f>C3-E3</f>
        <v>107193.8</v>
      </c>
    </row>
    <row r="4" spans="1:7" ht="22.5" customHeight="1" x14ac:dyDescent="0.25">
      <c r="A4" s="174">
        <v>45017</v>
      </c>
      <c r="B4" s="175" t="s">
        <v>173</v>
      </c>
      <c r="C4" s="142">
        <v>39698.300000000003</v>
      </c>
      <c r="D4" s="208"/>
      <c r="E4" s="207"/>
      <c r="F4" s="176">
        <f>C4-E4+F3</f>
        <v>146892.1</v>
      </c>
    </row>
    <row r="5" spans="1:7" ht="21" customHeight="1" x14ac:dyDescent="0.25">
      <c r="A5" s="174">
        <v>45017</v>
      </c>
      <c r="B5" s="175" t="s">
        <v>174</v>
      </c>
      <c r="C5" s="142">
        <v>68414</v>
      </c>
      <c r="D5" s="208"/>
      <c r="E5" s="207"/>
      <c r="F5" s="176">
        <f t="shared" ref="F5:F68" si="0">C5-E5+F4</f>
        <v>215306.1</v>
      </c>
    </row>
    <row r="6" spans="1:7" ht="21" customHeight="1" x14ac:dyDescent="0.3">
      <c r="A6" s="174">
        <v>45020</v>
      </c>
      <c r="B6" s="175" t="s">
        <v>175</v>
      </c>
      <c r="C6" s="142">
        <v>13062.54</v>
      </c>
      <c r="D6" s="208"/>
      <c r="E6" s="207"/>
      <c r="F6" s="176">
        <f t="shared" si="0"/>
        <v>228368.64000000001</v>
      </c>
      <c r="G6" s="177"/>
    </row>
    <row r="7" spans="1:7" ht="21" customHeight="1" x14ac:dyDescent="0.25">
      <c r="A7" s="174">
        <v>45020</v>
      </c>
      <c r="B7" s="175" t="s">
        <v>176</v>
      </c>
      <c r="C7" s="142">
        <v>15649.2</v>
      </c>
      <c r="D7" s="208"/>
      <c r="E7" s="207"/>
      <c r="F7" s="176">
        <f t="shared" si="0"/>
        <v>244017.84000000003</v>
      </c>
    </row>
    <row r="8" spans="1:7" ht="21" customHeight="1" x14ac:dyDescent="0.25">
      <c r="A8" s="174">
        <v>45021</v>
      </c>
      <c r="B8" s="175" t="s">
        <v>177</v>
      </c>
      <c r="C8" s="142">
        <v>71900.800000000003</v>
      </c>
      <c r="D8" s="208"/>
      <c r="E8" s="207"/>
      <c r="F8" s="176">
        <f t="shared" si="0"/>
        <v>315918.64</v>
      </c>
    </row>
    <row r="9" spans="1:7" ht="21" customHeight="1" x14ac:dyDescent="0.25">
      <c r="A9" s="174">
        <v>45021</v>
      </c>
      <c r="B9" s="175" t="s">
        <v>178</v>
      </c>
      <c r="C9" s="142">
        <v>37854</v>
      </c>
      <c r="D9" s="174"/>
      <c r="E9" s="142"/>
      <c r="F9" s="176">
        <f t="shared" si="0"/>
        <v>353772.64</v>
      </c>
    </row>
    <row r="10" spans="1:7" ht="21" customHeight="1" x14ac:dyDescent="0.25">
      <c r="A10" s="174">
        <v>45022</v>
      </c>
      <c r="B10" s="175" t="s">
        <v>179</v>
      </c>
      <c r="C10" s="142">
        <v>44246.14</v>
      </c>
      <c r="D10" s="174"/>
      <c r="E10" s="142"/>
      <c r="F10" s="176">
        <f t="shared" si="0"/>
        <v>398018.78</v>
      </c>
    </row>
    <row r="11" spans="1:7" ht="21" customHeight="1" x14ac:dyDescent="0.25">
      <c r="A11" s="174">
        <v>45023</v>
      </c>
      <c r="B11" s="175" t="s">
        <v>180</v>
      </c>
      <c r="C11" s="142">
        <v>47065.64</v>
      </c>
      <c r="D11" s="174"/>
      <c r="E11" s="142"/>
      <c r="F11" s="176">
        <f t="shared" si="0"/>
        <v>445084.42000000004</v>
      </c>
    </row>
    <row r="12" spans="1:7" ht="21" customHeight="1" x14ac:dyDescent="0.3">
      <c r="A12" s="174">
        <v>45023</v>
      </c>
      <c r="B12" s="175" t="s">
        <v>181</v>
      </c>
      <c r="C12" s="142">
        <v>2623.48</v>
      </c>
      <c r="D12" s="174"/>
      <c r="E12" s="142"/>
      <c r="F12" s="176">
        <f t="shared" si="0"/>
        <v>447707.9</v>
      </c>
      <c r="G12" s="177"/>
    </row>
    <row r="13" spans="1:7" ht="21" customHeight="1" x14ac:dyDescent="0.25">
      <c r="A13" s="174">
        <v>45023</v>
      </c>
      <c r="B13" s="175" t="s">
        <v>182</v>
      </c>
      <c r="C13" s="142">
        <v>112506.88</v>
      </c>
      <c r="D13" s="174"/>
      <c r="E13" s="142"/>
      <c r="F13" s="176">
        <f t="shared" si="0"/>
        <v>560214.78</v>
      </c>
    </row>
    <row r="14" spans="1:7" ht="21" customHeight="1" x14ac:dyDescent="0.25">
      <c r="A14" s="174">
        <v>45024</v>
      </c>
      <c r="B14" s="175" t="s">
        <v>183</v>
      </c>
      <c r="C14" s="142">
        <v>1643</v>
      </c>
      <c r="D14" s="174"/>
      <c r="E14" s="142"/>
      <c r="F14" s="176">
        <f t="shared" si="0"/>
        <v>561857.78</v>
      </c>
    </row>
    <row r="15" spans="1:7" ht="21" customHeight="1" x14ac:dyDescent="0.25">
      <c r="A15" s="174">
        <v>45024</v>
      </c>
      <c r="B15" s="175" t="s">
        <v>184</v>
      </c>
      <c r="C15" s="142">
        <v>1704</v>
      </c>
      <c r="D15" s="174"/>
      <c r="E15" s="142"/>
      <c r="F15" s="176">
        <f t="shared" si="0"/>
        <v>563561.78</v>
      </c>
    </row>
    <row r="16" spans="1:7" ht="21" customHeight="1" x14ac:dyDescent="0.25">
      <c r="A16" s="174">
        <v>45026</v>
      </c>
      <c r="B16" s="175" t="s">
        <v>185</v>
      </c>
      <c r="C16" s="142">
        <v>50594.9</v>
      </c>
      <c r="D16" s="174"/>
      <c r="E16" s="142"/>
      <c r="F16" s="176">
        <f t="shared" si="0"/>
        <v>614156.68000000005</v>
      </c>
    </row>
    <row r="17" spans="1:10" ht="21" customHeight="1" x14ac:dyDescent="0.25">
      <c r="A17" s="174">
        <v>45028</v>
      </c>
      <c r="B17" s="175" t="s">
        <v>186</v>
      </c>
      <c r="C17" s="142">
        <v>107073.9</v>
      </c>
      <c r="D17" s="174"/>
      <c r="E17" s="142"/>
      <c r="F17" s="176">
        <f t="shared" si="0"/>
        <v>721230.58000000007</v>
      </c>
    </row>
    <row r="18" spans="1:10" ht="21" customHeight="1" x14ac:dyDescent="0.25">
      <c r="A18" s="174">
        <v>45030</v>
      </c>
      <c r="B18" s="175" t="s">
        <v>187</v>
      </c>
      <c r="C18" s="142">
        <v>38479.599999999999</v>
      </c>
      <c r="D18" s="174"/>
      <c r="E18" s="142"/>
      <c r="F18" s="176">
        <f t="shared" si="0"/>
        <v>759710.18</v>
      </c>
    </row>
    <row r="19" spans="1:10" ht="21" customHeight="1" x14ac:dyDescent="0.25">
      <c r="A19" s="174">
        <v>45030</v>
      </c>
      <c r="B19" s="175" t="s">
        <v>188</v>
      </c>
      <c r="C19" s="142">
        <v>6657.6</v>
      </c>
      <c r="D19" s="174"/>
      <c r="E19" s="142"/>
      <c r="F19" s="176">
        <f t="shared" si="0"/>
        <v>766367.78</v>
      </c>
    </row>
    <row r="20" spans="1:10" ht="21" customHeight="1" x14ac:dyDescent="0.25">
      <c r="A20" s="174">
        <v>45030</v>
      </c>
      <c r="B20" s="175" t="s">
        <v>189</v>
      </c>
      <c r="C20" s="142">
        <v>66744</v>
      </c>
      <c r="D20" s="174"/>
      <c r="E20" s="142"/>
      <c r="F20" s="176">
        <f t="shared" si="0"/>
        <v>833111.78</v>
      </c>
    </row>
    <row r="21" spans="1:10" ht="24.75" customHeight="1" x14ac:dyDescent="0.25">
      <c r="A21" s="174">
        <v>45030</v>
      </c>
      <c r="B21" s="175" t="s">
        <v>190</v>
      </c>
      <c r="C21" s="142">
        <v>9662.7999999999993</v>
      </c>
      <c r="D21" s="174"/>
      <c r="E21" s="142"/>
      <c r="F21" s="176">
        <f t="shared" si="0"/>
        <v>842774.58000000007</v>
      </c>
    </row>
    <row r="22" spans="1:10" ht="21" customHeight="1" x14ac:dyDescent="0.25">
      <c r="A22" s="174">
        <v>45031</v>
      </c>
      <c r="B22" s="175" t="s">
        <v>191</v>
      </c>
      <c r="C22" s="142">
        <v>133072.38</v>
      </c>
      <c r="D22" s="174"/>
      <c r="E22" s="142"/>
      <c r="F22" s="176">
        <f t="shared" si="0"/>
        <v>975846.96000000008</v>
      </c>
    </row>
    <row r="23" spans="1:10" ht="21" customHeight="1" x14ac:dyDescent="0.25">
      <c r="A23" s="174">
        <v>45031</v>
      </c>
      <c r="B23" s="175" t="s">
        <v>192</v>
      </c>
      <c r="C23" s="142">
        <v>2777.6</v>
      </c>
      <c r="D23" s="174"/>
      <c r="E23" s="142"/>
      <c r="F23" s="176">
        <f t="shared" si="0"/>
        <v>978624.56</v>
      </c>
    </row>
    <row r="24" spans="1:10" ht="21" customHeight="1" x14ac:dyDescent="0.3">
      <c r="A24" s="174">
        <v>45033</v>
      </c>
      <c r="B24" s="175" t="s">
        <v>193</v>
      </c>
      <c r="C24" s="142">
        <v>24800.62</v>
      </c>
      <c r="D24" s="174"/>
      <c r="E24" s="142"/>
      <c r="F24" s="176">
        <f t="shared" si="0"/>
        <v>1003425.18</v>
      </c>
      <c r="G24" s="177"/>
    </row>
    <row r="25" spans="1:10" ht="21" customHeight="1" x14ac:dyDescent="0.25">
      <c r="A25" s="174">
        <v>45034</v>
      </c>
      <c r="B25" s="175" t="s">
        <v>194</v>
      </c>
      <c r="C25" s="142">
        <v>98055.61</v>
      </c>
      <c r="D25" s="174"/>
      <c r="E25" s="142"/>
      <c r="F25" s="176">
        <f t="shared" si="0"/>
        <v>1101480.79</v>
      </c>
    </row>
    <row r="26" spans="1:10" ht="21" customHeight="1" x14ac:dyDescent="0.25">
      <c r="A26" s="174">
        <v>45034</v>
      </c>
      <c r="B26" s="175" t="s">
        <v>195</v>
      </c>
      <c r="C26" s="142">
        <v>36370</v>
      </c>
      <c r="D26" s="174"/>
      <c r="E26" s="142"/>
      <c r="F26" s="176">
        <f t="shared" si="0"/>
        <v>1137850.79</v>
      </c>
    </row>
    <row r="27" spans="1:10" ht="21" customHeight="1" x14ac:dyDescent="0.25">
      <c r="A27" s="174">
        <v>45036</v>
      </c>
      <c r="B27" s="175" t="s">
        <v>196</v>
      </c>
      <c r="C27" s="142">
        <v>113167.03999999999</v>
      </c>
      <c r="D27" s="174"/>
      <c r="E27" s="142"/>
      <c r="F27" s="176">
        <f t="shared" si="0"/>
        <v>1251017.83</v>
      </c>
    </row>
    <row r="28" spans="1:10" ht="21" customHeight="1" x14ac:dyDescent="0.25">
      <c r="A28" s="174">
        <v>45037</v>
      </c>
      <c r="B28" s="175" t="s">
        <v>197</v>
      </c>
      <c r="C28" s="142">
        <v>11191</v>
      </c>
      <c r="D28" s="174"/>
      <c r="E28" s="142"/>
      <c r="F28" s="176">
        <f t="shared" si="0"/>
        <v>1262208.83</v>
      </c>
    </row>
    <row r="29" spans="1:10" ht="21" customHeight="1" x14ac:dyDescent="0.25">
      <c r="A29" s="174">
        <v>45037</v>
      </c>
      <c r="B29" s="175" t="s">
        <v>198</v>
      </c>
      <c r="C29" s="142">
        <v>185805.2</v>
      </c>
      <c r="D29" s="174"/>
      <c r="E29" s="142"/>
      <c r="F29" s="176">
        <f t="shared" si="0"/>
        <v>1448014.03</v>
      </c>
      <c r="J29" s="142">
        <v>0</v>
      </c>
    </row>
    <row r="30" spans="1:10" ht="21" customHeight="1" x14ac:dyDescent="0.25">
      <c r="A30" s="174">
        <v>45038</v>
      </c>
      <c r="B30" s="175" t="s">
        <v>199</v>
      </c>
      <c r="C30" s="142">
        <v>67717.600000000006</v>
      </c>
      <c r="D30" s="174"/>
      <c r="E30" s="142"/>
      <c r="F30" s="176">
        <f t="shared" si="0"/>
        <v>1515731.6300000001</v>
      </c>
      <c r="J30" s="142">
        <v>0</v>
      </c>
    </row>
    <row r="31" spans="1:10" ht="21" customHeight="1" x14ac:dyDescent="0.25">
      <c r="A31" s="174">
        <v>45040</v>
      </c>
      <c r="B31" s="175" t="s">
        <v>200</v>
      </c>
      <c r="C31" s="142">
        <v>108308.48</v>
      </c>
      <c r="D31" s="174"/>
      <c r="E31" s="142"/>
      <c r="F31" s="176">
        <f t="shared" si="0"/>
        <v>1624040.11</v>
      </c>
      <c r="J31" s="142">
        <v>0</v>
      </c>
    </row>
    <row r="32" spans="1:10" ht="21" customHeight="1" x14ac:dyDescent="0.3">
      <c r="A32" s="174">
        <v>45040</v>
      </c>
      <c r="B32" s="175" t="s">
        <v>201</v>
      </c>
      <c r="C32" s="142">
        <v>11858.9</v>
      </c>
      <c r="D32" s="174"/>
      <c r="E32" s="142"/>
      <c r="F32" s="176">
        <f t="shared" si="0"/>
        <v>1635899.01</v>
      </c>
      <c r="G32" s="177"/>
      <c r="J32" s="142">
        <v>0</v>
      </c>
    </row>
    <row r="33" spans="1:10" ht="21" customHeight="1" x14ac:dyDescent="0.25">
      <c r="A33" s="174">
        <v>45042</v>
      </c>
      <c r="B33" s="175" t="s">
        <v>202</v>
      </c>
      <c r="C33" s="142">
        <v>97899.56</v>
      </c>
      <c r="D33" s="174"/>
      <c r="E33" s="142"/>
      <c r="F33" s="176">
        <f t="shared" si="0"/>
        <v>1733798.57</v>
      </c>
      <c r="J33" s="142">
        <v>0</v>
      </c>
    </row>
    <row r="34" spans="1:10" ht="21" customHeight="1" x14ac:dyDescent="0.25">
      <c r="A34" s="174">
        <v>45043</v>
      </c>
      <c r="B34" s="175" t="s">
        <v>203</v>
      </c>
      <c r="C34" s="142">
        <v>105373.56</v>
      </c>
      <c r="D34" s="174"/>
      <c r="E34" s="142"/>
      <c r="F34" s="176">
        <f t="shared" si="0"/>
        <v>1839172.1300000001</v>
      </c>
      <c r="J34" s="142">
        <v>0</v>
      </c>
    </row>
    <row r="35" spans="1:10" ht="23.25" customHeight="1" x14ac:dyDescent="0.25">
      <c r="A35" s="174">
        <v>45044</v>
      </c>
      <c r="B35" s="175" t="s">
        <v>215</v>
      </c>
      <c r="C35" s="142">
        <v>4532.6000000000004</v>
      </c>
      <c r="D35" s="174"/>
      <c r="E35" s="142"/>
      <c r="F35" s="176">
        <f t="shared" si="0"/>
        <v>1843704.7300000002</v>
      </c>
      <c r="J35" s="142">
        <v>0</v>
      </c>
    </row>
    <row r="36" spans="1:10" ht="23.25" customHeight="1" x14ac:dyDescent="0.25">
      <c r="A36" s="174">
        <v>45044</v>
      </c>
      <c r="B36" s="175" t="s">
        <v>216</v>
      </c>
      <c r="C36" s="142">
        <v>73444.52</v>
      </c>
      <c r="D36" s="174"/>
      <c r="E36" s="142"/>
      <c r="F36" s="176">
        <f t="shared" si="0"/>
        <v>1917149.2500000002</v>
      </c>
      <c r="J36" s="126">
        <v>0</v>
      </c>
    </row>
    <row r="37" spans="1:10" ht="23.25" customHeight="1" x14ac:dyDescent="0.25">
      <c r="A37" s="174">
        <v>45044</v>
      </c>
      <c r="B37" s="175" t="s">
        <v>217</v>
      </c>
      <c r="C37" s="142">
        <v>71980.740000000005</v>
      </c>
      <c r="D37" s="174"/>
      <c r="E37" s="142"/>
      <c r="F37" s="176">
        <f t="shared" si="0"/>
        <v>1989129.9900000002</v>
      </c>
      <c r="J37" s="178">
        <f>SUM(J29:J36)</f>
        <v>0</v>
      </c>
    </row>
    <row r="38" spans="1:10" ht="23.25" customHeight="1" x14ac:dyDescent="0.25">
      <c r="A38" s="174">
        <v>45045</v>
      </c>
      <c r="B38" s="175" t="s">
        <v>218</v>
      </c>
      <c r="C38" s="142">
        <v>44290.2</v>
      </c>
      <c r="D38" s="174"/>
      <c r="E38" s="142"/>
      <c r="F38" s="176">
        <f t="shared" si="0"/>
        <v>2033420.1900000002</v>
      </c>
    </row>
    <row r="39" spans="1:10" ht="23.25" customHeight="1" x14ac:dyDescent="0.25">
      <c r="A39" s="174">
        <v>45045</v>
      </c>
      <c r="B39" s="175" t="s">
        <v>219</v>
      </c>
      <c r="C39" s="142">
        <v>126876.82</v>
      </c>
      <c r="D39" s="174"/>
      <c r="E39" s="142"/>
      <c r="F39" s="176">
        <f t="shared" si="0"/>
        <v>2160297.0100000002</v>
      </c>
    </row>
    <row r="40" spans="1:10" ht="23.25" customHeight="1" x14ac:dyDescent="0.25">
      <c r="A40" s="174">
        <v>45045</v>
      </c>
      <c r="B40" s="175" t="s">
        <v>220</v>
      </c>
      <c r="C40" s="142">
        <v>3454.2</v>
      </c>
      <c r="D40" s="174"/>
      <c r="E40" s="97"/>
      <c r="F40" s="176">
        <f t="shared" si="0"/>
        <v>2163751.2100000004</v>
      </c>
    </row>
    <row r="41" spans="1:10" ht="23.25" customHeight="1" x14ac:dyDescent="0.25">
      <c r="A41" s="174">
        <v>45047</v>
      </c>
      <c r="B41" s="175" t="s">
        <v>221</v>
      </c>
      <c r="C41" s="142">
        <v>21412.3</v>
      </c>
      <c r="D41" s="174"/>
      <c r="E41" s="97"/>
      <c r="F41" s="176">
        <f t="shared" si="0"/>
        <v>2185163.5100000002</v>
      </c>
    </row>
    <row r="42" spans="1:10" ht="23.25" customHeight="1" x14ac:dyDescent="0.25">
      <c r="A42" s="174">
        <v>45048</v>
      </c>
      <c r="B42" s="175" t="s">
        <v>222</v>
      </c>
      <c r="C42" s="142">
        <v>6509.5</v>
      </c>
      <c r="D42" s="174"/>
      <c r="E42" s="97"/>
      <c r="F42" s="176">
        <f t="shared" si="0"/>
        <v>2191673.0100000002</v>
      </c>
    </row>
    <row r="43" spans="1:10" ht="23.25" customHeight="1" x14ac:dyDescent="0.25">
      <c r="A43" s="231">
        <v>45048</v>
      </c>
      <c r="B43" s="232" t="s">
        <v>223</v>
      </c>
      <c r="C43" s="142">
        <v>9543.92</v>
      </c>
      <c r="D43" s="183"/>
      <c r="E43" s="97"/>
      <c r="F43" s="176">
        <f t="shared" si="0"/>
        <v>2201216.9300000002</v>
      </c>
    </row>
    <row r="44" spans="1:10" ht="23.25" customHeight="1" x14ac:dyDescent="0.25">
      <c r="A44" s="231">
        <v>45049</v>
      </c>
      <c r="B44" s="232" t="s">
        <v>224</v>
      </c>
      <c r="C44" s="142">
        <v>91322.1</v>
      </c>
      <c r="D44" s="183"/>
      <c r="E44" s="97"/>
      <c r="F44" s="176">
        <f t="shared" si="0"/>
        <v>2292539.0300000003</v>
      </c>
    </row>
    <row r="45" spans="1:10" ht="23.25" customHeight="1" x14ac:dyDescent="0.25">
      <c r="A45" s="231">
        <v>45049</v>
      </c>
      <c r="B45" s="232" t="s">
        <v>225</v>
      </c>
      <c r="C45" s="142">
        <v>35946.300000000003</v>
      </c>
      <c r="D45" s="183"/>
      <c r="E45" s="97"/>
      <c r="F45" s="176">
        <f t="shared" si="0"/>
        <v>2328485.33</v>
      </c>
    </row>
    <row r="46" spans="1:10" ht="23.25" customHeight="1" x14ac:dyDescent="0.25">
      <c r="A46" s="231">
        <v>45050</v>
      </c>
      <c r="B46" s="232" t="s">
        <v>226</v>
      </c>
      <c r="C46" s="142">
        <v>135453.20000000001</v>
      </c>
      <c r="D46" s="183"/>
      <c r="E46" s="97"/>
      <c r="F46" s="176">
        <f t="shared" si="0"/>
        <v>2463938.5300000003</v>
      </c>
    </row>
    <row r="47" spans="1:10" ht="23.25" customHeight="1" x14ac:dyDescent="0.25">
      <c r="A47" s="231"/>
      <c r="B47" s="232"/>
      <c r="C47" s="142"/>
      <c r="D47" s="183"/>
      <c r="E47" s="97"/>
      <c r="F47" s="176">
        <f t="shared" si="0"/>
        <v>2463938.5300000003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2463938.5300000003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2463938.5300000003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2463938.5300000003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2463938.5300000003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2463938.5300000003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2463938.5300000003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2463938.5300000003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2463938.5300000003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2463938.5300000003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2463938.5300000003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2463938.5300000003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2463938.5300000003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2463938.5300000003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2463938.5300000003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2463938.5300000003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2463938.5300000003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2463938.5300000003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2463938.5300000003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2463938.5300000003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2463938.5300000003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2463938.5300000003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2463938.5300000003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2463938.5300000003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2463938.5300000003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2463938.5300000003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2463938.5300000003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2463938.5300000003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2463938.5300000003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2463938.5300000003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2463938.5300000003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2463938.5300000003</v>
      </c>
    </row>
    <row r="79" spans="1:6" ht="19.5" thickBot="1" x14ac:dyDescent="0.35">
      <c r="A79" s="188"/>
      <c r="B79" s="189"/>
      <c r="C79" s="190">
        <f>SUM(C3:C78)</f>
        <v>2463938.5300000003</v>
      </c>
      <c r="D79" s="168"/>
      <c r="E79" s="191">
        <f>SUM(E3:E78)</f>
        <v>0</v>
      </c>
      <c r="F79" s="192">
        <f>F78</f>
        <v>2463938.5300000003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231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0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290">
        <v>45050</v>
      </c>
      <c r="E4" s="339" t="s">
        <v>4</v>
      </c>
      <c r="F4" s="340"/>
      <c r="H4" s="341" t="s">
        <v>5</v>
      </c>
      <c r="I4" s="342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91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H5" s="29">
        <v>45051</v>
      </c>
      <c r="I5" s="30">
        <v>39</v>
      </c>
      <c r="J5" s="235"/>
      <c r="K5" s="241"/>
      <c r="L5" s="13"/>
      <c r="M5" s="31">
        <f>117500+83242</f>
        <v>200742</v>
      </c>
      <c r="N5" s="32">
        <v>5814</v>
      </c>
      <c r="O5" s="33"/>
      <c r="P5" s="222">
        <f>N5+M5+L5+I5+C5</f>
        <v>207075</v>
      </c>
      <c r="Q5" s="223">
        <v>0</v>
      </c>
      <c r="R5" s="224">
        <v>13465</v>
      </c>
      <c r="S5" s="33" t="s">
        <v>274</v>
      </c>
    </row>
    <row r="6" spans="1:21" ht="18" thickBot="1" x14ac:dyDescent="0.35">
      <c r="A6" s="23"/>
      <c r="B6" s="24">
        <v>45052</v>
      </c>
      <c r="C6" s="25">
        <v>0</v>
      </c>
      <c r="D6" s="35"/>
      <c r="E6" s="27">
        <v>45052</v>
      </c>
      <c r="F6" s="28">
        <v>93499</v>
      </c>
      <c r="H6" s="29">
        <v>45052</v>
      </c>
      <c r="I6" s="30">
        <v>375</v>
      </c>
      <c r="J6" s="242">
        <v>45052</v>
      </c>
      <c r="K6" s="68" t="s">
        <v>266</v>
      </c>
      <c r="L6" s="243">
        <v>10902</v>
      </c>
      <c r="M6" s="31">
        <v>80492</v>
      </c>
      <c r="N6" s="32">
        <v>1741</v>
      </c>
      <c r="O6" s="33"/>
      <c r="P6" s="222">
        <f>N6+M6+L6+I6+C6</f>
        <v>93510</v>
      </c>
      <c r="Q6" s="230">
        <f t="shared" ref="Q6:Q41" si="0">P6-F6</f>
        <v>11</v>
      </c>
      <c r="R6" s="225">
        <v>0</v>
      </c>
      <c r="S6" s="33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39" t="s">
        <v>267</v>
      </c>
      <c r="E7" s="27">
        <v>45053</v>
      </c>
      <c r="F7" s="28">
        <v>62394</v>
      </c>
      <c r="H7" s="29">
        <v>45053</v>
      </c>
      <c r="I7" s="30">
        <v>5</v>
      </c>
      <c r="J7" s="242"/>
      <c r="K7" s="99"/>
      <c r="L7" s="243"/>
      <c r="M7" s="31">
        <f>30250+29046</f>
        <v>59296</v>
      </c>
      <c r="N7" s="32">
        <v>339</v>
      </c>
      <c r="O7" s="33"/>
      <c r="P7" s="222">
        <f>N7+M7+L7+I7+C7</f>
        <v>74354</v>
      </c>
      <c r="Q7" s="230">
        <v>10</v>
      </c>
      <c r="R7" s="224">
        <v>11950</v>
      </c>
      <c r="S7" s="33" t="s">
        <v>274</v>
      </c>
    </row>
    <row r="8" spans="1:21" ht="18" thickBot="1" x14ac:dyDescent="0.35">
      <c r="A8" s="23"/>
      <c r="B8" s="24">
        <v>45054</v>
      </c>
      <c r="C8" s="25">
        <v>0</v>
      </c>
      <c r="D8" s="39"/>
      <c r="E8" s="27">
        <v>45054</v>
      </c>
      <c r="F8" s="28">
        <v>196857</v>
      </c>
      <c r="H8" s="29">
        <v>45054</v>
      </c>
      <c r="I8" s="30">
        <v>153</v>
      </c>
      <c r="J8" s="242"/>
      <c r="K8" s="244"/>
      <c r="L8" s="243"/>
      <c r="M8" s="31">
        <f>52700+146098</f>
        <v>198798</v>
      </c>
      <c r="N8" s="32">
        <v>773</v>
      </c>
      <c r="O8" s="33"/>
      <c r="P8" s="222">
        <f t="shared" ref="P8:P45" si="1">N8+M8+L8+I8+C8</f>
        <v>199724</v>
      </c>
      <c r="Q8" s="230">
        <v>23</v>
      </c>
      <c r="R8" s="224">
        <v>2844</v>
      </c>
      <c r="S8" s="33" t="s">
        <v>274</v>
      </c>
    </row>
    <row r="9" spans="1:21" ht="18" thickBot="1" x14ac:dyDescent="0.35">
      <c r="A9" s="23"/>
      <c r="B9" s="24">
        <v>45055</v>
      </c>
      <c r="C9" s="25">
        <v>3480</v>
      </c>
      <c r="D9" s="43" t="s">
        <v>100</v>
      </c>
      <c r="E9" s="27">
        <v>45055</v>
      </c>
      <c r="F9" s="28">
        <v>44290</v>
      </c>
      <c r="H9" s="29">
        <v>45055</v>
      </c>
      <c r="I9" s="30">
        <v>168</v>
      </c>
      <c r="J9" s="242"/>
      <c r="K9" s="245"/>
      <c r="L9" s="243"/>
      <c r="M9" s="31">
        <v>39891</v>
      </c>
      <c r="N9" s="32">
        <v>774</v>
      </c>
      <c r="O9" s="33"/>
      <c r="P9" s="222">
        <f t="shared" si="1"/>
        <v>44313</v>
      </c>
      <c r="Q9" s="230">
        <f t="shared" si="0"/>
        <v>23</v>
      </c>
      <c r="R9" s="225">
        <v>0</v>
      </c>
      <c r="S9" s="33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5"/>
      <c r="E10" s="27">
        <v>45056</v>
      </c>
      <c r="F10" s="28">
        <v>125195</v>
      </c>
      <c r="H10" s="29">
        <v>45056</v>
      </c>
      <c r="I10" s="30">
        <v>50</v>
      </c>
      <c r="J10" s="242"/>
      <c r="K10" s="246"/>
      <c r="L10" s="247"/>
      <c r="M10" s="31">
        <f>25300+97775</f>
        <v>123075</v>
      </c>
      <c r="N10" s="32">
        <v>2134</v>
      </c>
      <c r="O10" s="33"/>
      <c r="P10" s="222">
        <f>N10+M10+L10+I10+C10</f>
        <v>125259</v>
      </c>
      <c r="Q10" s="230">
        <f t="shared" si="0"/>
        <v>64</v>
      </c>
      <c r="R10" s="225">
        <v>0</v>
      </c>
      <c r="S10" s="33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5"/>
      <c r="E11" s="27">
        <v>45057</v>
      </c>
      <c r="F11" s="28">
        <v>102966</v>
      </c>
      <c r="H11" s="29">
        <v>45057</v>
      </c>
      <c r="I11" s="30">
        <v>37</v>
      </c>
      <c r="J11" s="242"/>
      <c r="K11" s="245"/>
      <c r="L11" s="243"/>
      <c r="M11" s="31">
        <f>59900+43029</f>
        <v>102929</v>
      </c>
      <c r="N11" s="32">
        <v>0</v>
      </c>
      <c r="O11" s="33"/>
      <c r="P11" s="222">
        <f>N11+M11+L11+I11+C11</f>
        <v>102966</v>
      </c>
      <c r="Q11" s="223">
        <f t="shared" si="0"/>
        <v>0</v>
      </c>
      <c r="R11" s="225">
        <v>0</v>
      </c>
      <c r="S11" s="33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5" t="s">
        <v>267</v>
      </c>
      <c r="E12" s="27">
        <v>45058</v>
      </c>
      <c r="F12" s="28">
        <v>121939</v>
      </c>
      <c r="H12" s="29">
        <v>45058</v>
      </c>
      <c r="I12" s="30">
        <v>81</v>
      </c>
      <c r="J12" s="242"/>
      <c r="K12" s="248"/>
      <c r="L12" s="243"/>
      <c r="M12" s="31">
        <f>22200+85632</f>
        <v>107832</v>
      </c>
      <c r="N12" s="32">
        <v>865</v>
      </c>
      <c r="O12" s="33"/>
      <c r="P12" s="222">
        <f t="shared" si="1"/>
        <v>121965</v>
      </c>
      <c r="Q12" s="230">
        <f t="shared" si="0"/>
        <v>26</v>
      </c>
      <c r="R12" s="225">
        <v>0</v>
      </c>
      <c r="S12" s="33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39"/>
      <c r="E13" s="27">
        <v>45059</v>
      </c>
      <c r="F13" s="28">
        <v>96083</v>
      </c>
      <c r="H13" s="29">
        <v>45059</v>
      </c>
      <c r="I13" s="30">
        <v>106</v>
      </c>
      <c r="J13" s="242">
        <v>45059</v>
      </c>
      <c r="K13" s="68" t="s">
        <v>268</v>
      </c>
      <c r="L13" s="243">
        <v>9388</v>
      </c>
      <c r="M13" s="31">
        <f>46100+38937</f>
        <v>85037</v>
      </c>
      <c r="N13" s="32">
        <v>1600</v>
      </c>
      <c r="O13" s="33"/>
      <c r="P13" s="222">
        <f t="shared" si="1"/>
        <v>96131</v>
      </c>
      <c r="Q13" s="230">
        <f t="shared" si="0"/>
        <v>48</v>
      </c>
      <c r="R13" s="225">
        <v>0</v>
      </c>
      <c r="S13" s="33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3" t="s">
        <v>269</v>
      </c>
      <c r="E14" s="27">
        <v>45060</v>
      </c>
      <c r="F14" s="28">
        <v>97009</v>
      </c>
      <c r="H14" s="29">
        <v>45060</v>
      </c>
      <c r="I14" s="30">
        <v>0</v>
      </c>
      <c r="J14" s="242"/>
      <c r="K14" s="244"/>
      <c r="L14" s="243"/>
      <c r="M14" s="31">
        <f>44850+47350</f>
        <v>92200</v>
      </c>
      <c r="N14" s="32">
        <v>474</v>
      </c>
      <c r="O14" s="33"/>
      <c r="P14" s="222">
        <f t="shared" si="1"/>
        <v>97024</v>
      </c>
      <c r="Q14" s="230">
        <f t="shared" si="0"/>
        <v>15</v>
      </c>
      <c r="R14" s="225">
        <v>0</v>
      </c>
      <c r="S14" s="33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3" t="s">
        <v>74</v>
      </c>
      <c r="E15" s="27">
        <v>45061</v>
      </c>
      <c r="F15" s="28">
        <v>185145</v>
      </c>
      <c r="H15" s="29">
        <v>45061</v>
      </c>
      <c r="I15" s="30">
        <v>72</v>
      </c>
      <c r="J15" s="242"/>
      <c r="K15" s="244"/>
      <c r="L15" s="243"/>
      <c r="M15" s="31">
        <f>69000+114109</f>
        <v>183109</v>
      </c>
      <c r="N15" s="32">
        <v>291</v>
      </c>
      <c r="O15" s="297" t="s">
        <v>270</v>
      </c>
      <c r="P15" s="222">
        <f t="shared" si="1"/>
        <v>185145</v>
      </c>
      <c r="Q15" s="223">
        <f t="shared" si="0"/>
        <v>0</v>
      </c>
      <c r="R15" s="225">
        <v>0</v>
      </c>
      <c r="S15" s="33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49"/>
      <c r="E16" s="27">
        <v>45062</v>
      </c>
      <c r="F16" s="28">
        <v>94866</v>
      </c>
      <c r="H16" s="29">
        <v>45062</v>
      </c>
      <c r="I16" s="30">
        <v>600</v>
      </c>
      <c r="J16" s="242"/>
      <c r="K16" s="244"/>
      <c r="L16" s="13"/>
      <c r="M16" s="31">
        <f>42050+50702</f>
        <v>92752</v>
      </c>
      <c r="N16" s="32">
        <v>1560</v>
      </c>
      <c r="O16" s="33"/>
      <c r="P16" s="222">
        <f t="shared" si="1"/>
        <v>94912</v>
      </c>
      <c r="Q16" s="230">
        <f t="shared" si="0"/>
        <v>46</v>
      </c>
      <c r="R16" s="225">
        <v>0</v>
      </c>
      <c r="S16" s="33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3"/>
      <c r="E17" s="27">
        <v>45063</v>
      </c>
      <c r="F17" s="28">
        <v>50639</v>
      </c>
      <c r="H17" s="29">
        <v>45063</v>
      </c>
      <c r="I17" s="30">
        <v>490</v>
      </c>
      <c r="J17" s="242"/>
      <c r="K17" s="244"/>
      <c r="L17" s="247"/>
      <c r="M17" s="31">
        <v>49762</v>
      </c>
      <c r="N17" s="32">
        <v>399</v>
      </c>
      <c r="O17" s="33"/>
      <c r="P17" s="222">
        <f t="shared" si="1"/>
        <v>50651</v>
      </c>
      <c r="Q17" s="230">
        <f t="shared" si="0"/>
        <v>12</v>
      </c>
      <c r="R17" s="225">
        <v>0</v>
      </c>
      <c r="S17" s="33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5"/>
      <c r="E18" s="27">
        <v>45064</v>
      </c>
      <c r="F18" s="28">
        <v>126228</v>
      </c>
      <c r="H18" s="29">
        <v>45064</v>
      </c>
      <c r="I18" s="30">
        <v>111</v>
      </c>
      <c r="J18" s="242"/>
      <c r="K18" s="249"/>
      <c r="L18" s="243"/>
      <c r="M18" s="31">
        <f>30600+94047</f>
        <v>124647</v>
      </c>
      <c r="N18" s="32">
        <v>1515</v>
      </c>
      <c r="O18" s="33"/>
      <c r="P18" s="222">
        <f t="shared" si="1"/>
        <v>126273</v>
      </c>
      <c r="Q18" s="230">
        <f t="shared" si="0"/>
        <v>45</v>
      </c>
      <c r="R18" s="225">
        <v>0</v>
      </c>
      <c r="S18" s="33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5" t="s">
        <v>267</v>
      </c>
      <c r="E19" s="27">
        <v>45065</v>
      </c>
      <c r="F19" s="28">
        <v>104774</v>
      </c>
      <c r="H19" s="29">
        <v>45065</v>
      </c>
      <c r="I19" s="30">
        <v>84</v>
      </c>
      <c r="J19" s="242"/>
      <c r="K19" s="250"/>
      <c r="L19" s="251"/>
      <c r="M19" s="31">
        <f>19700+80997</f>
        <v>100697</v>
      </c>
      <c r="N19" s="32">
        <v>540</v>
      </c>
      <c r="O19" s="33"/>
      <c r="P19" s="222">
        <f t="shared" si="1"/>
        <v>104791</v>
      </c>
      <c r="Q19" s="230">
        <f t="shared" si="0"/>
        <v>17</v>
      </c>
      <c r="R19" s="225">
        <v>0</v>
      </c>
      <c r="S19" s="33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5" t="s">
        <v>271</v>
      </c>
      <c r="E20" s="27">
        <v>45066</v>
      </c>
      <c r="F20" s="28">
        <v>107537</v>
      </c>
      <c r="H20" s="29">
        <v>45066</v>
      </c>
      <c r="I20" s="30">
        <v>110</v>
      </c>
      <c r="J20" s="242">
        <v>45066</v>
      </c>
      <c r="K20" s="246" t="s">
        <v>272</v>
      </c>
      <c r="L20" s="247">
        <v>8985</v>
      </c>
      <c r="M20" s="31">
        <f>35300+58782</f>
        <v>94082</v>
      </c>
      <c r="N20" s="32">
        <v>1402</v>
      </c>
      <c r="O20" s="33"/>
      <c r="P20" s="222">
        <f t="shared" si="1"/>
        <v>107579</v>
      </c>
      <c r="Q20" s="230">
        <f t="shared" si="0"/>
        <v>42</v>
      </c>
      <c r="R20" s="225">
        <v>0</v>
      </c>
      <c r="S20" s="33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5"/>
      <c r="E21" s="27">
        <v>45067</v>
      </c>
      <c r="F21" s="28">
        <v>61555</v>
      </c>
      <c r="H21" s="29">
        <v>45067</v>
      </c>
      <c r="I21" s="30">
        <v>9</v>
      </c>
      <c r="J21" s="242"/>
      <c r="K21" s="252"/>
      <c r="L21" s="247"/>
      <c r="M21" s="31">
        <f>34800+26082</f>
        <v>60882</v>
      </c>
      <c r="N21" s="32">
        <v>685</v>
      </c>
      <c r="O21" s="33"/>
      <c r="P21" s="222">
        <f t="shared" si="1"/>
        <v>61576</v>
      </c>
      <c r="Q21" s="230">
        <f t="shared" si="0"/>
        <v>21</v>
      </c>
      <c r="R21" s="225">
        <v>0</v>
      </c>
      <c r="S21" s="33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5" t="s">
        <v>100</v>
      </c>
      <c r="E22" s="27">
        <v>45068</v>
      </c>
      <c r="F22" s="28">
        <v>134761</v>
      </c>
      <c r="H22" s="29">
        <v>45068</v>
      </c>
      <c r="I22" s="30">
        <v>83</v>
      </c>
      <c r="J22" s="242"/>
      <c r="K22" s="285"/>
      <c r="L22" s="253"/>
      <c r="M22" s="31">
        <f>84000+48602</f>
        <v>132602</v>
      </c>
      <c r="N22" s="32">
        <v>216</v>
      </c>
      <c r="O22" s="298" t="s">
        <v>270</v>
      </c>
      <c r="P22" s="222">
        <f t="shared" si="1"/>
        <v>134761</v>
      </c>
      <c r="Q22" s="223">
        <f t="shared" si="0"/>
        <v>0</v>
      </c>
      <c r="R22" s="225">
        <v>0</v>
      </c>
      <c r="S22" s="33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3"/>
      <c r="E23" s="27">
        <v>45069</v>
      </c>
      <c r="F23" s="28">
        <v>56050</v>
      </c>
      <c r="H23" s="29">
        <v>45069</v>
      </c>
      <c r="I23" s="30">
        <v>0</v>
      </c>
      <c r="J23" s="254"/>
      <c r="K23" s="255"/>
      <c r="L23" s="247"/>
      <c r="M23" s="31">
        <f>13500+41469</f>
        <v>54969</v>
      </c>
      <c r="N23" s="32">
        <v>1053</v>
      </c>
      <c r="O23" s="33"/>
      <c r="P23" s="222">
        <f t="shared" si="1"/>
        <v>56022</v>
      </c>
      <c r="Q23" s="230">
        <f t="shared" si="0"/>
        <v>-28</v>
      </c>
      <c r="R23" s="225">
        <v>0</v>
      </c>
      <c r="S23" s="33"/>
    </row>
    <row r="24" spans="1:20" ht="18" thickBot="1" x14ac:dyDescent="0.35">
      <c r="A24" s="23"/>
      <c r="B24" s="24">
        <v>45070</v>
      </c>
      <c r="C24" s="25">
        <v>0</v>
      </c>
      <c r="D24" s="39"/>
      <c r="E24" s="27">
        <v>45070</v>
      </c>
      <c r="F24" s="28">
        <v>84481</v>
      </c>
      <c r="H24" s="29">
        <v>45070</v>
      </c>
      <c r="I24" s="30">
        <v>719</v>
      </c>
      <c r="J24" s="256"/>
      <c r="K24" s="255"/>
      <c r="L24" s="257"/>
      <c r="M24" s="31">
        <f>62262+20500</f>
        <v>82762</v>
      </c>
      <c r="N24" s="32">
        <v>1030</v>
      </c>
      <c r="O24" s="33"/>
      <c r="P24" s="222">
        <f t="shared" si="1"/>
        <v>84511</v>
      </c>
      <c r="Q24" s="230">
        <f t="shared" si="0"/>
        <v>30</v>
      </c>
      <c r="R24" s="225">
        <v>0</v>
      </c>
      <c r="S24" s="33"/>
    </row>
    <row r="25" spans="1:20" ht="18" thickBot="1" x14ac:dyDescent="0.35">
      <c r="A25" s="23"/>
      <c r="B25" s="24">
        <v>45071</v>
      </c>
      <c r="C25" s="25">
        <v>0</v>
      </c>
      <c r="D25" s="35"/>
      <c r="E25" s="27">
        <v>45071</v>
      </c>
      <c r="F25" s="28">
        <v>72267</v>
      </c>
      <c r="H25" s="29">
        <v>45071</v>
      </c>
      <c r="I25" s="30">
        <v>108</v>
      </c>
      <c r="J25" s="258">
        <v>45071</v>
      </c>
      <c r="K25" s="259" t="s">
        <v>275</v>
      </c>
      <c r="L25" s="260">
        <v>12969</v>
      </c>
      <c r="M25" s="31">
        <v>59190</v>
      </c>
      <c r="N25" s="32">
        <v>0</v>
      </c>
      <c r="O25" s="33"/>
      <c r="P25" s="222">
        <f t="shared" si="1"/>
        <v>72267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45072</v>
      </c>
      <c r="C26" s="25">
        <v>18035</v>
      </c>
      <c r="D26" s="35" t="s">
        <v>267</v>
      </c>
      <c r="E26" s="27">
        <v>45072</v>
      </c>
      <c r="F26" s="28">
        <v>119280</v>
      </c>
      <c r="H26" s="29">
        <v>45072</v>
      </c>
      <c r="I26" s="30">
        <v>81</v>
      </c>
      <c r="J26" s="242"/>
      <c r="K26" s="255"/>
      <c r="L26" s="247"/>
      <c r="M26" s="31">
        <f>14000+85052</f>
        <v>99052</v>
      </c>
      <c r="N26" s="32">
        <v>2177</v>
      </c>
      <c r="O26" s="33"/>
      <c r="P26" s="222">
        <f t="shared" si="1"/>
        <v>119345</v>
      </c>
      <c r="Q26" s="230">
        <f t="shared" si="0"/>
        <v>65</v>
      </c>
      <c r="R26" s="225">
        <v>0</v>
      </c>
      <c r="S26" s="33"/>
    </row>
    <row r="27" spans="1:20" ht="18" thickBot="1" x14ac:dyDescent="0.35">
      <c r="A27" s="23"/>
      <c r="B27" s="24">
        <v>45073</v>
      </c>
      <c r="C27" s="25">
        <v>0</v>
      </c>
      <c r="D27" s="39"/>
      <c r="E27" s="27">
        <v>45073</v>
      </c>
      <c r="F27" s="28">
        <v>79733</v>
      </c>
      <c r="H27" s="29">
        <v>45073</v>
      </c>
      <c r="I27" s="30">
        <v>61</v>
      </c>
      <c r="J27" s="261">
        <v>45073</v>
      </c>
      <c r="K27" s="259" t="s">
        <v>276</v>
      </c>
      <c r="L27" s="260">
        <v>8700</v>
      </c>
      <c r="M27" s="31">
        <f>28500+37513+3653</f>
        <v>69666</v>
      </c>
      <c r="N27" s="32">
        <v>1347</v>
      </c>
      <c r="O27" s="33"/>
      <c r="P27" s="222">
        <f t="shared" si="1"/>
        <v>79774</v>
      </c>
      <c r="Q27" s="230">
        <f t="shared" si="0"/>
        <v>41</v>
      </c>
      <c r="R27" s="225">
        <v>0</v>
      </c>
      <c r="S27" s="33"/>
    </row>
    <row r="28" spans="1:20" ht="18" thickBot="1" x14ac:dyDescent="0.35">
      <c r="A28" s="23"/>
      <c r="B28" s="24">
        <v>45074</v>
      </c>
      <c r="C28" s="25">
        <v>0</v>
      </c>
      <c r="D28" s="39"/>
      <c r="E28" s="27">
        <v>45074</v>
      </c>
      <c r="F28" s="28">
        <v>84387</v>
      </c>
      <c r="H28" s="29">
        <v>45074</v>
      </c>
      <c r="I28" s="30">
        <v>5</v>
      </c>
      <c r="J28" s="262"/>
      <c r="K28" s="68"/>
      <c r="L28" s="260"/>
      <c r="M28" s="31">
        <f>27059+57000</f>
        <v>84059</v>
      </c>
      <c r="N28" s="32">
        <v>334</v>
      </c>
      <c r="O28" s="33"/>
      <c r="P28" s="222">
        <f t="shared" si="1"/>
        <v>84398</v>
      </c>
      <c r="Q28" s="230">
        <f t="shared" si="0"/>
        <v>11</v>
      </c>
      <c r="R28" s="225">
        <v>0</v>
      </c>
      <c r="S28" s="33"/>
    </row>
    <row r="29" spans="1:20" ht="18" thickBot="1" x14ac:dyDescent="0.35">
      <c r="A29" s="23"/>
      <c r="B29" s="24">
        <v>45075</v>
      </c>
      <c r="C29" s="25">
        <v>0</v>
      </c>
      <c r="D29" s="69"/>
      <c r="E29" s="27">
        <v>45075</v>
      </c>
      <c r="F29" s="28">
        <v>110922</v>
      </c>
      <c r="H29" s="29">
        <v>45075</v>
      </c>
      <c r="I29" s="30">
        <v>149</v>
      </c>
      <c r="J29" s="261"/>
      <c r="K29" s="263"/>
      <c r="L29" s="260"/>
      <c r="M29" s="31">
        <f>5000+105773</f>
        <v>110773</v>
      </c>
      <c r="N29" s="32">
        <v>0</v>
      </c>
      <c r="O29" s="33"/>
      <c r="P29" s="222">
        <f t="shared" si="1"/>
        <v>110922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45076</v>
      </c>
      <c r="C30" s="25">
        <v>0</v>
      </c>
      <c r="D30" s="69"/>
      <c r="E30" s="27">
        <v>45076</v>
      </c>
      <c r="F30" s="28">
        <v>65429</v>
      </c>
      <c r="H30" s="29">
        <v>45076</v>
      </c>
      <c r="I30" s="30">
        <v>67</v>
      </c>
      <c r="J30" s="83"/>
      <c r="K30" s="264"/>
      <c r="L30" s="265"/>
      <c r="M30" s="31">
        <v>65362</v>
      </c>
      <c r="N30" s="32">
        <v>0</v>
      </c>
      <c r="O30" s="33"/>
      <c r="P30" s="222">
        <f t="shared" si="1"/>
        <v>65429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45077</v>
      </c>
      <c r="C31" s="25">
        <v>0</v>
      </c>
      <c r="D31" s="74"/>
      <c r="E31" s="27">
        <v>45077</v>
      </c>
      <c r="F31" s="28">
        <v>65294</v>
      </c>
      <c r="H31" s="29">
        <v>45077</v>
      </c>
      <c r="I31" s="30">
        <v>483</v>
      </c>
      <c r="J31" s="83"/>
      <c r="K31" s="266"/>
      <c r="L31" s="267"/>
      <c r="M31" s="31">
        <f>38307+26000</f>
        <v>64307</v>
      </c>
      <c r="N31" s="32">
        <v>520</v>
      </c>
      <c r="O31" s="33"/>
      <c r="P31" s="222">
        <f t="shared" si="1"/>
        <v>65310</v>
      </c>
      <c r="Q31" s="230">
        <f t="shared" si="0"/>
        <v>16</v>
      </c>
      <c r="R31" s="225">
        <v>0</v>
      </c>
      <c r="S31" s="33"/>
    </row>
    <row r="32" spans="1:20" ht="18" thickBot="1" x14ac:dyDescent="0.35">
      <c r="A32" s="23"/>
      <c r="B32" s="24">
        <v>45078</v>
      </c>
      <c r="C32" s="25">
        <v>3900</v>
      </c>
      <c r="D32" s="79" t="s">
        <v>67</v>
      </c>
      <c r="E32" s="27">
        <v>45078</v>
      </c>
      <c r="F32" s="28">
        <v>99425</v>
      </c>
      <c r="H32" s="29">
        <v>45078</v>
      </c>
      <c r="I32" s="30">
        <v>42</v>
      </c>
      <c r="J32" s="83"/>
      <c r="K32" s="264"/>
      <c r="L32" s="265"/>
      <c r="M32" s="31">
        <v>95356</v>
      </c>
      <c r="N32" s="32">
        <v>131</v>
      </c>
      <c r="O32" s="33"/>
      <c r="P32" s="222">
        <f t="shared" si="1"/>
        <v>99429</v>
      </c>
      <c r="Q32" s="230">
        <f t="shared" si="0"/>
        <v>4</v>
      </c>
      <c r="R32" s="225">
        <v>0</v>
      </c>
      <c r="S32" s="33"/>
    </row>
    <row r="33" spans="1:19" ht="18" thickBot="1" x14ac:dyDescent="0.35">
      <c r="A33" s="23"/>
      <c r="B33" s="24">
        <v>45079</v>
      </c>
      <c r="C33" s="25">
        <v>480</v>
      </c>
      <c r="D33" s="77" t="s">
        <v>100</v>
      </c>
      <c r="E33" s="27">
        <v>45079</v>
      </c>
      <c r="F33" s="28">
        <v>134912</v>
      </c>
      <c r="H33" s="29">
        <v>45079</v>
      </c>
      <c r="I33" s="30">
        <v>48</v>
      </c>
      <c r="J33" s="83"/>
      <c r="K33" s="266"/>
      <c r="L33" s="203"/>
      <c r="M33" s="31">
        <f>62500+71481</f>
        <v>133981</v>
      </c>
      <c r="N33" s="32">
        <v>415</v>
      </c>
      <c r="O33" s="33"/>
      <c r="P33" s="222">
        <f t="shared" si="1"/>
        <v>134924</v>
      </c>
      <c r="Q33" s="230">
        <f t="shared" si="0"/>
        <v>12</v>
      </c>
      <c r="R33" s="225">
        <v>0</v>
      </c>
      <c r="S33" s="33"/>
    </row>
    <row r="34" spans="1:19" ht="18" thickBot="1" x14ac:dyDescent="0.35">
      <c r="A34" s="23"/>
      <c r="B34" s="24">
        <v>45080</v>
      </c>
      <c r="C34" s="25">
        <v>15694</v>
      </c>
      <c r="D34" s="79" t="s">
        <v>267</v>
      </c>
      <c r="E34" s="27">
        <v>45080</v>
      </c>
      <c r="F34" s="28">
        <v>88405</v>
      </c>
      <c r="H34" s="29">
        <v>45080</v>
      </c>
      <c r="I34" s="30">
        <v>130</v>
      </c>
      <c r="J34" s="83">
        <v>45080</v>
      </c>
      <c r="K34" s="80" t="s">
        <v>293</v>
      </c>
      <c r="L34" s="268">
        <v>8700</v>
      </c>
      <c r="M34" s="31">
        <f>19300+43307</f>
        <v>62607</v>
      </c>
      <c r="N34" s="32">
        <v>1314</v>
      </c>
      <c r="O34" s="33"/>
      <c r="P34" s="222">
        <f t="shared" si="1"/>
        <v>88445</v>
      </c>
      <c r="Q34" s="230">
        <f t="shared" si="0"/>
        <v>40</v>
      </c>
      <c r="R34" s="225">
        <v>0</v>
      </c>
      <c r="S34" s="33"/>
    </row>
    <row r="35" spans="1:19" ht="18" thickBot="1" x14ac:dyDescent="0.35">
      <c r="A35" s="23"/>
      <c r="B35" s="24">
        <v>45081</v>
      </c>
      <c r="C35" s="25">
        <v>1800</v>
      </c>
      <c r="D35" s="74" t="s">
        <v>294</v>
      </c>
      <c r="E35" s="27">
        <v>45081</v>
      </c>
      <c r="F35" s="28">
        <v>98801</v>
      </c>
      <c r="H35" s="29">
        <v>45081</v>
      </c>
      <c r="I35" s="30">
        <v>21</v>
      </c>
      <c r="J35" s="83"/>
      <c r="K35" s="266"/>
      <c r="L35" s="203"/>
      <c r="M35" s="31">
        <f>43500+53180</f>
        <v>96680</v>
      </c>
      <c r="N35" s="32">
        <v>309</v>
      </c>
      <c r="O35" s="33"/>
      <c r="P35" s="222">
        <f t="shared" si="1"/>
        <v>98810</v>
      </c>
      <c r="Q35" s="230">
        <f t="shared" si="0"/>
        <v>9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45051</v>
      </c>
      <c r="K37" s="301" t="s">
        <v>295</v>
      </c>
      <c r="L37" s="203">
        <v>377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45054</v>
      </c>
      <c r="K38" s="266" t="s">
        <v>296</v>
      </c>
      <c r="L38" s="203">
        <v>1225.1199999999999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45054</v>
      </c>
      <c r="K39" s="302" t="s">
        <v>298</v>
      </c>
      <c r="L39" s="265">
        <v>14500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45061</v>
      </c>
      <c r="K40" s="218" t="s">
        <v>108</v>
      </c>
      <c r="L40" s="265">
        <v>1392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45063</v>
      </c>
      <c r="K41" s="288" t="s">
        <v>111</v>
      </c>
      <c r="L41" s="265">
        <v>1098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45077</v>
      </c>
      <c r="K42" s="218" t="s">
        <v>109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45081</v>
      </c>
      <c r="K43" s="86" t="s">
        <v>297</v>
      </c>
      <c r="L43" s="265">
        <v>745.84</v>
      </c>
      <c r="M43" s="31">
        <v>0</v>
      </c>
      <c r="N43" s="32">
        <v>0</v>
      </c>
      <c r="O43" s="33"/>
      <c r="P43" s="227">
        <v>0</v>
      </c>
      <c r="Q43" s="228">
        <f t="shared" si="2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1"/>
        <v>0</v>
      </c>
      <c r="Q44" s="13">
        <f t="shared" si="2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1">
        <f>SUM(M5:M39)</f>
        <v>3007589</v>
      </c>
      <c r="N45" s="346">
        <f>SUM(N5:N39)</f>
        <v>29752</v>
      </c>
      <c r="P45" s="95">
        <f t="shared" si="1"/>
        <v>3037341</v>
      </c>
      <c r="Q45" s="96">
        <f>SUM(Q5:Q39)</f>
        <v>603</v>
      </c>
      <c r="R45" s="96">
        <f>SUM(R5:R39)</f>
        <v>28259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2"/>
      <c r="N46" s="347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86123</v>
      </c>
      <c r="D49" s="116"/>
      <c r="E49" s="117" t="s">
        <v>10</v>
      </c>
      <c r="F49" s="118">
        <f>SUM(F5:F48)</f>
        <v>3158733</v>
      </c>
      <c r="G49" s="116"/>
      <c r="H49" s="119" t="s">
        <v>11</v>
      </c>
      <c r="I49" s="120">
        <f>SUM(I5:I48)</f>
        <v>4487</v>
      </c>
      <c r="J49" s="273"/>
      <c r="K49" s="274" t="s">
        <v>12</v>
      </c>
      <c r="L49" s="275">
        <f>SUM(L5:L48)</f>
        <v>80013.429999999993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8" t="s">
        <v>13</v>
      </c>
      <c r="I51" s="349"/>
      <c r="J51" s="128"/>
      <c r="K51" s="350">
        <f>I49+L49</f>
        <v>84500.43</v>
      </c>
      <c r="L51" s="351"/>
      <c r="M51" s="352">
        <f>N45+M45</f>
        <v>3037341</v>
      </c>
      <c r="N51" s="353"/>
      <c r="P51" s="34"/>
      <c r="Q51" s="9"/>
    </row>
    <row r="52" spans="1:17" x14ac:dyDescent="0.25">
      <c r="D52" s="345" t="s">
        <v>14</v>
      </c>
      <c r="E52" s="345"/>
      <c r="F52" s="129">
        <f>F49-K51-C49</f>
        <v>2988109.57</v>
      </c>
      <c r="I52" s="130"/>
      <c r="J52" s="131"/>
      <c r="P52" s="34"/>
      <c r="Q52" s="9"/>
    </row>
    <row r="53" spans="1:17" x14ac:dyDescent="0.25">
      <c r="D53" s="363" t="s">
        <v>15</v>
      </c>
      <c r="E53" s="363"/>
      <c r="F53" s="124">
        <v>-2955802.29</v>
      </c>
      <c r="I53" s="364" t="s">
        <v>16</v>
      </c>
      <c r="J53" s="365"/>
      <c r="K53" s="378">
        <f>F55+F56+F57</f>
        <v>419364.9699999998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32307.279999999795</v>
      </c>
      <c r="H55" s="23"/>
      <c r="I55" s="139" t="s">
        <v>18</v>
      </c>
      <c r="J55" s="140"/>
      <c r="K55" s="380">
        <f>-C4</f>
        <v>-394548.7</v>
      </c>
      <c r="L55" s="381"/>
    </row>
    <row r="56" spans="1:17" ht="16.5" thickBot="1" x14ac:dyDescent="0.3">
      <c r="D56" s="141" t="s">
        <v>19</v>
      </c>
      <c r="E56" s="126" t="s">
        <v>20</v>
      </c>
      <c r="F56" s="142">
        <v>41424</v>
      </c>
    </row>
    <row r="57" spans="1:17" ht="20.25" thickTop="1" thickBot="1" x14ac:dyDescent="0.35">
      <c r="C57" s="143">
        <v>45081</v>
      </c>
      <c r="D57" s="370" t="s">
        <v>21</v>
      </c>
      <c r="E57" s="371"/>
      <c r="F57" s="299">
        <v>345633.69</v>
      </c>
      <c r="I57" s="387" t="s">
        <v>22</v>
      </c>
      <c r="J57" s="388"/>
      <c r="K57" s="389">
        <f>K53+K55</f>
        <v>24816.269999999786</v>
      </c>
      <c r="L57" s="389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   A G O S T O     2 0 2 3     </vt:lpstr>
      <vt:lpstr>  COMPRAS  AGOSTO   20 23      </vt:lpstr>
      <vt:lpstr>Hoja3</vt:lpstr>
      <vt:lpstr>Hoja1</vt:lpstr>
      <vt:lpstr>PAGOS SEPTIEMBRE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2023-11-17T16:54:35Z</dcterms:modified>
</cp:coreProperties>
</file>