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4  ABRIL 2023\"/>
    </mc:Choice>
  </mc:AlternateContent>
  <bookViews>
    <workbookView xWindow="0" yWindow="0" windowWidth="21135" windowHeight="11715" firstSheet="6" activeTab="7"/>
  </bookViews>
  <sheets>
    <sheet name="Hoja1" sheetId="1" r:id="rId1"/>
    <sheet name="  E N E R O    2 0 2 3     " sheetId="2" r:id="rId2"/>
    <sheet name="COMPRAS  ENERO  2023  " sheetId="3" r:id="rId3"/>
    <sheet name="  F E B R E R O      2 0 2 3   " sheetId="4" r:id="rId4"/>
    <sheet name="COMPRAS   FEBRERERO  2023    " sheetId="5" r:id="rId5"/>
    <sheet name="   M A R Z O     2 0 2 3    " sheetId="6" r:id="rId6"/>
    <sheet name=" COMPRAS  MARZO   2023     " sheetId="7" r:id="rId7"/>
    <sheet name="   A B R I L    2 0 2 3      " sheetId="8" r:id="rId8"/>
    <sheet name=" COMPRAS   ABRIL   2023     " sheetId="9" r:id="rId9"/>
    <sheet name="Hoja10" sheetId="10" r:id="rId10"/>
    <sheet name="Hoja11" sheetId="11" r:id="rId11"/>
    <sheet name="Hoja12" sheetId="12" r:id="rId1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77" i="9" l="1"/>
  <c r="K77" i="7" l="1"/>
  <c r="K75" i="5"/>
  <c r="M38" i="8"/>
  <c r="M35" i="8" l="1"/>
  <c r="P35" i="8" s="1"/>
  <c r="P33" i="8"/>
  <c r="P34" i="8"/>
  <c r="P36" i="8"/>
  <c r="P37" i="8"/>
  <c r="P38" i="8"/>
  <c r="P39" i="8"/>
  <c r="P40" i="8"/>
  <c r="P41" i="8"/>
  <c r="P42" i="8"/>
  <c r="P43" i="8"/>
  <c r="M32" i="8" l="1"/>
  <c r="P32" i="8" s="1"/>
  <c r="P31" i="8"/>
  <c r="M30" i="8" l="1"/>
  <c r="C50" i="8" l="1"/>
  <c r="C51" i="8"/>
  <c r="C52" i="8"/>
  <c r="M28" i="8"/>
  <c r="M25" i="8" l="1"/>
  <c r="L21" i="8" l="1"/>
  <c r="M15" i="8" l="1"/>
  <c r="M18" i="8"/>
  <c r="M14" i="8" l="1"/>
  <c r="M12" i="8" l="1"/>
  <c r="M11" i="8" l="1"/>
  <c r="M7" i="8"/>
  <c r="Q31" i="8" l="1"/>
  <c r="Q32" i="8"/>
  <c r="Q33" i="8"/>
  <c r="Q34" i="8"/>
  <c r="Q35" i="8"/>
  <c r="Q36" i="8"/>
  <c r="Q37" i="8"/>
  <c r="Q38" i="8"/>
  <c r="Q39" i="8"/>
  <c r="Q40" i="8"/>
  <c r="Q41" i="8"/>
  <c r="Q42" i="8"/>
  <c r="Q43" i="8"/>
  <c r="Q44" i="8"/>
  <c r="F18" i="7" l="1"/>
  <c r="D82" i="7"/>
  <c r="F13" i="7"/>
  <c r="F12" i="7"/>
  <c r="F8" i="7"/>
  <c r="F35" i="5"/>
  <c r="F21" i="5"/>
  <c r="F16" i="5"/>
  <c r="F12" i="5"/>
  <c r="F5" i="5"/>
  <c r="D87" i="5"/>
  <c r="F34" i="3"/>
  <c r="F29" i="3"/>
  <c r="N67" i="9" l="1"/>
  <c r="M67" i="9"/>
  <c r="K67" i="9"/>
  <c r="F67" i="9"/>
  <c r="D67" i="9"/>
  <c r="G65" i="9"/>
  <c r="G64" i="9"/>
  <c r="G63" i="9"/>
  <c r="G62" i="9"/>
  <c r="G61" i="9"/>
  <c r="G60" i="9"/>
  <c r="G59" i="9"/>
  <c r="G58" i="9"/>
  <c r="G57" i="9"/>
  <c r="G56" i="9"/>
  <c r="G55" i="9"/>
  <c r="G54" i="9"/>
  <c r="G53" i="9"/>
  <c r="G52" i="9"/>
  <c r="G51" i="9"/>
  <c r="G50" i="9"/>
  <c r="G49" i="9"/>
  <c r="G48" i="9"/>
  <c r="G47" i="9"/>
  <c r="G46" i="9"/>
  <c r="G45" i="9"/>
  <c r="G44" i="9"/>
  <c r="G43" i="9"/>
  <c r="G42" i="9"/>
  <c r="G41" i="9"/>
  <c r="G40" i="9"/>
  <c r="G39" i="9"/>
  <c r="G38" i="9"/>
  <c r="G37" i="9"/>
  <c r="G36" i="9"/>
  <c r="G35" i="9"/>
  <c r="G34" i="9"/>
  <c r="G33" i="9"/>
  <c r="G32" i="9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G6" i="9"/>
  <c r="G5" i="9"/>
  <c r="G4" i="9"/>
  <c r="N3" i="9"/>
  <c r="N4" i="9" s="1"/>
  <c r="N5" i="9" s="1"/>
  <c r="N6" i="9" s="1"/>
  <c r="N7" i="9" s="1"/>
  <c r="N8" i="9" s="1"/>
  <c r="N9" i="9" s="1"/>
  <c r="N10" i="9" s="1"/>
  <c r="N11" i="9" s="1"/>
  <c r="N12" i="9" s="1"/>
  <c r="N13" i="9" s="1"/>
  <c r="N14" i="9" s="1"/>
  <c r="N15" i="9" s="1"/>
  <c r="N16" i="9" s="1"/>
  <c r="N17" i="9" s="1"/>
  <c r="N18" i="9" s="1"/>
  <c r="N19" i="9" s="1"/>
  <c r="N20" i="9" s="1"/>
  <c r="N21" i="9" s="1"/>
  <c r="N22" i="9" s="1"/>
  <c r="N23" i="9" s="1"/>
  <c r="N24" i="9" s="1"/>
  <c r="N25" i="9" s="1"/>
  <c r="N26" i="9" s="1"/>
  <c r="N27" i="9" s="1"/>
  <c r="N28" i="9" s="1"/>
  <c r="N29" i="9" s="1"/>
  <c r="N30" i="9" s="1"/>
  <c r="N31" i="9" s="1"/>
  <c r="N32" i="9" s="1"/>
  <c r="N33" i="9" s="1"/>
  <c r="N34" i="9" s="1"/>
  <c r="N35" i="9" s="1"/>
  <c r="N36" i="9" s="1"/>
  <c r="N37" i="9" s="1"/>
  <c r="N38" i="9" s="1"/>
  <c r="N39" i="9" s="1"/>
  <c r="N40" i="9" s="1"/>
  <c r="N41" i="9" s="1"/>
  <c r="N42" i="9" s="1"/>
  <c r="N43" i="9" s="1"/>
  <c r="N44" i="9" s="1"/>
  <c r="N45" i="9" s="1"/>
  <c r="N46" i="9" s="1"/>
  <c r="N47" i="9" s="1"/>
  <c r="N48" i="9" s="1"/>
  <c r="N49" i="9" s="1"/>
  <c r="N50" i="9" s="1"/>
  <c r="N51" i="9" s="1"/>
  <c r="N52" i="9" s="1"/>
  <c r="N53" i="9" s="1"/>
  <c r="N54" i="9" s="1"/>
  <c r="N55" i="9" s="1"/>
  <c r="N56" i="9" s="1"/>
  <c r="N57" i="9" s="1"/>
  <c r="N58" i="9" s="1"/>
  <c r="N59" i="9" s="1"/>
  <c r="N60" i="9" s="1"/>
  <c r="N61" i="9" s="1"/>
  <c r="N62" i="9" s="1"/>
  <c r="N63" i="9" s="1"/>
  <c r="N64" i="9" s="1"/>
  <c r="N65" i="9" s="1"/>
  <c r="G3" i="9"/>
  <c r="K81" i="8"/>
  <c r="I75" i="8"/>
  <c r="F75" i="8"/>
  <c r="C75" i="8"/>
  <c r="R50" i="8"/>
  <c r="N49" i="8"/>
  <c r="Q47" i="8"/>
  <c r="Q46" i="8"/>
  <c r="Q45" i="8"/>
  <c r="P30" i="8"/>
  <c r="Q30" i="8" s="1"/>
  <c r="P29" i="8"/>
  <c r="Q29" i="8" s="1"/>
  <c r="P28" i="8"/>
  <c r="Q28" i="8" s="1"/>
  <c r="P27" i="8"/>
  <c r="Q27" i="8" s="1"/>
  <c r="P26" i="8"/>
  <c r="Q26" i="8" s="1"/>
  <c r="P25" i="8"/>
  <c r="Q25" i="8" s="1"/>
  <c r="P24" i="8"/>
  <c r="Q24" i="8" s="1"/>
  <c r="P23" i="8"/>
  <c r="Q23" i="8" s="1"/>
  <c r="P22" i="8"/>
  <c r="Q22" i="8" s="1"/>
  <c r="P21" i="8"/>
  <c r="Q21" i="8" s="1"/>
  <c r="P20" i="8"/>
  <c r="Q20" i="8" s="1"/>
  <c r="P19" i="8"/>
  <c r="Q19" i="8" s="1"/>
  <c r="L75" i="8"/>
  <c r="P18" i="8"/>
  <c r="Q18" i="8" s="1"/>
  <c r="P17" i="8"/>
  <c r="Q17" i="8" s="1"/>
  <c r="P16" i="8"/>
  <c r="Q16" i="8" s="1"/>
  <c r="P15" i="8"/>
  <c r="Q15" i="8" s="1"/>
  <c r="P14" i="8"/>
  <c r="Q14" i="8" s="1"/>
  <c r="P13" i="8"/>
  <c r="Q13" i="8" s="1"/>
  <c r="P12" i="8"/>
  <c r="Q12" i="8" s="1"/>
  <c r="P11" i="8"/>
  <c r="Q11" i="8" s="1"/>
  <c r="P10" i="8"/>
  <c r="Q10" i="8" s="1"/>
  <c r="P9" i="8"/>
  <c r="Q9" i="8" s="1"/>
  <c r="P8" i="8"/>
  <c r="P7" i="8"/>
  <c r="Q7" i="8" s="1"/>
  <c r="P6" i="8"/>
  <c r="Q6" i="8" s="1"/>
  <c r="P5" i="8"/>
  <c r="G67" i="9" l="1"/>
  <c r="P49" i="8"/>
  <c r="Q49" i="8"/>
  <c r="K77" i="8"/>
  <c r="F78" i="8" s="1"/>
  <c r="F81" i="8" s="1"/>
  <c r="K79" i="8" s="1"/>
  <c r="K83" i="8" s="1"/>
  <c r="M49" i="8"/>
  <c r="M53" i="8" s="1"/>
  <c r="M30" i="6"/>
  <c r="M28" i="6"/>
  <c r="M26" i="6" l="1"/>
  <c r="M25" i="6"/>
  <c r="M24" i="6"/>
  <c r="M23" i="6" l="1"/>
  <c r="I22" i="6"/>
  <c r="N22" i="6"/>
  <c r="M21" i="6"/>
  <c r="M19" i="6" l="1"/>
  <c r="L34" i="6"/>
  <c r="L19" i="6"/>
  <c r="M18" i="6"/>
  <c r="M17" i="6" l="1"/>
  <c r="M16" i="6"/>
  <c r="M14" i="6" l="1"/>
  <c r="M13" i="6" l="1"/>
  <c r="M12" i="6"/>
  <c r="M35" i="4"/>
  <c r="M10" i="6" l="1"/>
  <c r="M9" i="6" l="1"/>
  <c r="M8" i="6"/>
  <c r="M7" i="6"/>
  <c r="M36" i="4" l="1"/>
  <c r="K67" i="5"/>
  <c r="N67" i="7" l="1"/>
  <c r="M67" i="7"/>
  <c r="K67" i="7"/>
  <c r="F67" i="7"/>
  <c r="D67" i="7"/>
  <c r="G65" i="7"/>
  <c r="G64" i="7"/>
  <c r="G63" i="7"/>
  <c r="G62" i="7"/>
  <c r="G61" i="7"/>
  <c r="G60" i="7"/>
  <c r="G59" i="7"/>
  <c r="G58" i="7"/>
  <c r="G57" i="7"/>
  <c r="G56" i="7"/>
  <c r="G55" i="7"/>
  <c r="G54" i="7"/>
  <c r="G53" i="7"/>
  <c r="G52" i="7"/>
  <c r="G51" i="7"/>
  <c r="G50" i="7"/>
  <c r="G49" i="7"/>
  <c r="G48" i="7"/>
  <c r="G47" i="7"/>
  <c r="G46" i="7"/>
  <c r="G45" i="7"/>
  <c r="G44" i="7"/>
  <c r="G43" i="7"/>
  <c r="G42" i="7"/>
  <c r="G41" i="7"/>
  <c r="G40" i="7"/>
  <c r="G39" i="7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N3" i="7"/>
  <c r="N4" i="7" s="1"/>
  <c r="N5" i="7" s="1"/>
  <c r="N6" i="7" s="1"/>
  <c r="N7" i="7" s="1"/>
  <c r="N8" i="7" s="1"/>
  <c r="N9" i="7" s="1"/>
  <c r="N10" i="7" s="1"/>
  <c r="N11" i="7" s="1"/>
  <c r="N12" i="7" s="1"/>
  <c r="N13" i="7" s="1"/>
  <c r="N14" i="7" s="1"/>
  <c r="N15" i="7" s="1"/>
  <c r="N16" i="7" s="1"/>
  <c r="N17" i="7" s="1"/>
  <c r="N18" i="7" s="1"/>
  <c r="N19" i="7" s="1"/>
  <c r="N20" i="7" s="1"/>
  <c r="N21" i="7" s="1"/>
  <c r="N22" i="7" s="1"/>
  <c r="N23" i="7" s="1"/>
  <c r="N24" i="7" s="1"/>
  <c r="N25" i="7" s="1"/>
  <c r="N26" i="7" s="1"/>
  <c r="N27" i="7" s="1"/>
  <c r="N28" i="7" s="1"/>
  <c r="N29" i="7" s="1"/>
  <c r="N30" i="7" s="1"/>
  <c r="N31" i="7" s="1"/>
  <c r="N32" i="7" s="1"/>
  <c r="N33" i="7" s="1"/>
  <c r="N34" i="7" s="1"/>
  <c r="N35" i="7" s="1"/>
  <c r="N36" i="7" s="1"/>
  <c r="N37" i="7" s="1"/>
  <c r="N38" i="7" s="1"/>
  <c r="N39" i="7" s="1"/>
  <c r="N40" i="7" s="1"/>
  <c r="N41" i="7" s="1"/>
  <c r="N42" i="7" s="1"/>
  <c r="N43" i="7" s="1"/>
  <c r="N44" i="7" s="1"/>
  <c r="N45" i="7" s="1"/>
  <c r="N46" i="7" s="1"/>
  <c r="N47" i="7" s="1"/>
  <c r="N48" i="7" s="1"/>
  <c r="N49" i="7" s="1"/>
  <c r="N50" i="7" s="1"/>
  <c r="N51" i="7" s="1"/>
  <c r="N52" i="7" s="1"/>
  <c r="N53" i="7" s="1"/>
  <c r="N54" i="7" s="1"/>
  <c r="N55" i="7" s="1"/>
  <c r="N56" i="7" s="1"/>
  <c r="N57" i="7" s="1"/>
  <c r="N58" i="7" s="1"/>
  <c r="N59" i="7" s="1"/>
  <c r="N60" i="7" s="1"/>
  <c r="N61" i="7" s="1"/>
  <c r="N62" i="7" s="1"/>
  <c r="N63" i="7" s="1"/>
  <c r="N64" i="7" s="1"/>
  <c r="N65" i="7" s="1"/>
  <c r="G3" i="7"/>
  <c r="K81" i="6"/>
  <c r="I75" i="6"/>
  <c r="F75" i="6"/>
  <c r="R50" i="6"/>
  <c r="N49" i="6"/>
  <c r="Q47" i="6"/>
  <c r="Q46" i="6"/>
  <c r="Q45" i="6"/>
  <c r="C75" i="6"/>
  <c r="Q44" i="6"/>
  <c r="Q43" i="6"/>
  <c r="Q42" i="6"/>
  <c r="Q41" i="6"/>
  <c r="Q40" i="6"/>
  <c r="Q39" i="6"/>
  <c r="Q38" i="6"/>
  <c r="Q37" i="6"/>
  <c r="Q36" i="6"/>
  <c r="Q35" i="6"/>
  <c r="Q34" i="6"/>
  <c r="Q33" i="6"/>
  <c r="Q32" i="6"/>
  <c r="Q31" i="6"/>
  <c r="P30" i="6"/>
  <c r="P29" i="6"/>
  <c r="Q29" i="6" s="1"/>
  <c r="P28" i="6"/>
  <c r="Q28" i="6" s="1"/>
  <c r="P27" i="6"/>
  <c r="Q27" i="6" s="1"/>
  <c r="P26" i="6"/>
  <c r="Q26" i="6" s="1"/>
  <c r="P25" i="6"/>
  <c r="Q25" i="6" s="1"/>
  <c r="P24" i="6"/>
  <c r="Q24" i="6" s="1"/>
  <c r="P23" i="6"/>
  <c r="Q23" i="6" s="1"/>
  <c r="P22" i="6"/>
  <c r="Q22" i="6" s="1"/>
  <c r="P21" i="6"/>
  <c r="P20" i="6"/>
  <c r="Q20" i="6" s="1"/>
  <c r="P19" i="6"/>
  <c r="Q19" i="6" s="1"/>
  <c r="P18" i="6"/>
  <c r="P17" i="6"/>
  <c r="Q17" i="6" s="1"/>
  <c r="P16" i="6"/>
  <c r="Q16" i="6" s="1"/>
  <c r="P15" i="6"/>
  <c r="Q15" i="6" s="1"/>
  <c r="P14" i="6"/>
  <c r="Q14" i="6" s="1"/>
  <c r="P13" i="6"/>
  <c r="Q13" i="6" s="1"/>
  <c r="P12" i="6"/>
  <c r="Q12" i="6" s="1"/>
  <c r="P11" i="6"/>
  <c r="P10" i="6"/>
  <c r="Q10" i="6" s="1"/>
  <c r="P9" i="6"/>
  <c r="Q9" i="6" s="1"/>
  <c r="P8" i="6"/>
  <c r="P7" i="6"/>
  <c r="P6" i="6"/>
  <c r="Q6" i="6" s="1"/>
  <c r="P5" i="6"/>
  <c r="G67" i="7" l="1"/>
  <c r="P49" i="6"/>
  <c r="Q49" i="6"/>
  <c r="M49" i="6"/>
  <c r="M53" i="6" s="1"/>
  <c r="L75" i="6"/>
  <c r="K77" i="6" s="1"/>
  <c r="F78" i="6" s="1"/>
  <c r="F81" i="6" s="1"/>
  <c r="K79" i="6" s="1"/>
  <c r="K83" i="6" s="1"/>
  <c r="F24" i="3"/>
  <c r="F20" i="3"/>
  <c r="F15" i="3"/>
  <c r="F11" i="3"/>
  <c r="D87" i="3"/>
  <c r="M76" i="3" l="1"/>
  <c r="M34" i="4" l="1"/>
  <c r="P34" i="4" s="1"/>
  <c r="M14" i="4"/>
  <c r="P35" i="4"/>
  <c r="P36" i="4"/>
  <c r="P37" i="4"/>
  <c r="P38" i="4"/>
  <c r="P39" i="4"/>
  <c r="P40" i="4"/>
  <c r="P33" i="4"/>
  <c r="M33" i="4"/>
  <c r="M31" i="4"/>
  <c r="M28" i="4" l="1"/>
  <c r="M27" i="4"/>
  <c r="M23" i="4" l="1"/>
  <c r="C45" i="4" l="1"/>
  <c r="M22" i="4"/>
  <c r="M20" i="4" l="1"/>
  <c r="M19" i="4" l="1"/>
  <c r="M18" i="4" l="1"/>
  <c r="L17" i="4" l="1"/>
  <c r="M16" i="4"/>
  <c r="M15" i="4" l="1"/>
  <c r="M13" i="4" l="1"/>
  <c r="M12" i="4"/>
  <c r="M9" i="4"/>
  <c r="M10" i="4"/>
  <c r="M7" i="4" l="1"/>
  <c r="Q33" i="4" l="1"/>
  <c r="Q34" i="4"/>
  <c r="Q35" i="4"/>
  <c r="Q36" i="4"/>
  <c r="Q37" i="4"/>
  <c r="Q38" i="4"/>
  <c r="Q39" i="4"/>
  <c r="Q40" i="4"/>
  <c r="Q5" i="4"/>
  <c r="M5" i="4"/>
  <c r="N67" i="5" l="1"/>
  <c r="M67" i="5"/>
  <c r="F67" i="5"/>
  <c r="D67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N3" i="5"/>
  <c r="N4" i="5" s="1"/>
  <c r="N5" i="5" s="1"/>
  <c r="N6" i="5" s="1"/>
  <c r="N7" i="5" s="1"/>
  <c r="N8" i="5" s="1"/>
  <c r="N9" i="5" s="1"/>
  <c r="N10" i="5" s="1"/>
  <c r="N11" i="5" s="1"/>
  <c r="N12" i="5" s="1"/>
  <c r="N13" i="5" s="1"/>
  <c r="N14" i="5" s="1"/>
  <c r="N15" i="5" s="1"/>
  <c r="N16" i="5" s="1"/>
  <c r="N17" i="5" s="1"/>
  <c r="N18" i="5" s="1"/>
  <c r="N19" i="5" s="1"/>
  <c r="N20" i="5" s="1"/>
  <c r="N21" i="5" s="1"/>
  <c r="N22" i="5" s="1"/>
  <c r="N23" i="5" s="1"/>
  <c r="N24" i="5" s="1"/>
  <c r="N25" i="5" s="1"/>
  <c r="N26" i="5" s="1"/>
  <c r="N27" i="5" s="1"/>
  <c r="N28" i="5" s="1"/>
  <c r="N29" i="5" s="1"/>
  <c r="N30" i="5" s="1"/>
  <c r="N31" i="5" s="1"/>
  <c r="N32" i="5" s="1"/>
  <c r="N33" i="5" s="1"/>
  <c r="N34" i="5" s="1"/>
  <c r="N35" i="5" s="1"/>
  <c r="N36" i="5" s="1"/>
  <c r="N37" i="5" s="1"/>
  <c r="N38" i="5" s="1"/>
  <c r="N39" i="5" s="1"/>
  <c r="N40" i="5" s="1"/>
  <c r="N41" i="5" s="1"/>
  <c r="N42" i="5" s="1"/>
  <c r="N43" i="5" s="1"/>
  <c r="N44" i="5" s="1"/>
  <c r="N45" i="5" s="1"/>
  <c r="N46" i="5" s="1"/>
  <c r="N47" i="5" s="1"/>
  <c r="N48" i="5" s="1"/>
  <c r="N49" i="5" s="1"/>
  <c r="N50" i="5" s="1"/>
  <c r="N51" i="5" s="1"/>
  <c r="N52" i="5" s="1"/>
  <c r="N53" i="5" s="1"/>
  <c r="N54" i="5" s="1"/>
  <c r="N55" i="5" s="1"/>
  <c r="N56" i="5" s="1"/>
  <c r="N57" i="5" s="1"/>
  <c r="N58" i="5" s="1"/>
  <c r="N59" i="5" s="1"/>
  <c r="N60" i="5" s="1"/>
  <c r="N61" i="5" s="1"/>
  <c r="N62" i="5" s="1"/>
  <c r="N63" i="5" s="1"/>
  <c r="N64" i="5" s="1"/>
  <c r="N65" i="5" s="1"/>
  <c r="G3" i="5"/>
  <c r="G67" i="5" l="1"/>
  <c r="K81" i="4"/>
  <c r="I75" i="4"/>
  <c r="F75" i="4"/>
  <c r="C75" i="4"/>
  <c r="R50" i="4"/>
  <c r="N49" i="4"/>
  <c r="Q47" i="4"/>
  <c r="Q46" i="4"/>
  <c r="Q45" i="4"/>
  <c r="Q44" i="4"/>
  <c r="Q43" i="4"/>
  <c r="Q42" i="4"/>
  <c r="Q41" i="4"/>
  <c r="P32" i="4"/>
  <c r="Q32" i="4" s="1"/>
  <c r="P31" i="4"/>
  <c r="Q31" i="4" s="1"/>
  <c r="P30" i="4"/>
  <c r="P29" i="4"/>
  <c r="Q29" i="4" s="1"/>
  <c r="P28" i="4"/>
  <c r="Q28" i="4" s="1"/>
  <c r="P27" i="4"/>
  <c r="Q27" i="4" s="1"/>
  <c r="P26" i="4"/>
  <c r="Q26" i="4" s="1"/>
  <c r="P25" i="4"/>
  <c r="Q25" i="4" s="1"/>
  <c r="P24" i="4"/>
  <c r="Q24" i="4" s="1"/>
  <c r="P23" i="4"/>
  <c r="Q23" i="4" s="1"/>
  <c r="P22" i="4"/>
  <c r="Q22" i="4" s="1"/>
  <c r="P21" i="4"/>
  <c r="Q21" i="4" s="1"/>
  <c r="P20" i="4"/>
  <c r="Q20" i="4" s="1"/>
  <c r="P19" i="4"/>
  <c r="Q19" i="4" s="1"/>
  <c r="P18" i="4"/>
  <c r="P17" i="4"/>
  <c r="Q17" i="4" s="1"/>
  <c r="P16" i="4"/>
  <c r="Q16" i="4" s="1"/>
  <c r="P15" i="4"/>
  <c r="Q15" i="4" s="1"/>
  <c r="P14" i="4"/>
  <c r="Q14" i="4" s="1"/>
  <c r="P13" i="4"/>
  <c r="Q13" i="4" s="1"/>
  <c r="P12" i="4"/>
  <c r="Q12" i="4" s="1"/>
  <c r="P11" i="4"/>
  <c r="Q11" i="4" s="1"/>
  <c r="P10" i="4"/>
  <c r="Q10" i="4" s="1"/>
  <c r="M49" i="4"/>
  <c r="L75" i="4"/>
  <c r="P9" i="4"/>
  <c r="Q9" i="4" s="1"/>
  <c r="P8" i="4"/>
  <c r="P7" i="4"/>
  <c r="P6" i="4"/>
  <c r="Q6" i="4" s="1"/>
  <c r="P5" i="4"/>
  <c r="M53" i="4" l="1"/>
  <c r="K77" i="4"/>
  <c r="F78" i="4" s="1"/>
  <c r="F81" i="4" s="1"/>
  <c r="K79" i="4" s="1"/>
  <c r="K83" i="4" s="1"/>
  <c r="Q49" i="4"/>
  <c r="P49" i="4"/>
  <c r="M22" i="2"/>
  <c r="M21" i="2" l="1"/>
  <c r="M20" i="2" l="1"/>
  <c r="M19" i="2" l="1"/>
  <c r="M18" i="2"/>
  <c r="M16" i="2" l="1"/>
  <c r="M15" i="2" l="1"/>
  <c r="M14" i="2"/>
  <c r="M12" i="2" l="1"/>
  <c r="M10" i="2"/>
  <c r="L10" i="2"/>
  <c r="M7" i="2" l="1"/>
  <c r="M5" i="2" l="1"/>
  <c r="N67" i="3" l="1"/>
  <c r="M67" i="3"/>
  <c r="K67" i="3"/>
  <c r="F67" i="3"/>
  <c r="D67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N3" i="3"/>
  <c r="N4" i="3" s="1"/>
  <c r="N5" i="3" s="1"/>
  <c r="N6" i="3" s="1"/>
  <c r="N7" i="3" s="1"/>
  <c r="N8" i="3" s="1"/>
  <c r="N9" i="3" s="1"/>
  <c r="N10" i="3" s="1"/>
  <c r="N11" i="3" s="1"/>
  <c r="N12" i="3" s="1"/>
  <c r="N13" i="3" s="1"/>
  <c r="N14" i="3" s="1"/>
  <c r="N15" i="3" s="1"/>
  <c r="N16" i="3" s="1"/>
  <c r="N17" i="3" s="1"/>
  <c r="N18" i="3" s="1"/>
  <c r="N19" i="3" s="1"/>
  <c r="N20" i="3" s="1"/>
  <c r="N21" i="3" s="1"/>
  <c r="N22" i="3" s="1"/>
  <c r="N23" i="3" s="1"/>
  <c r="N24" i="3" s="1"/>
  <c r="N25" i="3" s="1"/>
  <c r="N26" i="3" s="1"/>
  <c r="N27" i="3" s="1"/>
  <c r="N28" i="3" s="1"/>
  <c r="N29" i="3" s="1"/>
  <c r="N30" i="3" s="1"/>
  <c r="N31" i="3" s="1"/>
  <c r="N32" i="3" s="1"/>
  <c r="N33" i="3" s="1"/>
  <c r="N34" i="3" s="1"/>
  <c r="N35" i="3" s="1"/>
  <c r="N36" i="3" s="1"/>
  <c r="N37" i="3" s="1"/>
  <c r="N38" i="3" s="1"/>
  <c r="N39" i="3" s="1"/>
  <c r="N40" i="3" s="1"/>
  <c r="N41" i="3" s="1"/>
  <c r="N42" i="3" s="1"/>
  <c r="N43" i="3" s="1"/>
  <c r="N44" i="3" s="1"/>
  <c r="N45" i="3" s="1"/>
  <c r="N46" i="3" s="1"/>
  <c r="N47" i="3" s="1"/>
  <c r="N48" i="3" s="1"/>
  <c r="N49" i="3" s="1"/>
  <c r="N50" i="3" s="1"/>
  <c r="N51" i="3" s="1"/>
  <c r="N52" i="3" s="1"/>
  <c r="N53" i="3" s="1"/>
  <c r="N54" i="3" s="1"/>
  <c r="N55" i="3" s="1"/>
  <c r="N56" i="3" s="1"/>
  <c r="N57" i="3" s="1"/>
  <c r="N58" i="3" s="1"/>
  <c r="N59" i="3" s="1"/>
  <c r="N60" i="3" s="1"/>
  <c r="N61" i="3" s="1"/>
  <c r="N62" i="3" s="1"/>
  <c r="N63" i="3" s="1"/>
  <c r="N64" i="3" s="1"/>
  <c r="N65" i="3" s="1"/>
  <c r="G3" i="3"/>
  <c r="G67" i="3" l="1"/>
  <c r="Q33" i="2"/>
  <c r="Q37" i="2"/>
  <c r="Q41" i="2"/>
  <c r="Q45" i="2"/>
  <c r="Q46" i="2"/>
  <c r="Q47" i="2"/>
  <c r="K81" i="2"/>
  <c r="L75" i="2"/>
  <c r="I75" i="2"/>
  <c r="C75" i="2"/>
  <c r="R50" i="2"/>
  <c r="N49" i="2"/>
  <c r="Q44" i="2"/>
  <c r="Q43" i="2"/>
  <c r="Q42" i="2"/>
  <c r="Q40" i="2"/>
  <c r="Q39" i="2"/>
  <c r="Q38" i="2"/>
  <c r="Q36" i="2"/>
  <c r="Q35" i="2"/>
  <c r="Q34" i="2"/>
  <c r="Q32" i="2"/>
  <c r="Q31" i="2"/>
  <c r="Q30" i="2"/>
  <c r="Q29" i="2"/>
  <c r="Q28" i="2"/>
  <c r="P27" i="2"/>
  <c r="Q27" i="2" s="1"/>
  <c r="P26" i="2"/>
  <c r="Q26" i="2" s="1"/>
  <c r="P25" i="2"/>
  <c r="Q25" i="2" s="1"/>
  <c r="P24" i="2"/>
  <c r="Q24" i="2" s="1"/>
  <c r="P23" i="2"/>
  <c r="Q23" i="2" s="1"/>
  <c r="P22" i="2"/>
  <c r="P21" i="2"/>
  <c r="P20" i="2"/>
  <c r="Q20" i="2" s="1"/>
  <c r="P19" i="2"/>
  <c r="Q19" i="2" s="1"/>
  <c r="P18" i="2"/>
  <c r="Q18" i="2" s="1"/>
  <c r="P17" i="2"/>
  <c r="Q17" i="2" s="1"/>
  <c r="P16" i="2"/>
  <c r="Q16" i="2" s="1"/>
  <c r="P15" i="2"/>
  <c r="Q15" i="2" s="1"/>
  <c r="P14" i="2"/>
  <c r="Q14" i="2" s="1"/>
  <c r="P13" i="2"/>
  <c r="Q13" i="2" s="1"/>
  <c r="P12" i="2"/>
  <c r="Q12" i="2" s="1"/>
  <c r="P11" i="2"/>
  <c r="Q11" i="2" s="1"/>
  <c r="P10" i="2"/>
  <c r="Q10" i="2" s="1"/>
  <c r="P9" i="2"/>
  <c r="F75" i="2"/>
  <c r="P8" i="2"/>
  <c r="Q8" i="2" s="1"/>
  <c r="P7" i="2"/>
  <c r="M49" i="2"/>
  <c r="P5" i="2"/>
  <c r="K77" i="2" l="1"/>
  <c r="F78" i="2" s="1"/>
  <c r="F81" i="2" s="1"/>
  <c r="K79" i="2" s="1"/>
  <c r="K83" i="2" s="1"/>
  <c r="M53" i="2"/>
  <c r="P6" i="2"/>
  <c r="P49" i="2" l="1"/>
  <c r="Q6" i="2"/>
  <c r="Q49" i="2" s="1"/>
</calcChain>
</file>

<file path=xl/comments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2" authorId="0" shapeId="0">
      <text>
        <r>
          <rPr>
            <b/>
            <sz val="9"/>
            <color indexed="81"/>
            <rFont val="Tahoma"/>
            <charset val="1"/>
          </rPr>
          <t>ROUSS: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<sst xmlns="http://schemas.openxmlformats.org/spreadsheetml/2006/main" count="720" uniqueCount="493">
  <si>
    <t>COMPRAS</t>
  </si>
  <si>
    <t>ROSA BERMUDEZ</t>
  </si>
  <si>
    <t xml:space="preserve">CUADRE CON VENTA </t>
  </si>
  <si>
    <t>COBRO CREDITOS MES ANTERIOR</t>
  </si>
  <si>
    <t>INVENTARIO INICIAL</t>
  </si>
  <si>
    <t xml:space="preserve">VENTAS  </t>
  </si>
  <si>
    <t>GASTOS</t>
  </si>
  <si>
    <t>DEPOSITOS</t>
  </si>
  <si>
    <t>TARJETA</t>
  </si>
  <si>
    <t>EFECITVO X DEPOSITAR</t>
  </si>
  <si>
    <t xml:space="preserve"> </t>
  </si>
  <si>
    <t xml:space="preserve">  </t>
  </si>
  <si>
    <t>TOTAL</t>
  </si>
  <si>
    <t>TOTAL 1</t>
  </si>
  <si>
    <t>TOTAL  2</t>
  </si>
  <si>
    <t>GRAN TOTAL GASTOS</t>
  </si>
  <si>
    <t>VENTAS NETAS</t>
  </si>
  <si>
    <t xml:space="preserve">PROVEEDOR ODELPA </t>
  </si>
  <si>
    <t>SUB TOTAL</t>
  </si>
  <si>
    <t xml:space="preserve">    PROVEEDOR  CENTRAL </t>
  </si>
  <si>
    <t>Sub Total 1</t>
  </si>
  <si>
    <t>INVENTARIO  INICIAL</t>
  </si>
  <si>
    <t>MAS</t>
  </si>
  <si>
    <t>CREDITOS</t>
  </si>
  <si>
    <t>INVENTARIO FINAL</t>
  </si>
  <si>
    <t xml:space="preserve">GANANCIA </t>
  </si>
  <si>
    <t>BALANCE      ABASTO 4 CARNES    Z A V A L E T A    ENERO          2 0 2 3</t>
  </si>
  <si>
    <t>DEBE  ZAVALETA</t>
  </si>
  <si>
    <t>FECHA</t>
  </si>
  <si>
    <t>#</t>
  </si>
  <si>
    <t>IMPORTE</t>
  </si>
  <si>
    <t xml:space="preserve">Fecha </t>
  </si>
  <si>
    <t>PAGOS</t>
  </si>
  <si>
    <t xml:space="preserve">S A L D O </t>
  </si>
  <si>
    <t># REMISION</t>
  </si>
  <si>
    <t xml:space="preserve">CENTRAL </t>
  </si>
  <si>
    <t xml:space="preserve">SALDO X PAGAR </t>
  </si>
  <si>
    <t>REMISIONES             O B R A DO R       2 0 2 3</t>
  </si>
  <si>
    <t>REMISIONES            CENTRAL          2 0 2 3</t>
  </si>
  <si>
    <t>22015 D</t>
  </si>
  <si>
    <t>21854 D</t>
  </si>
  <si>
    <t>22106 D</t>
  </si>
  <si>
    <t>22183 D</t>
  </si>
  <si>
    <t>22278 D</t>
  </si>
  <si>
    <t>22279 D</t>
  </si>
  <si>
    <t>22471 D</t>
  </si>
  <si>
    <t>22531 D</t>
  </si>
  <si>
    <t>22568 D</t>
  </si>
  <si>
    <t>22718 D</t>
  </si>
  <si>
    <t>22760 D</t>
  </si>
  <si>
    <t>22777 D</t>
  </si>
  <si>
    <t>22883 D</t>
  </si>
  <si>
    <t>22984 D</t>
  </si>
  <si>
    <t>23001 D</t>
  </si>
  <si>
    <t>23086 D</t>
  </si>
  <si>
    <t>23156 D</t>
  </si>
  <si>
    <t>23265 D</t>
  </si>
  <si>
    <t>23424 D</t>
  </si>
  <si>
    <t>23451 D</t>
  </si>
  <si>
    <t>23467 D</t>
  </si>
  <si>
    <t>23564 D</t>
  </si>
  <si>
    <t>23696 D</t>
  </si>
  <si>
    <t>23739 D</t>
  </si>
  <si>
    <t>23888 D</t>
  </si>
  <si>
    <t>23972 D</t>
  </si>
  <si>
    <t>24147 D</t>
  </si>
  <si>
    <t>24166 D</t>
  </si>
  <si>
    <t>24216 D</t>
  </si>
  <si>
    <t>24275 D</t>
  </si>
  <si>
    <t>24331 D</t>
  </si>
  <si>
    <t>24426 D</t>
  </si>
  <si>
    <t>24592 D</t>
  </si>
  <si>
    <t>24635 D</t>
  </si>
  <si>
    <t>24827 D</t>
  </si>
  <si>
    <t>QUESOS-POLLO-</t>
  </si>
  <si>
    <t>QUESOS-POLLO--CHORIZO-SALCHICHA</t>
  </si>
  <si>
    <t>SALCHICHONERIA-MAIZ-LOMOS-JAMON-POLLO-QUESOS</t>
  </si>
  <si>
    <t>PASTOR-ARABE-QUESOS-POLLO</t>
  </si>
  <si>
    <t>QUESO-SALCHICHA</t>
  </si>
  <si>
    <t>QUESOS-JAMON-POLLO-PAPA-PASTOR-LONGANIZA</t>
  </si>
  <si>
    <t>NOMINA # 03 Y Vac</t>
  </si>
  <si>
    <t>nomina # 3 y vac</t>
  </si>
  <si>
    <t>SALAMI--PEPERONI-LONGANIZA-CHORIZO</t>
  </si>
  <si>
    <t>QUESOS-JAMON-PATE-CHISTORRA-POSTRES-POLLO-PASTOR</t>
  </si>
  <si>
    <t>CHORIZO-QUESOS-POLLO-SALMON</t>
  </si>
  <si>
    <t>TURNOS</t>
  </si>
  <si>
    <t>POLLO-QUESOS-LONGANIZA</t>
  </si>
  <si>
    <t>QUESOS-ARABE-PASTOR-POLLO</t>
  </si>
  <si>
    <t>QUESOS-POLLO</t>
  </si>
  <si>
    <t>SALSAS-PAPAS-JAMON-RIB-EYE-POLLO-QUESOS</t>
  </si>
  <si>
    <t>NOMINA # 04</t>
  </si>
  <si>
    <t>QUESOS</t>
  </si>
  <si>
    <t>PASTOR-QUESOS-MIXIOTES-LONGANIZA-POLLO</t>
  </si>
  <si>
    <t>BONOS ANUALES 2022</t>
  </si>
  <si>
    <t>ENCHILADA-LONGANIZA-QUESOS-POLLO-JAMON-CHISTORRA-CHORIZO</t>
  </si>
  <si>
    <t>POLLO-RAJAS-SALCHICHA</t>
  </si>
  <si>
    <t>PASTOR-MAIZ-QUESOS-LONGANIZA</t>
  </si>
  <si>
    <t>DOCUMENTO</t>
  </si>
  <si>
    <t>POLLO-TOSTADAS</t>
  </si>
  <si>
    <t>LONGANIZA-POLLO-QUESOS-CREMA</t>
  </si>
  <si>
    <t>NOMINA # 05</t>
  </si>
  <si>
    <t>PASTOR-QUESOS-CHISTORRA</t>
  </si>
  <si>
    <t>9-ene-2023</t>
  </si>
  <si>
    <t>11-ene-2023</t>
  </si>
  <si>
    <t>12-ene-2023</t>
  </si>
  <si>
    <t>13-ene-2023</t>
  </si>
  <si>
    <t>16-ene-2023</t>
  </si>
  <si>
    <t>17-ene-2023</t>
  </si>
  <si>
    <t>18-ene-2023</t>
  </si>
  <si>
    <t>19-ene-2023</t>
  </si>
  <si>
    <t>20-ene-2023</t>
  </si>
  <si>
    <t>21-ene-2023</t>
  </si>
  <si>
    <t>23-ene-2023</t>
  </si>
  <si>
    <t>24-ene-2023</t>
  </si>
  <si>
    <t>25-ene-2023</t>
  </si>
  <si>
    <t>26-ene-2023</t>
  </si>
  <si>
    <t>27-ene-2023</t>
  </si>
  <si>
    <t>28-ene-2023</t>
  </si>
  <si>
    <t>30-ene-2023</t>
  </si>
  <si>
    <t>31-ene-2023</t>
  </si>
  <si>
    <t>BALANCE      ABASTO 4 CARNES    Z A V A L E T A     FEBRERO           2 0 2 3</t>
  </si>
  <si>
    <t>JAMON-POLLO-SALCHICHONERIA -QUESOS- CHORIZO</t>
  </si>
  <si>
    <t>POLLO-QUESOS-</t>
  </si>
  <si>
    <t>QUESOS-POLLO-LONGANIZA</t>
  </si>
  <si>
    <t>MAIZ-POLLO-JAMON-QUESOS-CREMA-LONGANIZA</t>
  </si>
  <si>
    <t>POLLO-QUESO- POSTRES</t>
  </si>
  <si>
    <t>PASTOR-JAMON-POLLO-QUESOS-LENGUA</t>
  </si>
  <si>
    <t>NOMIINA # 5</t>
  </si>
  <si>
    <t>NOMINA # 5</t>
  </si>
  <si>
    <t>TOCINETA-CHISTORRA-CHORIZO-LONGANIZA</t>
  </si>
  <si>
    <t>POLLO-QUESOS-PICAÑA-SALCHICHAS</t>
  </si>
  <si>
    <t>QUESOS-POLLO-CHISTORRA-QEUSOS-SALCHICHA</t>
  </si>
  <si>
    <t>POLLO-QUESOS-CHORIZO-ROASBEEF-</t>
  </si>
  <si>
    <t>POLLO-TOSTADAS-ARABE-PASTOR</t>
  </si>
  <si>
    <t>POLLO-QUESOS-CHORIZO</t>
  </si>
  <si>
    <t>POLLO-QUESOS-LONGANIZA-CHORIZO-PAPAS</t>
  </si>
  <si>
    <t>Nomina # 6</t>
  </si>
  <si>
    <t>NOMINA # 6</t>
  </si>
  <si>
    <t>QUESOS-SALAMI-CHISTORRA-PEPERONI</t>
  </si>
  <si>
    <t>PASTOR-QUESOS-POLLO-CHORIZO-JAMON-MOLE-CHISTORRA-LOMO</t>
  </si>
  <si>
    <t>QUESOS-POLLO-LONGANIZA-SALCHICHAS-LOMO-ENCHILADA</t>
  </si>
  <si>
    <t>QUESOS-PICAÑA-POLLO-ENCHILADA-LONGANIZA-SALCHICHA</t>
  </si>
  <si>
    <t>C/16 Feb</t>
  </si>
  <si>
    <t>POSTRES-POLLO-QUESOS-MIXIOTES-PAPAS-</t>
  </si>
  <si>
    <t xml:space="preserve">C /15-Feb </t>
  </si>
  <si>
    <t>ALBICIA</t>
  </si>
  <si>
    <t>LENGUA-POLLO-QUESOS-TOSTADAS</t>
  </si>
  <si>
    <t>PASTOR-POLLO-QUESOS-ARABE</t>
  </si>
  <si>
    <t>NOMINA # 7</t>
  </si>
  <si>
    <t xml:space="preserve">   </t>
  </si>
  <si>
    <t>SALCHICHAS-JAMON-CHORIZO-POLLO-QUESOS-</t>
  </si>
  <si>
    <t>QUESOS-POLLO-LONGANIZA-JAMON-SALCHICHA</t>
  </si>
  <si>
    <t>SALCHICHA-QUESOS-POLLO-CREMA</t>
  </si>
  <si>
    <t>PASTOR-PAN ARABE-POLLO-ENCHILADA-CHORIZO</t>
  </si>
  <si>
    <t>SALSAS-QUESOS-POLLO</t>
  </si>
  <si>
    <t>LOMO-POLLO-PAPA</t>
  </si>
  <si>
    <t>NOMINA # 8</t>
  </si>
  <si>
    <t>NOMINA #8</t>
  </si>
  <si>
    <t>PASTOR-QUESOS--</t>
  </si>
  <si>
    <t>MAIZ-SALCHICHA-JAMONES-CHORIZO-POLLO-LONGANIZA-ROASBEEF</t>
  </si>
  <si>
    <t>PROTECCION CIVIL Verduras</t>
  </si>
  <si>
    <t>QUESO-POLLO-ARABE-PASTOR-</t>
  </si>
  <si>
    <t>POLLO-QUESOS-CHORIZO-ENCHILADA</t>
  </si>
  <si>
    <t>POLLO-QUESOS-TOSTADAS-LONGANIZA-ENCHILADA</t>
  </si>
  <si>
    <t>LOMO-POLLO-QUESOS-JAMON-</t>
  </si>
  <si>
    <t>24899 D</t>
  </si>
  <si>
    <t>00050 D</t>
  </si>
  <si>
    <t>00109 E</t>
  </si>
  <si>
    <t>00217 E</t>
  </si>
  <si>
    <t>00364 E</t>
  </si>
  <si>
    <t>00397 E</t>
  </si>
  <si>
    <t>00513 E</t>
  </si>
  <si>
    <t>00585 E</t>
  </si>
  <si>
    <t>00629 E</t>
  </si>
  <si>
    <t>00745 E</t>
  </si>
  <si>
    <t>00845 E</t>
  </si>
  <si>
    <t>00955 E</t>
  </si>
  <si>
    <t>01092 E</t>
  </si>
  <si>
    <t>01148 E</t>
  </si>
  <si>
    <t>01325 E</t>
  </si>
  <si>
    <t>01355 E</t>
  </si>
  <si>
    <t>01496 E</t>
  </si>
  <si>
    <t>01529 E</t>
  </si>
  <si>
    <t>01584 E</t>
  </si>
  <si>
    <t>01748 E</t>
  </si>
  <si>
    <t>01749 E</t>
  </si>
  <si>
    <t>01896 E</t>
  </si>
  <si>
    <t>01897 E</t>
  </si>
  <si>
    <t>01956 E</t>
  </si>
  <si>
    <t>02076 E</t>
  </si>
  <si>
    <t>02094 E</t>
  </si>
  <si>
    <t>02156 E</t>
  </si>
  <si>
    <t>02262 E</t>
  </si>
  <si>
    <t>02331 E</t>
  </si>
  <si>
    <t>02426 E</t>
  </si>
  <si>
    <t>02631 E</t>
  </si>
  <si>
    <t>02732 E</t>
  </si>
  <si>
    <t>02867 E</t>
  </si>
  <si>
    <t>02872 E</t>
  </si>
  <si>
    <t>02897 E</t>
  </si>
  <si>
    <t>03012 E</t>
  </si>
  <si>
    <t>3-ene-2023</t>
  </si>
  <si>
    <t>4-ene-2023</t>
  </si>
  <si>
    <t>5-ene-2023</t>
  </si>
  <si>
    <t>6-ene-2023</t>
  </si>
  <si>
    <t>7-ene-2023</t>
  </si>
  <si>
    <t xml:space="preserve">EL 26 DE ENERO 2023  SE APLICO CON VALE POR </t>
  </si>
  <si>
    <t>DEUDA ZAVALETA A CENTRAL</t>
  </si>
  <si>
    <t xml:space="preserve">DEUDA DE CENTRAL A ZAVALETA </t>
  </si>
  <si>
    <t>CENTRAL PAGO A ZAVALETA EN EFECTIVO</t>
  </si>
  <si>
    <t>14-Feb-23--21-Feb-23</t>
  </si>
  <si>
    <t>21-Feb-23--27-Feb-23</t>
  </si>
  <si>
    <t>27-Feb-23--28-Feb-23</t>
  </si>
  <si>
    <t>28-Feb-23--03-Mar-23</t>
  </si>
  <si>
    <t>GUARDIA</t>
  </si>
  <si>
    <t>CAMARAS</t>
  </si>
  <si>
    <t>DESECHABLES</t>
  </si>
  <si>
    <t>RES ANTICIPO</t>
  </si>
  <si>
    <t>pulpa res-hueso blanco</t>
  </si>
  <si>
    <t>RES EL CIEN</t>
  </si>
  <si>
    <t>PERDIDA</t>
  </si>
  <si>
    <t>FLETE</t>
  </si>
  <si>
    <t>PINES</t>
  </si>
  <si>
    <t>RECOLECCION BASURA</t>
  </si>
  <si>
    <t>FUMIGACION</t>
  </si>
  <si>
    <t>TELMEX</t>
  </si>
  <si>
    <t>SALSAS</t>
  </si>
  <si>
    <t>VIDRIOS</t>
  </si>
  <si>
    <t>ADT</t>
  </si>
  <si>
    <t>CAMIONETA AUDI</t>
  </si>
  <si>
    <t>seguro audi</t>
  </si>
  <si>
    <t xml:space="preserve">FUMIGACION </t>
  </si>
  <si>
    <t>RES</t>
  </si>
  <si>
    <t>CARBON</t>
  </si>
  <si>
    <t>CANALES RES</t>
  </si>
  <si>
    <t>ROLLO TERMICO</t>
  </si>
  <si>
    <t>ANTICIPO RES</t>
  </si>
  <si>
    <t>SEGURO RES</t>
  </si>
  <si>
    <t>BALANCE      ABASTO 4 CARNES    Z A V A L E T A     MARZO           2 0 2 3</t>
  </si>
  <si>
    <t>Comision banco</t>
  </si>
  <si>
    <t>3140 E</t>
  </si>
  <si>
    <t>3087 E</t>
  </si>
  <si>
    <t>3171 E</t>
  </si>
  <si>
    <t>3268 E</t>
  </si>
  <si>
    <t>3372 E</t>
  </si>
  <si>
    <t>3468 E</t>
  </si>
  <si>
    <t>3579 E</t>
  </si>
  <si>
    <t>3654 E</t>
  </si>
  <si>
    <t>3774 E</t>
  </si>
  <si>
    <t>3889 E</t>
  </si>
  <si>
    <t>3988 E</t>
  </si>
  <si>
    <t>4204--4207 E</t>
  </si>
  <si>
    <t>4286 E</t>
  </si>
  <si>
    <t>4364 E</t>
  </si>
  <si>
    <t>4582 E</t>
  </si>
  <si>
    <t>4638 E</t>
  </si>
  <si>
    <t>4799 E</t>
  </si>
  <si>
    <t>4822 E</t>
  </si>
  <si>
    <t>4837 E</t>
  </si>
  <si>
    <t>4961 E</t>
  </si>
  <si>
    <t>4102 E   4103</t>
  </si>
  <si>
    <t>5157 E</t>
  </si>
  <si>
    <t>5297 E</t>
  </si>
  <si>
    <t>5302 E</t>
  </si>
  <si>
    <t>5326 E</t>
  </si>
  <si>
    <t>5395 E</t>
  </si>
  <si>
    <t>5412 E</t>
  </si>
  <si>
    <t>1-feb-2023</t>
  </si>
  <si>
    <t>2-feb-2023</t>
  </si>
  <si>
    <t>3-feb-2023</t>
  </si>
  <si>
    <t>4-feb-2023</t>
  </si>
  <si>
    <t>6-feb-2023</t>
  </si>
  <si>
    <t>7-feb-2023</t>
  </si>
  <si>
    <t>8-feb-2023</t>
  </si>
  <si>
    <t>10-feb-2023</t>
  </si>
  <si>
    <t>11-feb-2023</t>
  </si>
  <si>
    <t>13-feb-2023</t>
  </si>
  <si>
    <t>14-feb-2023</t>
  </si>
  <si>
    <t>15-feb-2023</t>
  </si>
  <si>
    <t>17-feb-2023</t>
  </si>
  <si>
    <t>18-feb-2023</t>
  </si>
  <si>
    <t>20-feb-2023</t>
  </si>
  <si>
    <t>21-feb-2023</t>
  </si>
  <si>
    <t>24-feb-2023</t>
  </si>
  <si>
    <t>25-feb-2023</t>
  </si>
  <si>
    <t>27-feb-2023</t>
  </si>
  <si>
    <t>28-feb-2023</t>
  </si>
  <si>
    <t>quesos-pastor-pollo</t>
  </si>
  <si>
    <t>Nomina #9 Y Vac Claudia Mtz</t>
  </si>
  <si>
    <t>quesos-tocineta-chistorra</t>
  </si>
  <si>
    <t>quesos-longaniza-chorizo-salmon-pollo</t>
  </si>
  <si>
    <t>salchicha-pollo-quesos-jamon</t>
  </si>
  <si>
    <t>queso-pollo</t>
  </si>
  <si>
    <t>etiquetas verduras</t>
  </si>
  <si>
    <t>longaniza-pollo-queso</t>
  </si>
  <si>
    <t>pollo-quesos</t>
  </si>
  <si>
    <t>queso-pollo-longaniza</t>
  </si>
  <si>
    <t>nomina # 10</t>
  </si>
  <si>
    <t>NOMINA #  9</t>
  </si>
  <si>
    <t>NOMINA # 10</t>
  </si>
  <si>
    <t>PASTOR</t>
  </si>
  <si>
    <t>pollo-quesos-roas-beef-chorizo-salchicha</t>
  </si>
  <si>
    <t>pastor-tostadas-pollo-quesos-mixiotes-salchicas</t>
  </si>
  <si>
    <t>ALBICIA NOTA 3083</t>
  </si>
  <si>
    <t>ALBICIA Nota 3686</t>
  </si>
  <si>
    <t>ALBICIA Nota 3751</t>
  </si>
  <si>
    <t>ALBICIA Nota 0025</t>
  </si>
  <si>
    <t>ALBICIA Nota 422</t>
  </si>
  <si>
    <t>ALBICIA Nota 1686</t>
  </si>
  <si>
    <t>ALBICIA Nota 2012</t>
  </si>
  <si>
    <t>ALBICIA Noa 2274</t>
  </si>
  <si>
    <t>ALBICIA Nota 3002</t>
  </si>
  <si>
    <t>salchicha-mole-pollo-quesos-chorizo</t>
  </si>
  <si>
    <t xml:space="preserve">TURNOS </t>
  </si>
  <si>
    <t>CREMA-OIKKI-QUESO-YOGURT</t>
  </si>
  <si>
    <t>POLLO-QUESOS-ENCHILADA-LONGANIZA</t>
  </si>
  <si>
    <t>NOMINA # 11 Y Vac. Jose Manuel</t>
  </si>
  <si>
    <t>PASTOR-QUESOS-PEPERONI-SALAMI-CHISTORRA</t>
  </si>
  <si>
    <t>CHORIZO-POLLO-PICAÑA-SALMON</t>
  </si>
  <si>
    <t xml:space="preserve">DOCUMENTO NOTAS </t>
  </si>
  <si>
    <t>LOMO-JAMON-QUESOS-POLLO</t>
  </si>
  <si>
    <t>Transformador</t>
  </si>
  <si>
    <t>POLLO-QUESOS-LONGANIZA-PAN ARABE</t>
  </si>
  <si>
    <t>PASTOR-MAIZ-MOLE-JAMON-POLLO-QUESOS-RYBEYE</t>
  </si>
  <si>
    <t xml:space="preserve">POLLO-QUESOS-LONGANIZA  </t>
  </si>
  <si>
    <t>CREMA-POLLO-LONGANIZA-ENCHILADA</t>
  </si>
  <si>
    <t>NOMINA # 12</t>
  </si>
  <si>
    <t>PASTOR-SALSAS-POLLO-QUESOS-ROASBEFF-SALCHICHONERIA</t>
  </si>
  <si>
    <t>QUESOS-POLLO-TOSTADAS-PATE-SALCHICHONERIA-PASTOR-ARABE</t>
  </si>
  <si>
    <t>quesos-pollo-longaniza-</t>
  </si>
  <si>
    <t xml:space="preserve">FLETE </t>
  </si>
  <si>
    <t>Fumigacion</t>
  </si>
  <si>
    <t>Carbon</t>
  </si>
  <si>
    <t>Camaras Hansel</t>
  </si>
  <si>
    <t xml:space="preserve">Seguro carga </t>
  </si>
  <si>
    <t xml:space="preserve">SEGURO Tornado </t>
  </si>
  <si>
    <t>Almohadillas</t>
  </si>
  <si>
    <t xml:space="preserve">Salchicha pavo </t>
  </si>
  <si>
    <t>Pata res Gpe Ledo</t>
  </si>
  <si>
    <t>Chu Ahum Gpe Ledo</t>
  </si>
  <si>
    <t>Embutidos</t>
  </si>
  <si>
    <t xml:space="preserve">Chorizo </t>
  </si>
  <si>
    <t>Roasbeef-Chorizo</t>
  </si>
  <si>
    <t>Desechables</t>
  </si>
  <si>
    <t>Manto Camaras</t>
  </si>
  <si>
    <t>cuatrimestre</t>
  </si>
  <si>
    <t>Salmon-premium</t>
  </si>
  <si>
    <t>Carnes premium</t>
  </si>
  <si>
    <t>quesos ARCE</t>
  </si>
  <si>
    <t>FINANZAS</t>
  </si>
  <si>
    <t>EXTINTORES</t>
  </si>
  <si>
    <t>SEGURO AXA</t>
  </si>
  <si>
    <t>Peinecillo  s/h res</t>
  </si>
  <si>
    <t>COMISIONES BANCO</t>
  </si>
  <si>
    <t>Delantales</t>
  </si>
  <si>
    <t>salmon premium</t>
  </si>
  <si>
    <t>uniformes</t>
  </si>
  <si>
    <t>Quesos Arce</t>
  </si>
  <si>
    <t>redes y broches</t>
  </si>
  <si>
    <t>Queso Manchego</t>
  </si>
  <si>
    <t>Uniformes</t>
  </si>
  <si>
    <t>Botas blancas</t>
  </si>
  <si>
    <t>Analisis agua residual</t>
  </si>
  <si>
    <t>Bascula electronica</t>
  </si>
  <si>
    <t>Queso puerco, pechuga pavo</t>
  </si>
  <si>
    <t>Recoleccion  Basura</t>
  </si>
  <si>
    <t>balatas camioneta</t>
  </si>
  <si>
    <t>5519 E</t>
  </si>
  <si>
    <t>BALANCE      ABASTO 4 CARNES    Z A V A L E T A     ABRIL           2 0 2 3</t>
  </si>
  <si>
    <t>4-mar-2023</t>
  </si>
  <si>
    <t>6-mar-2023</t>
  </si>
  <si>
    <t>8-mar-2023</t>
  </si>
  <si>
    <t>9-mar-2023</t>
  </si>
  <si>
    <t>11-mar-2023</t>
  </si>
  <si>
    <t>13-mar-2023</t>
  </si>
  <si>
    <t>14-mar-2023</t>
  </si>
  <si>
    <t>15-mar-2023</t>
  </si>
  <si>
    <t>16-mar-2023</t>
  </si>
  <si>
    <t>18-mar-2023</t>
  </si>
  <si>
    <t>20-mar-2023</t>
  </si>
  <si>
    <t>21-mar-2023</t>
  </si>
  <si>
    <t>22-mar-2023</t>
  </si>
  <si>
    <t>23-mar-2023</t>
  </si>
  <si>
    <t>24-mar-2023</t>
  </si>
  <si>
    <t>27-mar-2023</t>
  </si>
  <si>
    <t>28-mar-2023</t>
  </si>
  <si>
    <t>29-mar-2023</t>
  </si>
  <si>
    <t>5585 E</t>
  </si>
  <si>
    <t>5679 E</t>
  </si>
  <si>
    <t>5763 E</t>
  </si>
  <si>
    <t>5819 E</t>
  </si>
  <si>
    <t>5968 E</t>
  </si>
  <si>
    <t>6056 E</t>
  </si>
  <si>
    <t>6057 E</t>
  </si>
  <si>
    <t>6067 E</t>
  </si>
  <si>
    <t>6168 E</t>
  </si>
  <si>
    <t>6233 E</t>
  </si>
  <si>
    <t>6400 E</t>
  </si>
  <si>
    <t>6517 E</t>
  </si>
  <si>
    <t>6692 E</t>
  </si>
  <si>
    <t>6757 E</t>
  </si>
  <si>
    <t>6863 E</t>
  </si>
  <si>
    <t>7095 E</t>
  </si>
  <si>
    <t>7211 E</t>
  </si>
  <si>
    <t>7234 E</t>
  </si>
  <si>
    <t>7279 E</t>
  </si>
  <si>
    <t>7486 E</t>
  </si>
  <si>
    <t>7489 E</t>
  </si>
  <si>
    <t>7493 E</t>
  </si>
  <si>
    <t>7527 E</t>
  </si>
  <si>
    <t>7574 E</t>
  </si>
  <si>
    <t>7675 E</t>
  </si>
  <si>
    <t>7832 E</t>
  </si>
  <si>
    <t>7934 E</t>
  </si>
  <si>
    <t>8134 E</t>
  </si>
  <si>
    <t>8185 E</t>
  </si>
  <si>
    <t>8287 E</t>
  </si>
  <si>
    <t>8436 E</t>
  </si>
  <si>
    <t>8335 E</t>
  </si>
  <si>
    <t>8526 E</t>
  </si>
  <si>
    <t>3-Mar-23---10-Mar-23</t>
  </si>
  <si>
    <t>10-Mar-23--15-Mar-23</t>
  </si>
  <si>
    <t>15-Mar-23--23-Mar-23</t>
  </si>
  <si>
    <t>23-Mar-23--28-Mar-23</t>
  </si>
  <si>
    <t>28-Mar-23--29-Mar-23</t>
  </si>
  <si>
    <t>29-Mar-23--4-Abr-23</t>
  </si>
  <si>
    <t>4-Abr-23--10-Abr-23</t>
  </si>
  <si>
    <t>10-abr-23--14-Abr-23</t>
  </si>
  <si>
    <t>14-Abr-23--18-Abr-23</t>
  </si>
  <si>
    <t>18-Abr-23--27-Abr-23</t>
  </si>
  <si>
    <t>27-Abr-23--28-Abr-23</t>
  </si>
  <si>
    <t>POLLO-QUESOS</t>
  </si>
  <si>
    <t>QUESO-POLLO-PASTOR</t>
  </si>
  <si>
    <t xml:space="preserve">POLLO  </t>
  </si>
  <si>
    <t>NOMINA # 13</t>
  </si>
  <si>
    <t>NOMINA #13</t>
  </si>
  <si>
    <t>ENCHILADA--QUESOS-SALAMI-CHISTORRA</t>
  </si>
  <si>
    <t>SALCHICHA-PASTOR-JAMON-LOMO-POLLO-ARABE-QUESOS</t>
  </si>
  <si>
    <t>TARJETA BBVA</t>
  </si>
  <si>
    <t>MIXIOTE, LONGANIZA-POLLO-QUESO-PASTOR</t>
  </si>
  <si>
    <t xml:space="preserve">QUESO-POLLO   </t>
  </si>
  <si>
    <t>LONGANIZA-QUESOS-POLLO</t>
  </si>
  <si>
    <t>picaña-salchicha-quesos-crems</t>
  </si>
  <si>
    <t>NOMINA #14</t>
  </si>
  <si>
    <t>quesos-jamon-chistorra-pollo-maiz-mole-chorizo</t>
  </si>
  <si>
    <t>PASTOR-TOSTADAS-POLLO-QUESOS-JAMON</t>
  </si>
  <si>
    <t>POLLO-QUESOS-LOMO-</t>
  </si>
  <si>
    <t>PAGO TURNOS</t>
  </si>
  <si>
    <t>PASTOR-ARABE</t>
  </si>
  <si>
    <t>QUESOS-POLLO-LONGANIZA-CHISTORRA-JAMON</t>
  </si>
  <si>
    <t>NOMINA #15  Bono Sr. Pedro Cariilo</t>
  </si>
  <si>
    <t xml:space="preserve">NOMINA #15 </t>
  </si>
  <si>
    <t>QUESOS-RIBEEYE-PICAÑA</t>
  </si>
  <si>
    <t>POSTRES-SALCHICHONERIA-QUESOS-ROASBEEF-JAMON-POLLO-CHISTORRA</t>
  </si>
  <si>
    <t>POLLO-QUESOS-SALCHICHA-CHISTORA</t>
  </si>
  <si>
    <t>LONGANIZA-PASTOR-POLLO-QIESOS</t>
  </si>
  <si>
    <t>POLLO-QUESOS-LONGANIZA-GELATINAS-ENCHILADA</t>
  </si>
  <si>
    <t>QUESOS-JAMON-POLLO-MAIZ-MOLE-CONDIMENTOS</t>
  </si>
  <si>
    <t>NOMINA #16</t>
  </si>
  <si>
    <t>QUESOS-TOCINO-CHISTORRA</t>
  </si>
  <si>
    <t>ALB&amp;CIA  pata-virginia-york</t>
  </si>
  <si>
    <t>ALB&amp;CIA  chorizo</t>
  </si>
  <si>
    <t>ALB&amp;CIA  Chorizo-york-chistorra</t>
  </si>
  <si>
    <t>ALB&amp;CIA  chorizo-virginia-americano-pierna pavo</t>
  </si>
  <si>
    <t>ALB&amp;CIA chorizo-york-pata-pierna ahumada</t>
  </si>
  <si>
    <t>Chistorra-salchicha-quesos-pollo-arabe-pastor</t>
  </si>
  <si>
    <t>QUESOS-POLLO-JAMON-ENCHILADA-LONGANIZA</t>
  </si>
  <si>
    <t>POLLO-JAMON-QUESOS</t>
  </si>
  <si>
    <t>POLLO</t>
  </si>
  <si>
    <t>MAIZ-SALCHICHAS-NUGGETS-LENGUA-QUESOS-TOSTADAS</t>
  </si>
  <si>
    <t>POLLO-LONGANIZA-PASTOR-QUESO-CEBOLLA</t>
  </si>
  <si>
    <t>NOMINA #17</t>
  </si>
  <si>
    <t>quesos-jamon-peperoni-chistorras</t>
  </si>
  <si>
    <t>8588 E</t>
  </si>
  <si>
    <t>8734 E</t>
  </si>
  <si>
    <t>8744 E</t>
  </si>
  <si>
    <t>8784 E</t>
  </si>
  <si>
    <t>9007 E</t>
  </si>
  <si>
    <t>9025 E</t>
  </si>
  <si>
    <t>9150 E</t>
  </si>
  <si>
    <t>9180 E</t>
  </si>
  <si>
    <t>9302 E</t>
  </si>
  <si>
    <t>JAMON-PASTOR-CHORIZO-LONGANIZA</t>
  </si>
  <si>
    <t>SALCHICHA-JAMON-POLLO-QUESOS-</t>
  </si>
  <si>
    <t>Picaña-salchicha-quesos-pollo-tostadas-jamon</t>
  </si>
  <si>
    <t xml:space="preserve">SE PAGO CON DEPOSITO DE </t>
  </si>
  <si>
    <t>SE PAGO CON DOCUMENTO</t>
  </si>
  <si>
    <t xml:space="preserve">SE PAGARON NOTAS ENTRE SI  </t>
  </si>
  <si>
    <t xml:space="preserve">ZAVALETA &amp; CENTRAL </t>
  </si>
  <si>
    <t xml:space="preserve">NOTAS ZAVALETA </t>
  </si>
  <si>
    <t xml:space="preserve">NOTAS CENTRAL </t>
  </si>
  <si>
    <t>DEPOSITO DE CENTRAL A</t>
  </si>
  <si>
    <t xml:space="preserve">ZAVALETA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</si>
</sst>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4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3"/>
      <color rgb="FF990033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color theme="5" tint="-0.499984740745262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1"/>
      <color rgb="FF990033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sz val="12"/>
      <color rgb="FF990099"/>
      <name val="Calibri"/>
      <family val="2"/>
      <scheme val="minor"/>
    </font>
    <font>
      <b/>
      <i/>
      <sz val="12"/>
      <color rgb="FF800000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u/>
      <sz val="18"/>
      <color rgb="FF990099"/>
      <name val="Calibri"/>
      <family val="2"/>
      <scheme val="minor"/>
    </font>
    <font>
      <b/>
      <sz val="12"/>
      <color theme="1"/>
      <name val="Calibri"/>
      <family val="2"/>
    </font>
    <font>
      <b/>
      <i/>
      <u/>
      <sz val="11"/>
      <color theme="1"/>
      <name val="Calibri"/>
      <family val="2"/>
      <scheme val="minor"/>
    </font>
    <font>
      <b/>
      <sz val="11"/>
      <color rgb="FF0000FF"/>
      <name val="Calibri Light"/>
      <family val="1"/>
      <scheme val="maj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4"/>
      <color theme="1"/>
      <name val="Calibri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i/>
      <u/>
      <sz val="12"/>
      <color theme="1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CC99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FF99CC"/>
        <bgColor theme="4" tint="0.79998168889431442"/>
      </patternFill>
    </fill>
    <fill>
      <patternFill patternType="solid">
        <fgColor rgb="FFCCFF99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FF00"/>
        <bgColor theme="4" tint="0.79998168889431442"/>
      </patternFill>
    </fill>
    <fill>
      <patternFill patternType="solid">
        <fgColor rgb="FF66FFFF"/>
        <bgColor indexed="64"/>
      </patternFill>
    </fill>
    <fill>
      <patternFill patternType="solid">
        <fgColor rgb="FFCCFF99"/>
        <bgColor theme="4" tint="0.79998168889431442"/>
      </patternFill>
    </fill>
  </fills>
  <borders count="8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mediumDashed">
        <color indexed="64"/>
      </right>
      <top style="thin">
        <color indexed="64"/>
      </top>
      <bottom/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11">
    <xf numFmtId="0" fontId="0" fillId="0" borderId="0" xfId="0"/>
    <xf numFmtId="44" fontId="2" fillId="0" borderId="0" xfId="1" applyFont="1"/>
    <xf numFmtId="0" fontId="4" fillId="0" borderId="0" xfId="0" applyFont="1" applyFill="1" applyAlignment="1">
      <alignment horizontal="center"/>
    </xf>
    <xf numFmtId="0" fontId="5" fillId="0" borderId="0" xfId="0" applyFont="1" applyFill="1"/>
    <xf numFmtId="44" fontId="2" fillId="0" borderId="0" xfId="1" applyFont="1" applyAlignment="1">
      <alignment horizontal="center"/>
    </xf>
    <xf numFmtId="44" fontId="0" fillId="0" borderId="0" xfId="1" applyFont="1"/>
    <xf numFmtId="0" fontId="0" fillId="0" borderId="0" xfId="0" applyFont="1"/>
    <xf numFmtId="44" fontId="1" fillId="0" borderId="0" xfId="1"/>
    <xf numFmtId="0" fontId="3" fillId="0" borderId="0" xfId="0" applyFont="1"/>
    <xf numFmtId="44" fontId="1" fillId="0" borderId="0" xfId="1" applyFill="1"/>
    <xf numFmtId="165" fontId="2" fillId="0" borderId="0" xfId="1" applyNumberFormat="1" applyFont="1" applyFill="1"/>
    <xf numFmtId="0" fontId="0" fillId="0" borderId="0" xfId="0" applyFont="1" applyAlignment="1">
      <alignment horizontal="center"/>
    </xf>
    <xf numFmtId="44" fontId="0" fillId="0" borderId="0" xfId="1" applyFont="1" applyFill="1"/>
    <xf numFmtId="44" fontId="2" fillId="0" borderId="0" xfId="1" applyFont="1" applyFill="1"/>
    <xf numFmtId="0" fontId="7" fillId="0" borderId="0" xfId="0" applyFont="1" applyAlignment="1">
      <alignment horizontal="center"/>
    </xf>
    <xf numFmtId="0" fontId="8" fillId="0" borderId="5" xfId="0" applyFont="1" applyBorder="1" applyAlignment="1">
      <alignment vertical="center" wrapText="1"/>
    </xf>
    <xf numFmtId="0" fontId="9" fillId="0" borderId="5" xfId="0" applyFont="1" applyBorder="1" applyAlignment="1">
      <alignment vertical="center" wrapText="1"/>
    </xf>
    <xf numFmtId="165" fontId="2" fillId="0" borderId="0" xfId="1" applyNumberFormat="1" applyFont="1"/>
    <xf numFmtId="44" fontId="3" fillId="0" borderId="0" xfId="1" applyFont="1" applyFill="1" applyAlignment="1">
      <alignment horizontal="center"/>
    </xf>
    <xf numFmtId="44" fontId="3" fillId="0" borderId="0" xfId="1" applyFont="1" applyFill="1"/>
    <xf numFmtId="0" fontId="3" fillId="0" borderId="0" xfId="0" applyFont="1" applyFill="1"/>
    <xf numFmtId="0" fontId="12" fillId="0" borderId="7" xfId="0" applyFont="1" applyBorder="1"/>
    <xf numFmtId="164" fontId="13" fillId="0" borderId="8" xfId="0" applyNumberFormat="1" applyFont="1" applyBorder="1" applyAlignment="1">
      <alignment horizontal="center"/>
    </xf>
    <xf numFmtId="44" fontId="14" fillId="0" borderId="9" xfId="1" applyFont="1" applyBorder="1"/>
    <xf numFmtId="165" fontId="3" fillId="4" borderId="10" xfId="0" applyNumberFormat="1" applyFont="1" applyFill="1" applyBorder="1" applyAlignment="1">
      <alignment horizontal="left"/>
    </xf>
    <xf numFmtId="165" fontId="15" fillId="0" borderId="9" xfId="0" applyNumberFormat="1" applyFont="1" applyBorder="1"/>
    <xf numFmtId="0" fontId="15" fillId="0" borderId="9" xfId="0" applyFont="1" applyBorder="1" applyAlignment="1">
      <alignment horizontal="center"/>
    </xf>
    <xf numFmtId="44" fontId="15" fillId="0" borderId="9" xfId="1" applyFont="1" applyBorder="1"/>
    <xf numFmtId="44" fontId="17" fillId="5" borderId="0" xfId="1" applyFont="1" applyFill="1" applyAlignment="1">
      <alignment horizontal="center"/>
    </xf>
    <xf numFmtId="44" fontId="17" fillId="5" borderId="15" xfId="1" applyFont="1" applyFill="1" applyBorder="1" applyAlignment="1">
      <alignment horizontal="center"/>
    </xf>
    <xf numFmtId="0" fontId="2" fillId="4" borderId="16" xfId="0" applyFont="1" applyFill="1" applyBorder="1" applyAlignment="1">
      <alignment horizontal="center" wrapText="1"/>
    </xf>
    <xf numFmtId="16" fontId="0" fillId="0" borderId="0" xfId="0" applyNumberFormat="1"/>
    <xf numFmtId="164" fontId="2" fillId="0" borderId="18" xfId="0" applyNumberFormat="1" applyFont="1" applyFill="1" applyBorder="1" applyAlignment="1">
      <alignment horizontal="center"/>
    </xf>
    <xf numFmtId="44" fontId="2" fillId="0" borderId="19" xfId="1" applyFont="1" applyFill="1" applyBorder="1"/>
    <xf numFmtId="166" fontId="18" fillId="0" borderId="10" xfId="0" applyNumberFormat="1" applyFont="1" applyFill="1" applyBorder="1" applyAlignment="1">
      <alignment horizontal="left"/>
    </xf>
    <xf numFmtId="15" fontId="2" fillId="0" borderId="20" xfId="0" applyNumberFormat="1" applyFont="1" applyFill="1" applyBorder="1"/>
    <xf numFmtId="44" fontId="2" fillId="0" borderId="21" xfId="1" applyFont="1" applyFill="1" applyBorder="1"/>
    <xf numFmtId="0" fontId="0" fillId="0" borderId="0" xfId="0" applyFont="1" applyFill="1"/>
    <xf numFmtId="15" fontId="2" fillId="0" borderId="22" xfId="0" applyNumberFormat="1" applyFont="1" applyFill="1" applyBorder="1"/>
    <xf numFmtId="44" fontId="2" fillId="0" borderId="23" xfId="1" applyFont="1" applyFill="1" applyBorder="1"/>
    <xf numFmtId="165" fontId="2" fillId="0" borderId="0" xfId="1" applyNumberFormat="1" applyFont="1" applyFill="1" applyAlignment="1">
      <alignment horizontal="center"/>
    </xf>
    <xf numFmtId="0" fontId="2" fillId="0" borderId="0" xfId="0" applyFont="1" applyFill="1" applyAlignment="1">
      <alignment horizontal="center"/>
    </xf>
    <xf numFmtId="44" fontId="19" fillId="0" borderId="24" xfId="1" applyFont="1" applyFill="1" applyBorder="1"/>
    <xf numFmtId="44" fontId="2" fillId="0" borderId="25" xfId="1" applyFont="1" applyFill="1" applyBorder="1"/>
    <xf numFmtId="44" fontId="2" fillId="0" borderId="0" xfId="1" applyFont="1" applyFill="1" applyBorder="1"/>
    <xf numFmtId="44" fontId="3" fillId="0" borderId="26" xfId="1" applyFont="1" applyFill="1" applyBorder="1"/>
    <xf numFmtId="44" fontId="2" fillId="0" borderId="27" xfId="1" applyFont="1" applyFill="1" applyBorder="1" applyAlignment="1">
      <alignment horizontal="center"/>
    </xf>
    <xf numFmtId="166" fontId="20" fillId="0" borderId="10" xfId="0" applyNumberFormat="1" applyFont="1" applyFill="1" applyBorder="1"/>
    <xf numFmtId="0" fontId="2" fillId="0" borderId="28" xfId="0" applyFont="1" applyFill="1" applyBorder="1" applyAlignment="1">
      <alignment horizontal="center"/>
    </xf>
    <xf numFmtId="44" fontId="2" fillId="0" borderId="26" xfId="1" applyFont="1" applyFill="1" applyBorder="1"/>
    <xf numFmtId="166" fontId="21" fillId="0" borderId="10" xfId="0" applyNumberFormat="1" applyFont="1" applyFill="1" applyBorder="1"/>
    <xf numFmtId="166" fontId="18" fillId="0" borderId="10" xfId="0" applyNumberFormat="1" applyFont="1" applyFill="1" applyBorder="1"/>
    <xf numFmtId="165" fontId="22" fillId="0" borderId="0" xfId="1" applyNumberFormat="1" applyFont="1" applyFill="1" applyAlignment="1">
      <alignment horizontal="center"/>
    </xf>
    <xf numFmtId="16" fontId="2" fillId="0" borderId="28" xfId="0" applyNumberFormat="1" applyFont="1" applyFill="1" applyBorder="1" applyAlignment="1">
      <alignment horizontal="center"/>
    </xf>
    <xf numFmtId="165" fontId="22" fillId="0" borderId="29" xfId="0" applyNumberFormat="1" applyFont="1" applyFill="1" applyBorder="1" applyAlignment="1">
      <alignment horizontal="center"/>
    </xf>
    <xf numFmtId="44" fontId="2" fillId="0" borderId="26" xfId="1" applyFont="1" applyFill="1" applyBorder="1" applyAlignment="1">
      <alignment horizontal="right"/>
    </xf>
    <xf numFmtId="16" fontId="22" fillId="0" borderId="28" xfId="0" applyNumberFormat="1" applyFont="1" applyFill="1" applyBorder="1" applyAlignment="1">
      <alignment horizontal="center"/>
    </xf>
    <xf numFmtId="0" fontId="23" fillId="0" borderId="28" xfId="0" applyFont="1" applyFill="1" applyBorder="1" applyAlignment="1">
      <alignment horizontal="center" wrapText="1"/>
    </xf>
    <xf numFmtId="16" fontId="22" fillId="0" borderId="29" xfId="0" applyNumberFormat="1" applyFont="1" applyFill="1" applyBorder="1" applyAlignment="1">
      <alignment horizontal="center"/>
    </xf>
    <xf numFmtId="44" fontId="2" fillId="0" borderId="31" xfId="1" applyFont="1" applyFill="1" applyBorder="1"/>
    <xf numFmtId="165" fontId="2" fillId="0" borderId="29" xfId="0" applyNumberFormat="1" applyFont="1" applyFill="1" applyBorder="1" applyAlignment="1">
      <alignment horizontal="center"/>
    </xf>
    <xf numFmtId="16" fontId="2" fillId="0" borderId="29" xfId="0" applyNumberFormat="1" applyFont="1" applyFill="1" applyBorder="1" applyAlignment="1">
      <alignment horizontal="center"/>
    </xf>
    <xf numFmtId="44" fontId="2" fillId="0" borderId="31" xfId="1" applyFont="1" applyFill="1" applyBorder="1" applyAlignment="1">
      <alignment horizontal="right"/>
    </xf>
    <xf numFmtId="0" fontId="25" fillId="0" borderId="0" xfId="0" applyFont="1"/>
    <xf numFmtId="165" fontId="2" fillId="0" borderId="32" xfId="1" applyNumberFormat="1" applyFont="1" applyFill="1" applyBorder="1" applyAlignment="1">
      <alignment horizontal="center"/>
    </xf>
    <xf numFmtId="0" fontId="2" fillId="0" borderId="29" xfId="0" applyFont="1" applyFill="1" applyBorder="1" applyAlignment="1">
      <alignment horizontal="center"/>
    </xf>
    <xf numFmtId="165" fontId="2" fillId="0" borderId="7" xfId="0" applyNumberFormat="1" applyFont="1" applyFill="1" applyBorder="1" applyAlignment="1">
      <alignment horizontal="center"/>
    </xf>
    <xf numFmtId="44" fontId="2" fillId="0" borderId="33" xfId="1" applyFont="1" applyFill="1" applyBorder="1" applyAlignment="1">
      <alignment horizontal="right"/>
    </xf>
    <xf numFmtId="44" fontId="2" fillId="0" borderId="28" xfId="1" applyFont="1" applyFill="1" applyBorder="1" applyAlignment="1">
      <alignment horizontal="right"/>
    </xf>
    <xf numFmtId="44" fontId="2" fillId="0" borderId="34" xfId="1" applyFont="1" applyFill="1" applyBorder="1"/>
    <xf numFmtId="0" fontId="3" fillId="0" borderId="29" xfId="0" applyFont="1" applyFill="1" applyBorder="1" applyAlignment="1">
      <alignment horizontal="center"/>
    </xf>
    <xf numFmtId="44" fontId="3" fillId="0" borderId="26" xfId="1" applyFont="1" applyFill="1" applyBorder="1" applyAlignment="1">
      <alignment horizontal="right"/>
    </xf>
    <xf numFmtId="165" fontId="22" fillId="0" borderId="28" xfId="1" applyNumberFormat="1" applyFont="1" applyFill="1" applyBorder="1" applyAlignment="1">
      <alignment horizontal="left"/>
    </xf>
    <xf numFmtId="0" fontId="22" fillId="0" borderId="28" xfId="0" applyFont="1" applyFill="1" applyBorder="1" applyAlignment="1">
      <alignment horizontal="center"/>
    </xf>
    <xf numFmtId="165" fontId="2" fillId="0" borderId="28" xfId="1" applyNumberFormat="1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  <xf numFmtId="166" fontId="18" fillId="0" borderId="35" xfId="0" applyNumberFormat="1" applyFont="1" applyFill="1" applyBorder="1"/>
    <xf numFmtId="165" fontId="2" fillId="0" borderId="28" xfId="1" applyNumberFormat="1" applyFont="1" applyFill="1" applyBorder="1" applyAlignment="1">
      <alignment horizontal="left"/>
    </xf>
    <xf numFmtId="16" fontId="2" fillId="0" borderId="30" xfId="0" applyNumberFormat="1" applyFont="1" applyFill="1" applyBorder="1" applyAlignment="1">
      <alignment horizontal="center"/>
    </xf>
    <xf numFmtId="166" fontId="21" fillId="0" borderId="28" xfId="0" applyNumberFormat="1" applyFont="1" applyFill="1" applyBorder="1"/>
    <xf numFmtId="0" fontId="2" fillId="0" borderId="28" xfId="0" applyFont="1" applyFill="1" applyBorder="1" applyAlignment="1">
      <alignment horizontal="left" wrapText="1"/>
    </xf>
    <xf numFmtId="166" fontId="3" fillId="0" borderId="28" xfId="0" applyNumberFormat="1" applyFont="1" applyFill="1" applyBorder="1" applyAlignment="1">
      <alignment horizontal="center"/>
    </xf>
    <xf numFmtId="165" fontId="3" fillId="0" borderId="28" xfId="1" applyNumberFormat="1" applyFont="1" applyFill="1" applyBorder="1" applyAlignment="1">
      <alignment horizontal="center"/>
    </xf>
    <xf numFmtId="166" fontId="18" fillId="0" borderId="28" xfId="0" applyNumberFormat="1" applyFont="1" applyFill="1" applyBorder="1"/>
    <xf numFmtId="44" fontId="2" fillId="0" borderId="28" xfId="1" applyFont="1" applyFill="1" applyBorder="1"/>
    <xf numFmtId="0" fontId="2" fillId="0" borderId="28" xfId="0" applyFont="1" applyFill="1" applyBorder="1" applyAlignment="1"/>
    <xf numFmtId="44" fontId="2" fillId="0" borderId="36" xfId="1" applyFont="1" applyFill="1" applyBorder="1"/>
    <xf numFmtId="165" fontId="2" fillId="0" borderId="7" xfId="1" applyNumberFormat="1" applyFont="1" applyFill="1" applyBorder="1" applyAlignment="1">
      <alignment horizontal="center"/>
    </xf>
    <xf numFmtId="0" fontId="2" fillId="0" borderId="29" xfId="0" applyFont="1" applyFill="1" applyBorder="1" applyAlignment="1"/>
    <xf numFmtId="44" fontId="2" fillId="0" borderId="33" xfId="1" applyFont="1" applyFill="1" applyBorder="1"/>
    <xf numFmtId="44" fontId="2" fillId="0" borderId="37" xfId="1" applyFont="1" applyFill="1" applyBorder="1"/>
    <xf numFmtId="166" fontId="18" fillId="0" borderId="38" xfId="0" applyNumberFormat="1" applyFont="1" applyFill="1" applyBorder="1"/>
    <xf numFmtId="0" fontId="1" fillId="0" borderId="0" xfId="0" applyFont="1" applyFill="1"/>
    <xf numFmtId="44" fontId="2" fillId="0" borderId="39" xfId="1" applyFont="1" applyFill="1" applyBorder="1"/>
    <xf numFmtId="166" fontId="21" fillId="0" borderId="38" xfId="0" applyNumberFormat="1" applyFont="1" applyFill="1" applyBorder="1"/>
    <xf numFmtId="0" fontId="2" fillId="0" borderId="28" xfId="0" applyFont="1" applyFill="1" applyBorder="1" applyAlignment="1">
      <alignment horizontal="center" wrapText="1"/>
    </xf>
    <xf numFmtId="166" fontId="3" fillId="0" borderId="38" xfId="0" applyNumberFormat="1" applyFont="1" applyFill="1" applyBorder="1" applyAlignment="1">
      <alignment horizontal="center"/>
    </xf>
    <xf numFmtId="44" fontId="2" fillId="0" borderId="21" xfId="1" applyFont="1" applyFill="1" applyBorder="1" applyAlignment="1">
      <alignment horizontal="center"/>
    </xf>
    <xf numFmtId="44" fontId="2" fillId="0" borderId="40" xfId="1" applyFont="1" applyFill="1" applyBorder="1"/>
    <xf numFmtId="44" fontId="19" fillId="0" borderId="41" xfId="1" applyFont="1" applyFill="1" applyBorder="1"/>
    <xf numFmtId="44" fontId="2" fillId="0" borderId="42" xfId="1" applyFont="1" applyFill="1" applyBorder="1"/>
    <xf numFmtId="44" fontId="3" fillId="0" borderId="28" xfId="1" applyFont="1" applyFill="1" applyBorder="1"/>
    <xf numFmtId="166" fontId="21" fillId="0" borderId="0" xfId="0" applyNumberFormat="1" applyFont="1" applyFill="1" applyBorder="1"/>
    <xf numFmtId="44" fontId="2" fillId="0" borderId="5" xfId="1" applyFont="1" applyFill="1" applyBorder="1"/>
    <xf numFmtId="15" fontId="2" fillId="0" borderId="43" xfId="0" applyNumberFormat="1" applyFont="1" applyFill="1" applyBorder="1"/>
    <xf numFmtId="0" fontId="4" fillId="0" borderId="21" xfId="0" applyFont="1" applyFill="1" applyBorder="1" applyAlignment="1">
      <alignment horizontal="center"/>
    </xf>
    <xf numFmtId="15" fontId="2" fillId="0" borderId="0" xfId="0" applyNumberFormat="1" applyFont="1" applyFill="1" applyBorder="1"/>
    <xf numFmtId="44" fontId="19" fillId="0" borderId="0" xfId="1" applyFont="1" applyFill="1" applyBorder="1"/>
    <xf numFmtId="44" fontId="3" fillId="0" borderId="0" xfId="1" applyFont="1" applyFill="1" applyBorder="1"/>
    <xf numFmtId="166" fontId="26" fillId="0" borderId="0" xfId="0" applyNumberFormat="1" applyFont="1" applyFill="1" applyBorder="1"/>
    <xf numFmtId="0" fontId="26" fillId="0" borderId="21" xfId="0" applyFont="1" applyFill="1" applyBorder="1" applyAlignment="1">
      <alignment horizontal="center"/>
    </xf>
    <xf numFmtId="44" fontId="2" fillId="0" borderId="15" xfId="1" applyFont="1" applyFill="1" applyBorder="1"/>
    <xf numFmtId="44" fontId="3" fillId="3" borderId="0" xfId="1" applyFont="1" applyFill="1" applyAlignment="1">
      <alignment horizontal="center"/>
    </xf>
    <xf numFmtId="44" fontId="17" fillId="0" borderId="0" xfId="1" applyFont="1" applyFill="1" applyBorder="1" applyAlignment="1">
      <alignment horizontal="center" vertical="center"/>
    </xf>
    <xf numFmtId="166" fontId="14" fillId="0" borderId="0" xfId="0" applyNumberFormat="1" applyFont="1" applyFill="1" applyBorder="1"/>
    <xf numFmtId="165" fontId="27" fillId="0" borderId="28" xfId="1" applyNumberFormat="1" applyFont="1" applyFill="1" applyBorder="1" applyAlignment="1">
      <alignment horizontal="center"/>
    </xf>
    <xf numFmtId="0" fontId="27" fillId="0" borderId="28" xfId="0" applyFont="1" applyFill="1" applyBorder="1" applyAlignment="1">
      <alignment horizontal="left"/>
    </xf>
    <xf numFmtId="44" fontId="27" fillId="0" borderId="26" xfId="1" applyFont="1" applyFill="1" applyBorder="1"/>
    <xf numFmtId="165" fontId="2" fillId="0" borderId="22" xfId="0" applyNumberFormat="1" applyFont="1" applyFill="1" applyBorder="1" applyAlignment="1">
      <alignment horizontal="center"/>
    </xf>
    <xf numFmtId="0" fontId="28" fillId="0" borderId="28" xfId="0" applyFont="1" applyFill="1" applyBorder="1" applyAlignment="1">
      <alignment horizontal="left"/>
    </xf>
    <xf numFmtId="165" fontId="2" fillId="0" borderId="22" xfId="1" applyNumberFormat="1" applyFont="1" applyFill="1" applyBorder="1" applyAlignment="1">
      <alignment horizontal="center"/>
    </xf>
    <xf numFmtId="0" fontId="2" fillId="0" borderId="28" xfId="0" applyFont="1" applyFill="1" applyBorder="1" applyAlignment="1">
      <alignment horizontal="left"/>
    </xf>
    <xf numFmtId="44" fontId="2" fillId="0" borderId="47" xfId="1" applyFont="1" applyFill="1" applyBorder="1"/>
    <xf numFmtId="0" fontId="23" fillId="0" borderId="28" xfId="0" applyFont="1" applyFill="1" applyBorder="1" applyAlignment="1">
      <alignment horizontal="left"/>
    </xf>
    <xf numFmtId="44" fontId="2" fillId="0" borderId="48" xfId="1" applyFont="1" applyFill="1" applyBorder="1"/>
    <xf numFmtId="0" fontId="23" fillId="0" borderId="28" xfId="0" applyFont="1" applyFill="1" applyBorder="1" applyAlignment="1">
      <alignment horizontal="center"/>
    </xf>
    <xf numFmtId="166" fontId="4" fillId="0" borderId="0" xfId="0" applyNumberFormat="1" applyFont="1" applyFill="1" applyAlignment="1">
      <alignment horizontal="left"/>
    </xf>
    <xf numFmtId="44" fontId="2" fillId="0" borderId="49" xfId="1" applyFont="1" applyFill="1" applyBorder="1"/>
    <xf numFmtId="15" fontId="2" fillId="0" borderId="32" xfId="0" applyNumberFormat="1" applyFont="1" applyFill="1" applyBorder="1"/>
    <xf numFmtId="165" fontId="24" fillId="0" borderId="28" xfId="1" applyNumberFormat="1" applyFont="1" applyFill="1" applyBorder="1" applyAlignment="1">
      <alignment horizontal="center"/>
    </xf>
    <xf numFmtId="164" fontId="2" fillId="0" borderId="50" xfId="0" applyNumberFormat="1" applyFont="1" applyFill="1" applyBorder="1" applyAlignment="1">
      <alignment horizontal="center"/>
    </xf>
    <xf numFmtId="44" fontId="2" fillId="0" borderId="51" xfId="1" applyFont="1" applyFill="1" applyBorder="1"/>
    <xf numFmtId="15" fontId="2" fillId="0" borderId="16" xfId="0" applyNumberFormat="1" applyFont="1" applyFill="1" applyBorder="1"/>
    <xf numFmtId="165" fontId="22" fillId="0" borderId="28" xfId="1" applyNumberFormat="1" applyFont="1" applyFill="1" applyBorder="1" applyAlignment="1">
      <alignment horizontal="center"/>
    </xf>
    <xf numFmtId="164" fontId="2" fillId="0" borderId="50" xfId="0" applyNumberFormat="1" applyFont="1" applyBorder="1" applyAlignment="1">
      <alignment horizontal="center"/>
    </xf>
    <xf numFmtId="166" fontId="4" fillId="0" borderId="0" xfId="0" applyNumberFormat="1" applyFont="1" applyAlignment="1">
      <alignment horizontal="left"/>
    </xf>
    <xf numFmtId="15" fontId="2" fillId="0" borderId="16" xfId="0" applyNumberFormat="1" applyFont="1" applyBorder="1"/>
    <xf numFmtId="15" fontId="2" fillId="0" borderId="0" xfId="0" applyNumberFormat="1" applyFont="1" applyBorder="1"/>
    <xf numFmtId="165" fontId="22" fillId="0" borderId="0" xfId="1" applyNumberFormat="1" applyFont="1" applyFill="1" applyBorder="1" applyAlignment="1">
      <alignment horizontal="center"/>
    </xf>
    <xf numFmtId="0" fontId="23" fillId="0" borderId="0" xfId="0" applyFont="1" applyFill="1" applyAlignment="1">
      <alignment horizontal="center"/>
    </xf>
    <xf numFmtId="164" fontId="2" fillId="0" borderId="52" xfId="0" applyNumberFormat="1" applyFont="1" applyBorder="1" applyAlignment="1">
      <alignment horizontal="center"/>
    </xf>
    <xf numFmtId="44" fontId="14" fillId="0" borderId="53" xfId="1" applyFont="1" applyBorder="1"/>
    <xf numFmtId="0" fontId="0" fillId="0" borderId="54" xfId="0" applyBorder="1"/>
    <xf numFmtId="0" fontId="2" fillId="0" borderId="54" xfId="0" applyFont="1" applyBorder="1" applyAlignment="1">
      <alignment horizontal="center"/>
    </xf>
    <xf numFmtId="44" fontId="29" fillId="0" borderId="54" xfId="1" applyFont="1" applyBorder="1"/>
    <xf numFmtId="0" fontId="0" fillId="0" borderId="54" xfId="0" applyFont="1" applyBorder="1"/>
    <xf numFmtId="44" fontId="2" fillId="0" borderId="55" xfId="1" applyFont="1" applyBorder="1"/>
    <xf numFmtId="165" fontId="2" fillId="0" borderId="0" xfId="1" applyNumberFormat="1" applyFont="1" applyBorder="1"/>
    <xf numFmtId="166" fontId="2" fillId="0" borderId="56" xfId="0" applyNumberFormat="1" applyFont="1" applyBorder="1" applyAlignment="1">
      <alignment horizontal="center"/>
    </xf>
    <xf numFmtId="44" fontId="2" fillId="0" borderId="57" xfId="1" applyFont="1" applyBorder="1"/>
    <xf numFmtId="44" fontId="3" fillId="0" borderId="0" xfId="1" applyFont="1"/>
    <xf numFmtId="164" fontId="0" fillId="0" borderId="0" xfId="0" applyNumberFormat="1" applyFont="1" applyAlignment="1">
      <alignment horizontal="center"/>
    </xf>
    <xf numFmtId="0" fontId="2" fillId="0" borderId="0" xfId="0" applyFont="1"/>
    <xf numFmtId="164" fontId="23" fillId="0" borderId="0" xfId="0" applyNumberFormat="1" applyFont="1" applyAlignment="1">
      <alignment horizontal="center"/>
    </xf>
    <xf numFmtId="165" fontId="3" fillId="0" borderId="58" xfId="0" applyNumberFormat="1" applyFont="1" applyBorder="1" applyAlignment="1">
      <alignment horizontal="center" vertical="center" wrapText="1"/>
    </xf>
    <xf numFmtId="167" fontId="15" fillId="0" borderId="0" xfId="1" applyNumberFormat="1" applyFont="1" applyFill="1" applyBorder="1" applyAlignment="1">
      <alignment vertical="center"/>
    </xf>
    <xf numFmtId="44" fontId="3" fillId="0" borderId="30" xfId="1" applyFont="1" applyBorder="1"/>
    <xf numFmtId="44" fontId="14" fillId="0" borderId="0" xfId="1" applyFont="1" applyAlignment="1">
      <alignment horizontal="center" vertical="center" wrapText="1"/>
    </xf>
    <xf numFmtId="165" fontId="3" fillId="0" borderId="0" xfId="1" applyNumberFormat="1" applyFont="1" applyAlignment="1">
      <alignment horizontal="center" vertical="center" wrapText="1"/>
    </xf>
    <xf numFmtId="44" fontId="17" fillId="0" borderId="0" xfId="1" applyFont="1" applyBorder="1" applyAlignment="1">
      <alignment vertical="center"/>
    </xf>
    <xf numFmtId="44" fontId="4" fillId="0" borderId="0" xfId="1" applyFont="1" applyFill="1" applyBorder="1" applyAlignment="1">
      <alignment horizontal="center" vertical="center"/>
    </xf>
    <xf numFmtId="0" fontId="30" fillId="0" borderId="28" xfId="0" applyFont="1" applyBorder="1" applyAlignment="1">
      <alignment horizontal="left"/>
    </xf>
    <xf numFmtId="0" fontId="2" fillId="0" borderId="28" xfId="0" applyFont="1" applyBorder="1"/>
    <xf numFmtId="44" fontId="3" fillId="0" borderId="59" xfId="1" applyFont="1" applyBorder="1"/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vertical="center"/>
    </xf>
    <xf numFmtId="166" fontId="15" fillId="0" borderId="0" xfId="0" applyNumberFormat="1" applyFont="1" applyAlignment="1">
      <alignment horizontal="center"/>
    </xf>
    <xf numFmtId="44" fontId="15" fillId="0" borderId="0" xfId="1" applyFont="1"/>
    <xf numFmtId="16" fontId="0" fillId="0" borderId="0" xfId="0" applyNumberFormat="1" applyFont="1"/>
    <xf numFmtId="0" fontId="2" fillId="0" borderId="26" xfId="0" applyFont="1" applyBorder="1" applyAlignment="1">
      <alignment horizontal="left"/>
    </xf>
    <xf numFmtId="165" fontId="3" fillId="0" borderId="38" xfId="0" applyNumberFormat="1" applyFont="1" applyBorder="1" applyAlignment="1">
      <alignment vertical="center"/>
    </xf>
    <xf numFmtId="0" fontId="2" fillId="0" borderId="0" xfId="0" applyFont="1" applyAlignment="1">
      <alignment horizontal="right"/>
    </xf>
    <xf numFmtId="168" fontId="31" fillId="0" borderId="26" xfId="1" applyNumberFormat="1" applyFont="1" applyBorder="1"/>
    <xf numFmtId="44" fontId="32" fillId="0" borderId="5" xfId="1" applyFont="1" applyBorder="1"/>
    <xf numFmtId="44" fontId="33" fillId="0" borderId="0" xfId="1" applyFont="1"/>
    <xf numFmtId="0" fontId="33" fillId="0" borderId="0" xfId="0" applyFont="1" applyAlignment="1">
      <alignment horizontal="center"/>
    </xf>
    <xf numFmtId="44" fontId="26" fillId="0" borderId="0" xfId="1" applyFont="1"/>
    <xf numFmtId="165" fontId="2" fillId="0" borderId="0" xfId="0" applyNumberFormat="1" applyFont="1" applyAlignment="1">
      <alignment horizontal="center"/>
    </xf>
    <xf numFmtId="44" fontId="2" fillId="0" borderId="0" xfId="1" applyFont="1" applyFill="1" applyBorder="1" applyAlignment="1"/>
    <xf numFmtId="44" fontId="34" fillId="0" borderId="0" xfId="1" applyFont="1" applyFill="1" applyBorder="1" applyAlignment="1">
      <alignment horizontal="center" vertical="center"/>
    </xf>
    <xf numFmtId="44" fontId="34" fillId="0" borderId="0" xfId="1" applyFont="1" applyFill="1" applyBorder="1" applyAlignment="1">
      <alignment vertical="center"/>
    </xf>
    <xf numFmtId="164" fontId="2" fillId="0" borderId="0" xfId="0" applyNumberFormat="1" applyFont="1" applyAlignment="1">
      <alignment horizontal="left"/>
    </xf>
    <xf numFmtId="0" fontId="14" fillId="0" borderId="0" xfId="0" applyFont="1"/>
    <xf numFmtId="0" fontId="22" fillId="0" borderId="0" xfId="0" applyFont="1"/>
    <xf numFmtId="44" fontId="35" fillId="0" borderId="0" xfId="1" applyFont="1"/>
    <xf numFmtId="166" fontId="14" fillId="0" borderId="0" xfId="0" applyNumberFormat="1" applyFont="1" applyAlignment="1">
      <alignment horizontal="left"/>
    </xf>
    <xf numFmtId="44" fontId="1" fillId="0" borderId="0" xfId="1" applyBorder="1"/>
    <xf numFmtId="44" fontId="0" fillId="0" borderId="0" xfId="1" applyFont="1" applyBorder="1"/>
    <xf numFmtId="0" fontId="0" fillId="0" borderId="0" xfId="0" applyFill="1" applyBorder="1"/>
    <xf numFmtId="44" fontId="1" fillId="0" borderId="0" xfId="1" applyFill="1" applyBorder="1"/>
    <xf numFmtId="165" fontId="2" fillId="0" borderId="0" xfId="0" applyNumberFormat="1" applyFont="1" applyFill="1" applyBorder="1" applyAlignment="1">
      <alignment horizontal="left"/>
    </xf>
    <xf numFmtId="0" fontId="0" fillId="0" borderId="0" xfId="0" applyFont="1" applyFill="1" applyBorder="1"/>
    <xf numFmtId="0" fontId="20" fillId="0" borderId="0" xfId="0" applyFont="1" applyFill="1" applyAlignment="1">
      <alignment horizontal="center"/>
    </xf>
    <xf numFmtId="0" fontId="18" fillId="0" borderId="0" xfId="0" applyFont="1" applyFill="1" applyAlignment="1">
      <alignment horizontal="center"/>
    </xf>
    <xf numFmtId="164" fontId="8" fillId="10" borderId="61" xfId="0" applyNumberFormat="1" applyFont="1" applyFill="1" applyBorder="1" applyAlignment="1">
      <alignment vertical="center"/>
    </xf>
    <xf numFmtId="0" fontId="0" fillId="10" borderId="16" xfId="0" applyFill="1" applyBorder="1" applyAlignment="1">
      <alignment horizontal="center"/>
    </xf>
    <xf numFmtId="44" fontId="1" fillId="10" borderId="16" xfId="1" applyFill="1" applyBorder="1"/>
    <xf numFmtId="165" fontId="0" fillId="10" borderId="16" xfId="0" applyNumberFormat="1" applyFill="1" applyBorder="1"/>
    <xf numFmtId="164" fontId="8" fillId="10" borderId="62" xfId="0" applyNumberFormat="1" applyFont="1" applyFill="1" applyBorder="1" applyAlignment="1">
      <alignment horizontal="center" vertical="center" wrapText="1"/>
    </xf>
    <xf numFmtId="0" fontId="8" fillId="8" borderId="61" xfId="0" applyFont="1" applyFill="1" applyBorder="1" applyAlignment="1">
      <alignment vertical="center"/>
    </xf>
    <xf numFmtId="0" fontId="4" fillId="8" borderId="16" xfId="0" applyFont="1" applyFill="1" applyBorder="1"/>
    <xf numFmtId="44" fontId="1" fillId="8" borderId="16" xfId="1" applyFill="1" applyBorder="1"/>
    <xf numFmtId="165" fontId="0" fillId="8" borderId="16" xfId="0" applyNumberFormat="1" applyFill="1" applyBorder="1"/>
    <xf numFmtId="164" fontId="8" fillId="10" borderId="63" xfId="0" applyNumberFormat="1" applyFont="1" applyFill="1" applyBorder="1" applyAlignment="1">
      <alignment horizontal="center" vertical="center" wrapText="1"/>
    </xf>
    <xf numFmtId="164" fontId="3" fillId="0" borderId="64" xfId="0" applyNumberFormat="1" applyFont="1" applyBorder="1" applyAlignment="1">
      <alignment horizontal="center"/>
    </xf>
    <xf numFmtId="0" fontId="3" fillId="0" borderId="65" xfId="0" applyFont="1" applyBorder="1" applyAlignment="1">
      <alignment horizontal="center"/>
    </xf>
    <xf numFmtId="44" fontId="3" fillId="0" borderId="65" xfId="1" applyFont="1" applyBorder="1" applyAlignment="1">
      <alignment horizontal="center"/>
    </xf>
    <xf numFmtId="165" fontId="3" fillId="0" borderId="65" xfId="0" applyNumberFormat="1" applyFont="1" applyBorder="1" applyAlignment="1">
      <alignment horizontal="center"/>
    </xf>
    <xf numFmtId="44" fontId="3" fillId="0" borderId="66" xfId="1" applyFont="1" applyBorder="1" applyAlignment="1">
      <alignment horizontal="center"/>
    </xf>
    <xf numFmtId="44" fontId="17" fillId="4" borderId="5" xfId="1" applyFont="1" applyFill="1" applyBorder="1" applyAlignment="1">
      <alignment horizontal="center"/>
    </xf>
    <xf numFmtId="0" fontId="3" fillId="0" borderId="56" xfId="0" applyFont="1" applyBorder="1" applyAlignment="1">
      <alignment horizontal="center"/>
    </xf>
    <xf numFmtId="0" fontId="14" fillId="0" borderId="67" xfId="0" applyFont="1" applyBorder="1" applyAlignment="1">
      <alignment horizontal="center"/>
    </xf>
    <xf numFmtId="44" fontId="3" fillId="0" borderId="67" xfId="1" applyFont="1" applyBorder="1" applyAlignment="1">
      <alignment horizontal="center"/>
    </xf>
    <xf numFmtId="165" fontId="3" fillId="0" borderId="67" xfId="0" applyNumberFormat="1" applyFont="1" applyBorder="1" applyAlignment="1">
      <alignment horizontal="center"/>
    </xf>
    <xf numFmtId="44" fontId="17" fillId="0" borderId="57" xfId="1" applyFont="1" applyBorder="1" applyAlignment="1">
      <alignment horizontal="center"/>
    </xf>
    <xf numFmtId="164" fontId="3" fillId="0" borderId="22" xfId="0" applyNumberFormat="1" applyFont="1" applyFill="1" applyBorder="1"/>
    <xf numFmtId="49" fontId="3" fillId="0" borderId="22" xfId="0" applyNumberFormat="1" applyFont="1" applyFill="1" applyBorder="1" applyAlignment="1">
      <alignment horizontal="center"/>
    </xf>
    <xf numFmtId="44" fontId="3" fillId="0" borderId="22" xfId="1" applyFont="1" applyFill="1" applyBorder="1"/>
    <xf numFmtId="165" fontId="3" fillId="0" borderId="22" xfId="0" applyNumberFormat="1" applyFont="1" applyFill="1" applyBorder="1"/>
    <xf numFmtId="44" fontId="3" fillId="0" borderId="68" xfId="1" applyFont="1" applyFill="1" applyBorder="1"/>
    <xf numFmtId="44" fontId="2" fillId="0" borderId="69" xfId="1" applyFont="1" applyFill="1" applyBorder="1"/>
    <xf numFmtId="44" fontId="39" fillId="0" borderId="70" xfId="1" applyFont="1" applyBorder="1"/>
    <xf numFmtId="164" fontId="3" fillId="0" borderId="28" xfId="0" applyNumberFormat="1" applyFont="1" applyFill="1" applyBorder="1"/>
    <xf numFmtId="49" fontId="3" fillId="0" borderId="28" xfId="0" applyNumberFormat="1" applyFont="1" applyFill="1" applyBorder="1" applyAlignment="1">
      <alignment horizontal="center"/>
    </xf>
    <xf numFmtId="165" fontId="3" fillId="0" borderId="28" xfId="0" applyNumberFormat="1" applyFont="1" applyFill="1" applyBorder="1"/>
    <xf numFmtId="44" fontId="3" fillId="0" borderId="38" xfId="1" applyFont="1" applyFill="1" applyBorder="1"/>
    <xf numFmtId="0" fontId="16" fillId="0" borderId="0" xfId="0" applyFont="1"/>
    <xf numFmtId="44" fontId="39" fillId="0" borderId="70" xfId="1" applyFont="1" applyFill="1" applyBorder="1"/>
    <xf numFmtId="49" fontId="3" fillId="11" borderId="71" xfId="0" applyNumberFormat="1" applyFont="1" applyFill="1" applyBorder="1"/>
    <xf numFmtId="0" fontId="3" fillId="11" borderId="69" xfId="0" applyFont="1" applyFill="1" applyBorder="1" applyAlignment="1">
      <alignment horizontal="center"/>
    </xf>
    <xf numFmtId="44" fontId="3" fillId="11" borderId="69" xfId="1" applyFont="1" applyFill="1" applyBorder="1"/>
    <xf numFmtId="44" fontId="17" fillId="0" borderId="69" xfId="1" applyFont="1" applyFill="1" applyBorder="1"/>
    <xf numFmtId="0" fontId="16" fillId="0" borderId="0" xfId="0" applyFont="1" applyFill="1"/>
    <xf numFmtId="0" fontId="0" fillId="0" borderId="0" xfId="0" applyFill="1"/>
    <xf numFmtId="0" fontId="22" fillId="0" borderId="0" xfId="0" applyFont="1" applyFill="1"/>
    <xf numFmtId="49" fontId="3" fillId="0" borderId="71" xfId="0" applyNumberFormat="1" applyFont="1" applyFill="1" applyBorder="1"/>
    <xf numFmtId="0" fontId="3" fillId="0" borderId="69" xfId="0" applyFont="1" applyFill="1" applyBorder="1" applyAlignment="1">
      <alignment horizontal="center"/>
    </xf>
    <xf numFmtId="44" fontId="3" fillId="0" borderId="69" xfId="1" applyFont="1" applyFill="1" applyBorder="1"/>
    <xf numFmtId="165" fontId="2" fillId="0" borderId="28" xfId="0" applyNumberFormat="1" applyFont="1" applyFill="1" applyBorder="1" applyAlignment="1">
      <alignment horizontal="center"/>
    </xf>
    <xf numFmtId="164" fontId="40" fillId="0" borderId="28" xfId="0" applyNumberFormat="1" applyFont="1" applyFill="1" applyBorder="1" applyAlignment="1">
      <alignment horizontal="center"/>
    </xf>
    <xf numFmtId="1" fontId="41" fillId="0" borderId="28" xfId="0" applyNumberFormat="1" applyFont="1" applyFill="1" applyBorder="1" applyAlignment="1">
      <alignment horizontal="center"/>
    </xf>
    <xf numFmtId="164" fontId="0" fillId="0" borderId="28" xfId="0" applyNumberFormat="1" applyFont="1" applyFill="1" applyBorder="1"/>
    <xf numFmtId="49" fontId="0" fillId="0" borderId="28" xfId="0" applyNumberFormat="1" applyFont="1" applyFill="1" applyBorder="1"/>
    <xf numFmtId="44" fontId="0" fillId="0" borderId="28" xfId="1" applyFont="1" applyFill="1" applyBorder="1"/>
    <xf numFmtId="164" fontId="3" fillId="0" borderId="28" xfId="0" applyNumberFormat="1" applyFont="1" applyFill="1" applyBorder="1" applyAlignment="1">
      <alignment horizontal="center"/>
    </xf>
    <xf numFmtId="1" fontId="3" fillId="0" borderId="28" xfId="0" applyNumberFormat="1" applyFont="1" applyFill="1" applyBorder="1" applyAlignment="1">
      <alignment horizontal="center"/>
    </xf>
    <xf numFmtId="164" fontId="42" fillId="0" borderId="28" xfId="0" applyNumberFormat="1" applyFont="1" applyFill="1" applyBorder="1" applyAlignment="1">
      <alignment horizontal="center"/>
    </xf>
    <xf numFmtId="164" fontId="43" fillId="0" borderId="28" xfId="0" applyNumberFormat="1" applyFont="1" applyFill="1" applyBorder="1" applyAlignment="1">
      <alignment horizontal="center"/>
    </xf>
    <xf numFmtId="1" fontId="2" fillId="0" borderId="28" xfId="0" applyNumberFormat="1" applyFont="1" applyFill="1" applyBorder="1" applyAlignment="1">
      <alignment horizontal="center"/>
    </xf>
    <xf numFmtId="1" fontId="4" fillId="0" borderId="28" xfId="0" applyNumberFormat="1" applyFont="1" applyFill="1" applyBorder="1" applyAlignment="1">
      <alignment horizontal="center"/>
    </xf>
    <xf numFmtId="165" fontId="2" fillId="0" borderId="28" xfId="0" applyNumberFormat="1" applyFont="1" applyBorder="1" applyAlignment="1">
      <alignment horizontal="center"/>
    </xf>
    <xf numFmtId="164" fontId="40" fillId="0" borderId="77" xfId="0" applyNumberFormat="1" applyFont="1" applyFill="1" applyBorder="1" applyAlignment="1">
      <alignment horizontal="center"/>
    </xf>
    <xf numFmtId="1" fontId="41" fillId="0" borderId="77" xfId="0" applyNumberFormat="1" applyFont="1" applyFill="1" applyBorder="1" applyAlignment="1">
      <alignment horizontal="center"/>
    </xf>
    <xf numFmtId="164" fontId="40" fillId="0" borderId="78" xfId="0" applyNumberFormat="1" applyFont="1" applyBorder="1" applyAlignment="1">
      <alignment horizontal="center"/>
    </xf>
    <xf numFmtId="1" fontId="41" fillId="0" borderId="77" xfId="0" applyNumberFormat="1" applyFont="1" applyBorder="1" applyAlignment="1">
      <alignment horizontal="center"/>
    </xf>
    <xf numFmtId="165" fontId="2" fillId="0" borderId="6" xfId="0" applyNumberFormat="1" applyFont="1" applyBorder="1" applyAlignment="1">
      <alignment horizontal="center"/>
    </xf>
    <xf numFmtId="44" fontId="2" fillId="0" borderId="6" xfId="1" applyFont="1" applyFill="1" applyBorder="1"/>
    <xf numFmtId="1" fontId="41" fillId="0" borderId="78" xfId="0" applyNumberFormat="1" applyFont="1" applyBorder="1" applyAlignment="1">
      <alignment horizontal="center"/>
    </xf>
    <xf numFmtId="164" fontId="2" fillId="0" borderId="0" xfId="0" applyNumberFormat="1" applyFont="1"/>
    <xf numFmtId="0" fontId="2" fillId="0" borderId="61" xfId="0" applyFont="1" applyBorder="1" applyAlignment="1">
      <alignment horizontal="center"/>
    </xf>
    <xf numFmtId="44" fontId="17" fillId="7" borderId="79" xfId="1" applyFont="1" applyFill="1" applyBorder="1"/>
    <xf numFmtId="165" fontId="17" fillId="7" borderId="79" xfId="1" applyNumberFormat="1" applyFont="1" applyFill="1" applyBorder="1"/>
    <xf numFmtId="44" fontId="3" fillId="7" borderId="79" xfId="1" applyFont="1" applyFill="1" applyBorder="1"/>
    <xf numFmtId="44" fontId="44" fillId="4" borderId="70" xfId="1" applyFont="1" applyFill="1" applyBorder="1"/>
    <xf numFmtId="44" fontId="8" fillId="13" borderId="0" xfId="1" applyFont="1" applyFill="1"/>
    <xf numFmtId="165" fontId="3" fillId="13" borderId="0" xfId="1" applyNumberFormat="1" applyFont="1" applyFill="1"/>
    <xf numFmtId="44" fontId="3" fillId="13" borderId="0" xfId="1" applyFont="1" applyFill="1"/>
    <xf numFmtId="0" fontId="2" fillId="0" borderId="80" xfId="0" applyFont="1" applyBorder="1" applyAlignment="1">
      <alignment horizontal="center"/>
    </xf>
    <xf numFmtId="44" fontId="2" fillId="0" borderId="81" xfId="1" applyFont="1" applyBorder="1"/>
    <xf numFmtId="165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/>
    <xf numFmtId="164" fontId="3" fillId="0" borderId="0" xfId="0" applyNumberFormat="1" applyFont="1" applyFill="1" applyBorder="1"/>
    <xf numFmtId="49" fontId="3" fillId="0" borderId="0" xfId="0" applyNumberFormat="1" applyFont="1" applyFill="1" applyBorder="1" applyAlignment="1">
      <alignment horizontal="center"/>
    </xf>
    <xf numFmtId="165" fontId="0" fillId="0" borderId="0" xfId="0" applyNumberFormat="1"/>
    <xf numFmtId="16" fontId="4" fillId="0" borderId="0" xfId="0" applyNumberFormat="1" applyFont="1"/>
    <xf numFmtId="164" fontId="0" fillId="0" borderId="0" xfId="0" applyNumberFormat="1"/>
    <xf numFmtId="49" fontId="0" fillId="0" borderId="71" xfId="0" applyNumberFormat="1" applyFont="1" applyFill="1" applyBorder="1"/>
    <xf numFmtId="0" fontId="0" fillId="0" borderId="69" xfId="0" applyFont="1" applyFill="1" applyBorder="1"/>
    <xf numFmtId="44" fontId="0" fillId="0" borderId="69" xfId="1" applyFont="1" applyFill="1" applyBorder="1"/>
    <xf numFmtId="0" fontId="0" fillId="0" borderId="0" xfId="0" applyAlignment="1">
      <alignment horizontal="center"/>
    </xf>
    <xf numFmtId="0" fontId="2" fillId="0" borderId="69" xfId="0" applyFont="1" applyFill="1" applyBorder="1" applyAlignment="1">
      <alignment horizontal="center"/>
    </xf>
    <xf numFmtId="44" fontId="2" fillId="3" borderId="27" xfId="1" applyFont="1" applyFill="1" applyBorder="1" applyAlignment="1">
      <alignment horizontal="center"/>
    </xf>
    <xf numFmtId="0" fontId="22" fillId="14" borderId="30" xfId="0" applyFont="1" applyFill="1" applyBorder="1" applyAlignment="1">
      <alignment horizontal="center" wrapText="1"/>
    </xf>
    <xf numFmtId="0" fontId="3" fillId="3" borderId="0" xfId="0" applyFont="1" applyFill="1" applyAlignment="1">
      <alignment horizontal="center" wrapText="1"/>
    </xf>
    <xf numFmtId="44" fontId="3" fillId="15" borderId="26" xfId="1" applyFont="1" applyFill="1" applyBorder="1"/>
    <xf numFmtId="0" fontId="3" fillId="11" borderId="69" xfId="0" applyFont="1" applyFill="1" applyBorder="1"/>
    <xf numFmtId="49" fontId="3" fillId="0" borderId="71" xfId="0" applyNumberFormat="1" applyFont="1" applyBorder="1"/>
    <xf numFmtId="0" fontId="3" fillId="0" borderId="69" xfId="0" applyFont="1" applyBorder="1"/>
    <xf numFmtId="44" fontId="3" fillId="0" borderId="69" xfId="1" applyFont="1" applyBorder="1"/>
    <xf numFmtId="0" fontId="3" fillId="0" borderId="69" xfId="0" applyFont="1" applyFill="1" applyBorder="1"/>
    <xf numFmtId="0" fontId="22" fillId="0" borderId="30" xfId="0" applyFont="1" applyFill="1" applyBorder="1" applyAlignment="1">
      <alignment horizontal="center" wrapText="1"/>
    </xf>
    <xf numFmtId="0" fontId="3" fillId="0" borderId="0" xfId="0" applyFont="1" applyFill="1" applyAlignment="1">
      <alignment horizontal="center" wrapText="1"/>
    </xf>
    <xf numFmtId="0" fontId="2" fillId="0" borderId="0" xfId="0" applyFont="1" applyBorder="1"/>
    <xf numFmtId="0" fontId="4" fillId="0" borderId="0" xfId="0" applyFont="1" applyBorder="1"/>
    <xf numFmtId="44" fontId="2" fillId="0" borderId="0" xfId="1" applyFont="1" applyBorder="1"/>
    <xf numFmtId="165" fontId="0" fillId="0" borderId="0" xfId="0" applyNumberFormat="1" applyBorder="1" applyAlignment="1">
      <alignment horizontal="center"/>
    </xf>
    <xf numFmtId="16" fontId="4" fillId="0" borderId="0" xfId="0" applyNumberFormat="1" applyFont="1" applyBorder="1"/>
    <xf numFmtId="165" fontId="0" fillId="0" borderId="0" xfId="0" applyNumberFormat="1" applyBorder="1"/>
    <xf numFmtId="0" fontId="0" fillId="0" borderId="0" xfId="0" applyBorder="1"/>
    <xf numFmtId="0" fontId="2" fillId="0" borderId="0" xfId="0" applyFont="1" applyFill="1" applyBorder="1"/>
    <xf numFmtId="16" fontId="4" fillId="0" borderId="0" xfId="0" applyNumberFormat="1" applyFont="1" applyFill="1" applyBorder="1"/>
    <xf numFmtId="165" fontId="0" fillId="0" borderId="0" xfId="0" applyNumberFormat="1" applyFill="1" applyBorder="1"/>
    <xf numFmtId="49" fontId="0" fillId="0" borderId="0" xfId="0" applyNumberFormat="1" applyFont="1" applyFill="1" applyBorder="1"/>
    <xf numFmtId="44" fontId="0" fillId="0" borderId="0" xfId="1" applyFont="1" applyFill="1" applyBorder="1"/>
    <xf numFmtId="166" fontId="18" fillId="0" borderId="28" xfId="0" applyNumberFormat="1" applyFont="1" applyFill="1" applyBorder="1" applyAlignment="1">
      <alignment horizontal="center"/>
    </xf>
    <xf numFmtId="16" fontId="23" fillId="0" borderId="28" xfId="0" applyNumberFormat="1" applyFont="1" applyFill="1" applyBorder="1" applyAlignment="1">
      <alignment horizontal="center"/>
    </xf>
    <xf numFmtId="165" fontId="3" fillId="16" borderId="22" xfId="0" applyNumberFormat="1" applyFont="1" applyFill="1" applyBorder="1"/>
    <xf numFmtId="44" fontId="3" fillId="16" borderId="69" xfId="1" applyFont="1" applyFill="1" applyBorder="1"/>
    <xf numFmtId="44" fontId="3" fillId="17" borderId="69" xfId="1" applyFont="1" applyFill="1" applyBorder="1"/>
    <xf numFmtId="0" fontId="2" fillId="0" borderId="69" xfId="0" applyFont="1" applyFill="1" applyBorder="1"/>
    <xf numFmtId="0" fontId="2" fillId="0" borderId="61" xfId="0" applyFont="1" applyBorder="1"/>
    <xf numFmtId="16" fontId="4" fillId="0" borderId="16" xfId="0" applyNumberFormat="1" applyFont="1" applyBorder="1"/>
    <xf numFmtId="44" fontId="1" fillId="0" borderId="16" xfId="1" applyBorder="1"/>
    <xf numFmtId="165" fontId="0" fillId="0" borderId="16" xfId="0" applyNumberFormat="1" applyBorder="1"/>
    <xf numFmtId="0" fontId="0" fillId="0" borderId="16" xfId="0" applyBorder="1"/>
    <xf numFmtId="44" fontId="0" fillId="0" borderId="79" xfId="1" applyFont="1" applyBorder="1"/>
    <xf numFmtId="0" fontId="2" fillId="0" borderId="2" xfId="0" applyFont="1" applyFill="1" applyBorder="1"/>
    <xf numFmtId="16" fontId="16" fillId="0" borderId="0" xfId="0" applyNumberFormat="1" applyFont="1" applyFill="1" applyBorder="1"/>
    <xf numFmtId="44" fontId="0" fillId="0" borderId="4" xfId="1" applyFont="1" applyBorder="1"/>
    <xf numFmtId="49" fontId="0" fillId="0" borderId="82" xfId="0" applyNumberFormat="1" applyFont="1" applyFill="1" applyBorder="1"/>
    <xf numFmtId="0" fontId="0" fillId="0" borderId="4" xfId="0" applyBorder="1"/>
    <xf numFmtId="0" fontId="0" fillId="0" borderId="2" xfId="0" applyFill="1" applyBorder="1"/>
    <xf numFmtId="0" fontId="2" fillId="14" borderId="0" xfId="0" applyFont="1" applyFill="1" applyBorder="1"/>
    <xf numFmtId="44" fontId="1" fillId="14" borderId="0" xfId="1" applyFill="1" applyBorder="1"/>
    <xf numFmtId="165" fontId="0" fillId="14" borderId="0" xfId="0" applyNumberFormat="1" applyFill="1" applyBorder="1"/>
    <xf numFmtId="44" fontId="15" fillId="14" borderId="0" xfId="1" applyFont="1" applyFill="1" applyBorder="1"/>
    <xf numFmtId="0" fontId="0" fillId="0" borderId="2" xfId="0" applyBorder="1"/>
    <xf numFmtId="0" fontId="0" fillId="0" borderId="80" xfId="0" applyBorder="1"/>
    <xf numFmtId="0" fontId="0" fillId="0" borderId="5" xfId="0" applyBorder="1"/>
    <xf numFmtId="165" fontId="0" fillId="0" borderId="5" xfId="0" applyNumberFormat="1" applyBorder="1"/>
    <xf numFmtId="0" fontId="0" fillId="0" borderId="81" xfId="0" applyBorder="1"/>
    <xf numFmtId="165" fontId="3" fillId="0" borderId="28" xfId="0" applyNumberFormat="1" applyFont="1" applyFill="1" applyBorder="1" applyAlignment="1">
      <alignment wrapText="1"/>
    </xf>
    <xf numFmtId="166" fontId="4" fillId="0" borderId="35" xfId="0" applyNumberFormat="1" applyFont="1" applyFill="1" applyBorder="1"/>
    <xf numFmtId="0" fontId="23" fillId="0" borderId="28" xfId="0" applyFont="1" applyFill="1" applyBorder="1" applyAlignment="1"/>
    <xf numFmtId="16" fontId="3" fillId="0" borderId="28" xfId="0" applyNumberFormat="1" applyFont="1" applyFill="1" applyBorder="1" applyAlignment="1">
      <alignment horizontal="center"/>
    </xf>
    <xf numFmtId="0" fontId="22" fillId="0" borderId="28" xfId="0" applyFont="1" applyFill="1" applyBorder="1" applyAlignment="1">
      <alignment horizontal="left"/>
    </xf>
    <xf numFmtId="165" fontId="22" fillId="0" borderId="26" xfId="1" applyNumberFormat="1" applyFont="1" applyFill="1" applyBorder="1" applyAlignment="1">
      <alignment horizontal="left"/>
    </xf>
    <xf numFmtId="165" fontId="2" fillId="0" borderId="26" xfId="1" applyNumberFormat="1" applyFont="1" applyFill="1" applyBorder="1" applyAlignment="1">
      <alignment horizontal="center"/>
    </xf>
    <xf numFmtId="165" fontId="2" fillId="0" borderId="26" xfId="1" applyNumberFormat="1" applyFont="1" applyFill="1" applyBorder="1" applyAlignment="1">
      <alignment horizontal="left"/>
    </xf>
    <xf numFmtId="165" fontId="3" fillId="0" borderId="26" xfId="1" applyNumberFormat="1" applyFont="1" applyFill="1" applyBorder="1" applyAlignment="1">
      <alignment horizontal="center"/>
    </xf>
    <xf numFmtId="165" fontId="2" fillId="0" borderId="76" xfId="1" applyNumberFormat="1" applyFont="1" applyFill="1" applyBorder="1" applyAlignment="1">
      <alignment horizontal="center"/>
    </xf>
    <xf numFmtId="0" fontId="23" fillId="0" borderId="29" xfId="0" applyFont="1" applyFill="1" applyBorder="1" applyAlignment="1">
      <alignment horizontal="center" wrapText="1"/>
    </xf>
    <xf numFmtId="0" fontId="2" fillId="0" borderId="29" xfId="0" applyFont="1" applyFill="1" applyBorder="1" applyAlignment="1">
      <alignment horizontal="left"/>
    </xf>
    <xf numFmtId="0" fontId="22" fillId="0" borderId="83" xfId="0" applyFont="1" applyFill="1" applyBorder="1" applyAlignment="1">
      <alignment horizontal="center" wrapText="1"/>
    </xf>
    <xf numFmtId="0" fontId="22" fillId="0" borderId="29" xfId="0" applyFont="1" applyFill="1" applyBorder="1" applyAlignment="1">
      <alignment horizontal="center"/>
    </xf>
    <xf numFmtId="16" fontId="2" fillId="0" borderId="83" xfId="0" applyNumberFormat="1" applyFont="1" applyFill="1" applyBorder="1" applyAlignment="1">
      <alignment horizontal="center"/>
    </xf>
    <xf numFmtId="0" fontId="2" fillId="0" borderId="29" xfId="0" applyFont="1" applyFill="1" applyBorder="1" applyAlignment="1">
      <alignment horizontal="left" wrapText="1"/>
    </xf>
    <xf numFmtId="16" fontId="23" fillId="0" borderId="29" xfId="0" applyNumberFormat="1" applyFont="1" applyFill="1" applyBorder="1" applyAlignment="1">
      <alignment horizontal="center"/>
    </xf>
    <xf numFmtId="0" fontId="22" fillId="0" borderId="29" xfId="0" applyFont="1" applyFill="1" applyBorder="1" applyAlignment="1">
      <alignment horizontal="left"/>
    </xf>
    <xf numFmtId="0" fontId="23" fillId="0" borderId="29" xfId="0" applyFont="1" applyFill="1" applyBorder="1" applyAlignment="1">
      <alignment horizontal="left"/>
    </xf>
    <xf numFmtId="0" fontId="23" fillId="0" borderId="29" xfId="0" applyFont="1" applyFill="1" applyBorder="1" applyAlignment="1">
      <alignment horizontal="center"/>
    </xf>
    <xf numFmtId="49" fontId="2" fillId="0" borderId="71" xfId="0" applyNumberFormat="1" applyFont="1" applyFill="1" applyBorder="1"/>
    <xf numFmtId="164" fontId="3" fillId="0" borderId="71" xfId="0" applyNumberFormat="1" applyFont="1" applyBorder="1" applyAlignment="1">
      <alignment horizontal="left"/>
    </xf>
    <xf numFmtId="165" fontId="0" fillId="0" borderId="71" xfId="0" applyNumberFormat="1" applyFont="1" applyFill="1" applyBorder="1"/>
    <xf numFmtId="44" fontId="3" fillId="3" borderId="27" xfId="1" applyFont="1" applyFill="1" applyBorder="1" applyAlignment="1">
      <alignment horizontal="center"/>
    </xf>
    <xf numFmtId="0" fontId="23" fillId="0" borderId="61" xfId="0" applyFont="1" applyFill="1" applyBorder="1" applyAlignment="1">
      <alignment horizontal="left"/>
    </xf>
    <xf numFmtId="16" fontId="24" fillId="19" borderId="29" xfId="0" applyNumberFormat="1" applyFont="1" applyFill="1" applyBorder="1" applyAlignment="1">
      <alignment horizontal="center"/>
    </xf>
    <xf numFmtId="0" fontId="0" fillId="0" borderId="29" xfId="0" applyFont="1" applyFill="1" applyBorder="1" applyAlignment="1">
      <alignment horizontal="center" wrapText="1"/>
    </xf>
    <xf numFmtId="44" fontId="3" fillId="0" borderId="23" xfId="1" applyFont="1" applyFill="1" applyBorder="1"/>
    <xf numFmtId="165" fontId="14" fillId="0" borderId="28" xfId="1" applyNumberFormat="1" applyFont="1" applyFill="1" applyBorder="1" applyAlignment="1">
      <alignment horizontal="center"/>
    </xf>
    <xf numFmtId="0" fontId="14" fillId="0" borderId="28" xfId="0" applyFont="1" applyFill="1" applyBorder="1" applyAlignment="1">
      <alignment horizontal="center"/>
    </xf>
    <xf numFmtId="44" fontId="14" fillId="0" borderId="26" xfId="1" applyFont="1" applyFill="1" applyBorder="1"/>
    <xf numFmtId="165" fontId="2" fillId="0" borderId="26" xfId="0" applyNumberFormat="1" applyFont="1" applyFill="1" applyBorder="1" applyAlignment="1">
      <alignment horizontal="center"/>
    </xf>
    <xf numFmtId="166" fontId="26" fillId="0" borderId="38" xfId="0" applyNumberFormat="1" applyFont="1" applyFill="1" applyBorder="1"/>
    <xf numFmtId="166" fontId="3" fillId="0" borderId="0" xfId="0" applyNumberFormat="1" applyFont="1" applyFill="1" applyBorder="1" applyAlignment="1">
      <alignment horizontal="center"/>
    </xf>
    <xf numFmtId="44" fontId="2" fillId="18" borderId="39" xfId="1" applyFont="1" applyFill="1" applyBorder="1"/>
    <xf numFmtId="165" fontId="14" fillId="0" borderId="26" xfId="1" applyNumberFormat="1" applyFont="1" applyFill="1" applyBorder="1" applyAlignment="1">
      <alignment horizontal="center"/>
    </xf>
    <xf numFmtId="0" fontId="4" fillId="0" borderId="29" xfId="0" applyFont="1" applyFill="1" applyBorder="1" applyAlignment="1">
      <alignment horizontal="center"/>
    </xf>
    <xf numFmtId="44" fontId="4" fillId="0" borderId="26" xfId="1" applyFont="1" applyFill="1" applyBorder="1"/>
    <xf numFmtId="165" fontId="4" fillId="0" borderId="26" xfId="1" applyNumberFormat="1" applyFont="1" applyFill="1" applyBorder="1" applyAlignment="1">
      <alignment horizontal="center"/>
    </xf>
    <xf numFmtId="16" fontId="18" fillId="0" borderId="29" xfId="0" applyNumberFormat="1" applyFont="1" applyFill="1" applyBorder="1" applyAlignment="1">
      <alignment horizontal="center"/>
    </xf>
    <xf numFmtId="44" fontId="4" fillId="0" borderId="28" xfId="1" applyFont="1" applyFill="1" applyBorder="1"/>
    <xf numFmtId="0" fontId="4" fillId="0" borderId="29" xfId="0" applyFont="1" applyFill="1" applyBorder="1" applyAlignment="1"/>
    <xf numFmtId="165" fontId="4" fillId="0" borderId="7" xfId="1" applyNumberFormat="1" applyFont="1" applyFill="1" applyBorder="1" applyAlignment="1">
      <alignment horizontal="center"/>
    </xf>
    <xf numFmtId="44" fontId="4" fillId="0" borderId="33" xfId="1" applyFont="1" applyFill="1" applyBorder="1"/>
    <xf numFmtId="44" fontId="2" fillId="18" borderId="26" xfId="1" applyFont="1" applyFill="1" applyBorder="1"/>
    <xf numFmtId="44" fontId="2" fillId="18" borderId="37" xfId="1" applyFont="1" applyFill="1" applyBorder="1"/>
    <xf numFmtId="44" fontId="2" fillId="18" borderId="33" xfId="1" applyFont="1" applyFill="1" applyBorder="1"/>
    <xf numFmtId="44" fontId="2" fillId="18" borderId="26" xfId="1" applyFont="1" applyFill="1" applyBorder="1" applyAlignment="1">
      <alignment horizontal="right"/>
    </xf>
    <xf numFmtId="44" fontId="2" fillId="18" borderId="28" xfId="1" applyFont="1" applyFill="1" applyBorder="1"/>
    <xf numFmtId="165" fontId="2" fillId="0" borderId="71" xfId="0" applyNumberFormat="1" applyFont="1" applyFill="1" applyBorder="1" applyAlignment="1">
      <alignment horizontal="left"/>
    </xf>
    <xf numFmtId="49" fontId="0" fillId="0" borderId="69" xfId="0" applyNumberFormat="1" applyFont="1" applyFill="1" applyBorder="1"/>
    <xf numFmtId="0" fontId="24" fillId="0" borderId="29" xfId="0" applyFont="1" applyFill="1" applyBorder="1" applyAlignment="1">
      <alignment horizontal="left"/>
    </xf>
    <xf numFmtId="49" fontId="11" fillId="0" borderId="71" xfId="0" applyNumberFormat="1" applyFont="1" applyBorder="1"/>
    <xf numFmtId="0" fontId="11" fillId="0" borderId="69" xfId="0" applyFont="1" applyBorder="1"/>
    <xf numFmtId="44" fontId="11" fillId="0" borderId="69" xfId="1" applyFont="1" applyBorder="1"/>
    <xf numFmtId="49" fontId="11" fillId="11" borderId="71" xfId="0" applyNumberFormat="1" applyFont="1" applyFill="1" applyBorder="1"/>
    <xf numFmtId="0" fontId="11" fillId="11" borderId="69" xfId="0" applyFont="1" applyFill="1" applyBorder="1"/>
    <xf numFmtId="44" fontId="11" fillId="11" borderId="69" xfId="1" applyFont="1" applyFill="1" applyBorder="1"/>
    <xf numFmtId="44" fontId="3" fillId="0" borderId="27" xfId="1" applyFont="1" applyFill="1" applyBorder="1" applyAlignment="1">
      <alignment horizontal="center"/>
    </xf>
    <xf numFmtId="165" fontId="3" fillId="0" borderId="28" xfId="0" applyNumberFormat="1" applyFont="1" applyFill="1" applyBorder="1" applyAlignment="1">
      <alignment horizontal="center" wrapText="1"/>
    </xf>
    <xf numFmtId="44" fontId="3" fillId="4" borderId="28" xfId="1" applyFont="1" applyFill="1" applyBorder="1"/>
    <xf numFmtId="165" fontId="14" fillId="4" borderId="28" xfId="0" applyNumberFormat="1" applyFont="1" applyFill="1" applyBorder="1" applyAlignment="1">
      <alignment wrapText="1"/>
    </xf>
    <xf numFmtId="44" fontId="14" fillId="4" borderId="28" xfId="1" applyFont="1" applyFill="1" applyBorder="1"/>
    <xf numFmtId="164" fontId="3" fillId="4" borderId="28" xfId="0" applyNumberFormat="1" applyFont="1" applyFill="1" applyBorder="1"/>
    <xf numFmtId="49" fontId="3" fillId="4" borderId="28" xfId="0" applyNumberFormat="1" applyFont="1" applyFill="1" applyBorder="1" applyAlignment="1">
      <alignment horizontal="center"/>
    </xf>
    <xf numFmtId="165" fontId="3" fillId="4" borderId="28" xfId="0" applyNumberFormat="1" applyFont="1" applyFill="1" applyBorder="1"/>
    <xf numFmtId="165" fontId="2" fillId="0" borderId="28" xfId="0" applyNumberFormat="1" applyFont="1" applyFill="1" applyBorder="1" applyAlignment="1">
      <alignment wrapText="1"/>
    </xf>
    <xf numFmtId="165" fontId="3" fillId="0" borderId="22" xfId="0" applyNumberFormat="1" applyFont="1" applyFill="1" applyBorder="1" applyAlignment="1">
      <alignment wrapText="1"/>
    </xf>
    <xf numFmtId="44" fontId="3" fillId="4" borderId="38" xfId="1" applyFont="1" applyFill="1" applyBorder="1"/>
    <xf numFmtId="44" fontId="19" fillId="7" borderId="24" xfId="1" applyFont="1" applyFill="1" applyBorder="1"/>
    <xf numFmtId="16" fontId="24" fillId="0" borderId="29" xfId="0" applyNumberFormat="1" applyFont="1" applyFill="1" applyBorder="1" applyAlignment="1">
      <alignment horizontal="center" wrapText="1"/>
    </xf>
    <xf numFmtId="166" fontId="4" fillId="0" borderId="0" xfId="0" applyNumberFormat="1" applyFont="1" applyFill="1" applyBorder="1"/>
    <xf numFmtId="44" fontId="3" fillId="7" borderId="26" xfId="1" applyFont="1" applyFill="1" applyBorder="1"/>
    <xf numFmtId="44" fontId="3" fillId="0" borderId="28" xfId="1" applyFont="1" applyFill="1" applyBorder="1" applyAlignment="1">
      <alignment horizontal="center"/>
    </xf>
    <xf numFmtId="164" fontId="47" fillId="0" borderId="28" xfId="0" applyNumberFormat="1" applyFont="1" applyFill="1" applyBorder="1" applyAlignment="1">
      <alignment horizontal="center"/>
    </xf>
    <xf numFmtId="44" fontId="11" fillId="4" borderId="69" xfId="1" applyFont="1" applyFill="1" applyBorder="1"/>
    <xf numFmtId="44" fontId="11" fillId="20" borderId="69" xfId="1" applyFont="1" applyFill="1" applyBorder="1"/>
    <xf numFmtId="165" fontId="3" fillId="4" borderId="22" xfId="0" applyNumberFormat="1" applyFont="1" applyFill="1" applyBorder="1"/>
    <xf numFmtId="44" fontId="3" fillId="4" borderId="69" xfId="1" applyFont="1" applyFill="1" applyBorder="1"/>
    <xf numFmtId="44" fontId="2" fillId="4" borderId="69" xfId="1" applyFont="1" applyFill="1" applyBorder="1"/>
    <xf numFmtId="44" fontId="3" fillId="20" borderId="69" xfId="1" applyFont="1" applyFill="1" applyBorder="1"/>
    <xf numFmtId="44" fontId="0" fillId="0" borderId="0" xfId="0" applyNumberFormat="1" applyFill="1"/>
    <xf numFmtId="0" fontId="15" fillId="0" borderId="0" xfId="0" applyFont="1" applyFill="1" applyBorder="1"/>
    <xf numFmtId="44" fontId="15" fillId="0" borderId="0" xfId="1" applyFont="1" applyFill="1" applyBorder="1"/>
    <xf numFmtId="44" fontId="3" fillId="0" borderId="84" xfId="1" applyFont="1" applyFill="1" applyBorder="1"/>
    <xf numFmtId="49" fontId="15" fillId="0" borderId="61" xfId="0" applyNumberFormat="1" applyFont="1" applyFill="1" applyBorder="1"/>
    <xf numFmtId="0" fontId="15" fillId="0" borderId="16" xfId="0" applyFont="1" applyFill="1" applyBorder="1"/>
    <xf numFmtId="44" fontId="15" fillId="0" borderId="79" xfId="1" applyFont="1" applyFill="1" applyBorder="1"/>
    <xf numFmtId="49" fontId="15" fillId="0" borderId="2" xfId="0" applyNumberFormat="1" applyFont="1" applyFill="1" applyBorder="1"/>
    <xf numFmtId="44" fontId="15" fillId="0" borderId="4" xfId="1" applyFont="1" applyFill="1" applyBorder="1"/>
    <xf numFmtId="0" fontId="15" fillId="0" borderId="2" xfId="0" applyFont="1" applyFill="1" applyBorder="1"/>
    <xf numFmtId="0" fontId="15" fillId="0" borderId="80" xfId="0" applyFont="1" applyFill="1" applyBorder="1"/>
    <xf numFmtId="44" fontId="15" fillId="0" borderId="85" xfId="1" applyFont="1" applyFill="1" applyBorder="1"/>
    <xf numFmtId="0" fontId="15" fillId="0" borderId="81" xfId="0" applyFont="1" applyFill="1" applyBorder="1"/>
    <xf numFmtId="44" fontId="15" fillId="0" borderId="86" xfId="1" applyFont="1" applyFill="1" applyBorder="1"/>
    <xf numFmtId="49" fontId="3" fillId="0" borderId="2" xfId="0" applyNumberFormat="1" applyFont="1" applyFill="1" applyBorder="1"/>
    <xf numFmtId="44" fontId="15" fillId="21" borderId="4" xfId="0" applyNumberFormat="1" applyFont="1" applyFill="1" applyBorder="1"/>
    <xf numFmtId="16" fontId="15" fillId="0" borderId="2" xfId="0" applyNumberFormat="1" applyFont="1" applyFill="1" applyBorder="1"/>
    <xf numFmtId="165" fontId="3" fillId="18" borderId="22" xfId="0" applyNumberFormat="1" applyFont="1" applyFill="1" applyBorder="1"/>
    <xf numFmtId="44" fontId="11" fillId="18" borderId="69" xfId="1" applyFont="1" applyFill="1" applyBorder="1"/>
    <xf numFmtId="44" fontId="11" fillId="22" borderId="69" xfId="1" applyFont="1" applyFill="1" applyBorder="1"/>
    <xf numFmtId="165" fontId="3" fillId="0" borderId="71" xfId="0" applyNumberFormat="1" applyFont="1" applyBorder="1"/>
    <xf numFmtId="165" fontId="3" fillId="11" borderId="71" xfId="0" applyNumberFormat="1" applyFont="1" applyFill="1" applyBorder="1"/>
    <xf numFmtId="165" fontId="3" fillId="0" borderId="71" xfId="0" applyNumberFormat="1" applyFont="1" applyFill="1" applyBorder="1"/>
    <xf numFmtId="165" fontId="3" fillId="0" borderId="0" xfId="0" applyNumberFormat="1" applyFont="1"/>
    <xf numFmtId="0" fontId="3" fillId="0" borderId="69" xfId="0" applyFont="1" applyFill="1" applyBorder="1" applyAlignment="1"/>
    <xf numFmtId="0" fontId="3" fillId="0" borderId="0" xfId="0" applyFont="1" applyAlignment="1"/>
    <xf numFmtId="44" fontId="3" fillId="18" borderId="69" xfId="1" applyFont="1" applyFill="1" applyBorder="1"/>
    <xf numFmtId="44" fontId="3" fillId="22" borderId="69" xfId="1" applyFont="1" applyFill="1" applyBorder="1"/>
    <xf numFmtId="44" fontId="15" fillId="0" borderId="0" xfId="1" applyFont="1" applyBorder="1"/>
    <xf numFmtId="44" fontId="15" fillId="0" borderId="6" xfId="1" applyFont="1" applyFill="1" applyBorder="1"/>
    <xf numFmtId="44" fontId="15" fillId="18" borderId="0" xfId="1" applyFont="1" applyFill="1" applyBorder="1"/>
    <xf numFmtId="165" fontId="0" fillId="0" borderId="79" xfId="0" applyNumberFormat="1" applyBorder="1"/>
    <xf numFmtId="165" fontId="0" fillId="0" borderId="4" xfId="0" applyNumberFormat="1" applyFill="1" applyBorder="1"/>
    <xf numFmtId="49" fontId="0" fillId="0" borderId="2" xfId="0" applyNumberFormat="1" applyFont="1" applyFill="1" applyBorder="1"/>
    <xf numFmtId="44" fontId="0" fillId="0" borderId="4" xfId="1" applyFont="1" applyFill="1" applyBorder="1"/>
    <xf numFmtId="0" fontId="0" fillId="0" borderId="2" xfId="0" applyFont="1" applyFill="1" applyBorder="1"/>
    <xf numFmtId="165" fontId="15" fillId="18" borderId="4" xfId="0" applyNumberFormat="1" applyFont="1" applyFill="1" applyBorder="1"/>
    <xf numFmtId="165" fontId="0" fillId="0" borderId="4" xfId="0" applyNumberFormat="1" applyBorder="1"/>
    <xf numFmtId="44" fontId="15" fillId="0" borderId="5" xfId="1" applyFont="1" applyBorder="1"/>
    <xf numFmtId="165" fontId="0" fillId="0" borderId="81" xfId="0" applyNumberFormat="1" applyBorder="1"/>
    <xf numFmtId="44" fontId="2" fillId="3" borderId="1" xfId="1" applyFont="1" applyFill="1" applyBorder="1" applyAlignment="1">
      <alignment horizontal="center" vertical="center" wrapText="1"/>
    </xf>
    <xf numFmtId="44" fontId="2" fillId="3" borderId="17" xfId="1" applyFont="1" applyFill="1" applyBorder="1" applyAlignment="1">
      <alignment horizontal="center" vertical="center" wrapText="1"/>
    </xf>
    <xf numFmtId="0" fontId="15" fillId="0" borderId="11" xfId="0" applyFont="1" applyBorder="1" applyAlignment="1">
      <alignment horizontal="center"/>
    </xf>
    <xf numFmtId="0" fontId="15" fillId="0" borderId="12" xfId="0" applyFont="1" applyBorder="1" applyAlignment="1">
      <alignment horizontal="center"/>
    </xf>
    <xf numFmtId="0" fontId="16" fillId="0" borderId="13" xfId="0" applyFont="1" applyBorder="1" applyAlignment="1">
      <alignment horizontal="center"/>
    </xf>
    <xf numFmtId="0" fontId="16" fillId="0" borderId="14" xfId="0" applyFont="1" applyBorder="1" applyAlignment="1">
      <alignment horizontal="center"/>
    </xf>
    <xf numFmtId="0" fontId="32" fillId="0" borderId="58" xfId="0" applyFont="1" applyBorder="1" applyAlignment="1">
      <alignment horizontal="center"/>
    </xf>
    <xf numFmtId="0" fontId="32" fillId="0" borderId="38" xfId="0" applyFont="1" applyBorder="1" applyAlignment="1">
      <alignment horizontal="center"/>
    </xf>
    <xf numFmtId="44" fontId="15" fillId="7" borderId="13" xfId="1" applyFont="1" applyFill="1" applyBorder="1" applyAlignment="1">
      <alignment horizontal="center"/>
    </xf>
    <xf numFmtId="44" fontId="15" fillId="7" borderId="60" xfId="1" applyFont="1" applyFill="1" applyBorder="1" applyAlignment="1">
      <alignment horizontal="center"/>
    </xf>
    <xf numFmtId="166" fontId="15" fillId="7" borderId="60" xfId="1" applyNumberFormat="1" applyFont="1" applyFill="1" applyBorder="1" applyAlignment="1">
      <alignment horizontal="center"/>
    </xf>
    <xf numFmtId="44" fontId="19" fillId="4" borderId="44" xfId="1" applyFont="1" applyFill="1" applyBorder="1" applyAlignment="1">
      <alignment horizontal="center" vertical="center"/>
    </xf>
    <xf numFmtId="44" fontId="19" fillId="4" borderId="45" xfId="1" applyFont="1" applyFill="1" applyBorder="1" applyAlignment="1">
      <alignment horizontal="center" vertical="center"/>
    </xf>
    <xf numFmtId="166" fontId="14" fillId="0" borderId="0" xfId="0" applyNumberFormat="1" applyFont="1" applyAlignment="1">
      <alignment horizontal="center" vertical="center" wrapText="1"/>
    </xf>
    <xf numFmtId="166" fontId="14" fillId="0" borderId="28" xfId="0" applyNumberFormat="1" applyFont="1" applyBorder="1" applyAlignment="1">
      <alignment horizontal="center" vertical="center" wrapText="1"/>
    </xf>
    <xf numFmtId="44" fontId="14" fillId="0" borderId="26" xfId="1" applyFont="1" applyBorder="1" applyAlignment="1">
      <alignment horizontal="center" vertical="center" wrapText="1"/>
    </xf>
    <xf numFmtId="44" fontId="14" fillId="0" borderId="58" xfId="1" applyFont="1" applyBorder="1" applyAlignment="1">
      <alignment horizontal="center" vertical="center" wrapText="1"/>
    </xf>
    <xf numFmtId="44" fontId="15" fillId="0" borderId="58" xfId="1" applyFont="1" applyBorder="1" applyAlignment="1">
      <alignment horizontal="center"/>
    </xf>
    <xf numFmtId="44" fontId="15" fillId="0" borderId="26" xfId="1" applyFont="1" applyBorder="1" applyAlignment="1">
      <alignment horizontal="center"/>
    </xf>
    <xf numFmtId="166" fontId="14" fillId="0" borderId="26" xfId="0" applyNumberFormat="1" applyFont="1" applyBorder="1" applyAlignment="1">
      <alignment horizontal="center" vertical="center" wrapText="1"/>
    </xf>
    <xf numFmtId="166" fontId="14" fillId="0" borderId="58" xfId="0" applyNumberFormat="1" applyFont="1" applyBorder="1" applyAlignment="1">
      <alignment horizontal="center" vertical="center" wrapText="1"/>
    </xf>
    <xf numFmtId="166" fontId="3" fillId="0" borderId="58" xfId="0" applyNumberFormat="1" applyFont="1" applyBorder="1" applyAlignment="1">
      <alignment horizontal="center"/>
    </xf>
    <xf numFmtId="0" fontId="3" fillId="0" borderId="58" xfId="0" applyFont="1" applyBorder="1" applyAlignment="1">
      <alignment horizontal="center"/>
    </xf>
    <xf numFmtId="44" fontId="8" fillId="6" borderId="1" xfId="1" applyFont="1" applyFill="1" applyBorder="1" applyAlignment="1">
      <alignment horizontal="center" vertical="center"/>
    </xf>
    <xf numFmtId="44" fontId="8" fillId="6" borderId="3" xfId="1" applyFont="1" applyFill="1" applyBorder="1" applyAlignment="1">
      <alignment horizontal="center" vertical="center"/>
    </xf>
    <xf numFmtId="166" fontId="17" fillId="7" borderId="7" xfId="1" applyNumberFormat="1" applyFont="1" applyFill="1" applyBorder="1" applyAlignment="1">
      <alignment horizontal="center" vertical="center"/>
    </xf>
    <xf numFmtId="166" fontId="17" fillId="7" borderId="46" xfId="1" applyNumberFormat="1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center" wrapText="1"/>
    </xf>
    <xf numFmtId="0" fontId="11" fillId="2" borderId="5" xfId="0" applyFont="1" applyFill="1" applyBorder="1" applyAlignment="1">
      <alignment horizontal="center" wrapText="1"/>
    </xf>
    <xf numFmtId="164" fontId="3" fillId="0" borderId="1" xfId="0" applyNumberFormat="1" applyFont="1" applyFill="1" applyBorder="1" applyAlignment="1">
      <alignment horizontal="center" vertical="center" wrapText="1"/>
    </xf>
    <xf numFmtId="164" fontId="3" fillId="0" borderId="3" xfId="0" applyNumberFormat="1" applyFont="1" applyFill="1" applyBorder="1" applyAlignment="1">
      <alignment horizontal="center" vertical="center" wrapText="1"/>
    </xf>
    <xf numFmtId="0" fontId="38" fillId="0" borderId="2" xfId="0" applyFont="1" applyBorder="1" applyAlignment="1">
      <alignment horizontal="center"/>
    </xf>
    <xf numFmtId="0" fontId="38" fillId="0" borderId="0" xfId="0" applyFont="1" applyAlignment="1">
      <alignment horizontal="center"/>
    </xf>
    <xf numFmtId="44" fontId="6" fillId="0" borderId="0" xfId="1" applyFont="1" applyBorder="1" applyAlignment="1">
      <alignment horizontal="center"/>
    </xf>
    <xf numFmtId="44" fontId="6" fillId="0" borderId="4" xfId="1" applyFont="1" applyBorder="1" applyAlignment="1">
      <alignment horizontal="center"/>
    </xf>
    <xf numFmtId="0" fontId="10" fillId="9" borderId="6" xfId="0" applyFont="1" applyFill="1" applyBorder="1" applyAlignment="1">
      <alignment horizontal="center" vertical="center" wrapText="1"/>
    </xf>
    <xf numFmtId="49" fontId="15" fillId="0" borderId="72" xfId="0" applyNumberFormat="1" applyFont="1" applyFill="1" applyBorder="1" applyAlignment="1">
      <alignment horizontal="center" vertical="center" wrapText="1"/>
    </xf>
    <xf numFmtId="49" fontId="15" fillId="0" borderId="0" xfId="0" applyNumberFormat="1" applyFont="1" applyFill="1" applyBorder="1" applyAlignment="1">
      <alignment horizontal="center" vertical="center" wrapText="1"/>
    </xf>
    <xf numFmtId="49" fontId="15" fillId="0" borderId="73" xfId="0" applyNumberFormat="1" applyFont="1" applyFill="1" applyBorder="1" applyAlignment="1">
      <alignment horizontal="center" vertical="center" wrapText="1"/>
    </xf>
    <xf numFmtId="49" fontId="34" fillId="12" borderId="74" xfId="0" applyNumberFormat="1" applyFont="1" applyFill="1" applyBorder="1" applyAlignment="1">
      <alignment horizontal="center" vertical="center"/>
    </xf>
    <xf numFmtId="49" fontId="34" fillId="12" borderId="75" xfId="0" applyNumberFormat="1" applyFont="1" applyFill="1" applyBorder="1" applyAlignment="1">
      <alignment horizontal="center" vertical="center"/>
    </xf>
    <xf numFmtId="49" fontId="34" fillId="12" borderId="31" xfId="0" applyNumberFormat="1" applyFont="1" applyFill="1" applyBorder="1" applyAlignment="1">
      <alignment horizontal="center" vertical="center"/>
    </xf>
    <xf numFmtId="49" fontId="34" fillId="12" borderId="73" xfId="0" applyNumberFormat="1" applyFont="1" applyFill="1" applyBorder="1" applyAlignment="1">
      <alignment horizontal="center" vertical="center"/>
    </xf>
    <xf numFmtId="49" fontId="34" fillId="12" borderId="76" xfId="0" applyNumberFormat="1" applyFont="1" applyFill="1" applyBorder="1" applyAlignment="1">
      <alignment horizontal="center" vertical="center"/>
    </xf>
    <xf numFmtId="49" fontId="34" fillId="12" borderId="70" xfId="0" applyNumberFormat="1" applyFont="1" applyFill="1" applyBorder="1" applyAlignment="1">
      <alignment horizontal="center" vertical="center"/>
    </xf>
    <xf numFmtId="0" fontId="8" fillId="7" borderId="61" xfId="0" applyFont="1" applyFill="1" applyBorder="1" applyAlignment="1">
      <alignment horizontal="center" vertical="center"/>
    </xf>
    <xf numFmtId="0" fontId="8" fillId="7" borderId="79" xfId="0" applyFont="1" applyFill="1" applyBorder="1" applyAlignment="1">
      <alignment horizontal="center" vertical="center"/>
    </xf>
    <xf numFmtId="0" fontId="8" fillId="7" borderId="80" xfId="0" applyFont="1" applyFill="1" applyBorder="1" applyAlignment="1">
      <alignment horizontal="center" vertical="center"/>
    </xf>
    <xf numFmtId="0" fontId="8" fillId="7" borderId="81" xfId="0" applyFont="1" applyFill="1" applyBorder="1" applyAlignment="1">
      <alignment horizontal="center" vertical="center"/>
    </xf>
    <xf numFmtId="44" fontId="3" fillId="4" borderId="50" xfId="1" applyFont="1" applyFill="1" applyBorder="1" applyAlignment="1">
      <alignment horizontal="center" vertical="center"/>
    </xf>
    <xf numFmtId="44" fontId="3" fillId="4" borderId="0" xfId="1" applyFont="1" applyFill="1" applyAlignment="1">
      <alignment horizontal="center" vertical="center"/>
    </xf>
    <xf numFmtId="44" fontId="15" fillId="8" borderId="13" xfId="1" applyFont="1" applyFill="1" applyBorder="1" applyAlignment="1">
      <alignment horizontal="center"/>
    </xf>
    <xf numFmtId="44" fontId="15" fillId="8" borderId="60" xfId="1" applyFont="1" applyFill="1" applyBorder="1" applyAlignment="1">
      <alignment horizontal="center"/>
    </xf>
    <xf numFmtId="166" fontId="15" fillId="8" borderId="60" xfId="1" applyNumberFormat="1" applyFont="1" applyFill="1" applyBorder="1" applyAlignment="1">
      <alignment horizontal="center"/>
    </xf>
    <xf numFmtId="0" fontId="8" fillId="7" borderId="2" xfId="0" applyFont="1" applyFill="1" applyBorder="1" applyAlignment="1">
      <alignment horizontal="center" vertical="center"/>
    </xf>
    <xf numFmtId="0" fontId="8" fillId="7" borderId="4" xfId="0" applyFont="1" applyFill="1" applyBorder="1" applyAlignment="1">
      <alignment horizontal="center" vertical="center"/>
    </xf>
    <xf numFmtId="44" fontId="2" fillId="18" borderId="1" xfId="1" applyFont="1" applyFill="1" applyBorder="1" applyAlignment="1">
      <alignment horizontal="center" vertical="center" wrapText="1"/>
    </xf>
    <xf numFmtId="44" fontId="2" fillId="18" borderId="17" xfId="1" applyFont="1" applyFill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CCFF99"/>
      <color rgb="FF66FFFF"/>
      <color rgb="FF0000FF"/>
      <color rgb="FFCC99FF"/>
      <color rgb="FFFF00FF"/>
      <color rgb="FF66FF66"/>
      <color rgb="FFFF99CC"/>
      <color rgb="FF990099"/>
      <color rgb="FF800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524500" y="168497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74</xdr:row>
      <xdr:rowOff>123825</xdr:rowOff>
    </xdr:from>
    <xdr:to>
      <xdr:col>7</xdr:col>
      <xdr:colOff>295275</xdr:colOff>
      <xdr:row>76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486400" y="16354425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524500" y="168497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74</xdr:row>
      <xdr:rowOff>104775</xdr:rowOff>
    </xdr:from>
    <xdr:to>
      <xdr:col>5</xdr:col>
      <xdr:colOff>85725</xdr:colOff>
      <xdr:row>76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771775" y="1633537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75</xdr:row>
      <xdr:rowOff>47623</xdr:rowOff>
    </xdr:from>
    <xdr:to>
      <xdr:col>11</xdr:col>
      <xdr:colOff>133352</xdr:colOff>
      <xdr:row>76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110538" y="15473360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78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71521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78</xdr:row>
      <xdr:rowOff>85725</xdr:rowOff>
    </xdr:from>
    <xdr:to>
      <xdr:col>7</xdr:col>
      <xdr:colOff>695325</xdr:colOff>
      <xdr:row>82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486400" y="17173575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524500" y="169735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74</xdr:row>
      <xdr:rowOff>123825</xdr:rowOff>
    </xdr:from>
    <xdr:to>
      <xdr:col>7</xdr:col>
      <xdr:colOff>295275</xdr:colOff>
      <xdr:row>76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486400" y="164782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524500" y="169735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74</xdr:row>
      <xdr:rowOff>104775</xdr:rowOff>
    </xdr:from>
    <xdr:to>
      <xdr:col>5</xdr:col>
      <xdr:colOff>85725</xdr:colOff>
      <xdr:row>76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771775" y="164592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75</xdr:row>
      <xdr:rowOff>47623</xdr:rowOff>
    </xdr:from>
    <xdr:to>
      <xdr:col>11</xdr:col>
      <xdr:colOff>133352</xdr:colOff>
      <xdr:row>76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110538" y="155971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78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727592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78</xdr:row>
      <xdr:rowOff>85725</xdr:rowOff>
    </xdr:from>
    <xdr:to>
      <xdr:col>7</xdr:col>
      <xdr:colOff>695325</xdr:colOff>
      <xdr:row>82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486400" y="17297400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524500" y="168497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74</xdr:row>
      <xdr:rowOff>123825</xdr:rowOff>
    </xdr:from>
    <xdr:to>
      <xdr:col>7</xdr:col>
      <xdr:colOff>295275</xdr:colOff>
      <xdr:row>76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486400" y="16354425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524500" y="168497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74</xdr:row>
      <xdr:rowOff>104775</xdr:rowOff>
    </xdr:from>
    <xdr:to>
      <xdr:col>5</xdr:col>
      <xdr:colOff>85725</xdr:colOff>
      <xdr:row>76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771775" y="1633537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75</xdr:row>
      <xdr:rowOff>47623</xdr:rowOff>
    </xdr:from>
    <xdr:to>
      <xdr:col>11</xdr:col>
      <xdr:colOff>133352</xdr:colOff>
      <xdr:row>76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110538" y="15473360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78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71521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78</xdr:row>
      <xdr:rowOff>85725</xdr:rowOff>
    </xdr:from>
    <xdr:to>
      <xdr:col>7</xdr:col>
      <xdr:colOff>695325</xdr:colOff>
      <xdr:row>82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486400" y="17173575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581650" y="169925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74</xdr:row>
      <xdr:rowOff>123825</xdr:rowOff>
    </xdr:from>
    <xdr:to>
      <xdr:col>7</xdr:col>
      <xdr:colOff>295275</xdr:colOff>
      <xdr:row>76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543550" y="164973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581650" y="169925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74</xdr:row>
      <xdr:rowOff>104775</xdr:rowOff>
    </xdr:from>
    <xdr:to>
      <xdr:col>5</xdr:col>
      <xdr:colOff>85725</xdr:colOff>
      <xdr:row>76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771775" y="164782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75</xdr:row>
      <xdr:rowOff>47623</xdr:rowOff>
    </xdr:from>
    <xdr:to>
      <xdr:col>11</xdr:col>
      <xdr:colOff>133352</xdr:colOff>
      <xdr:row>76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167688" y="156162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78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72949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78</xdr:row>
      <xdr:rowOff>85725</xdr:rowOff>
    </xdr:from>
    <xdr:to>
      <xdr:col>7</xdr:col>
      <xdr:colOff>695325</xdr:colOff>
      <xdr:row>82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543550" y="17316450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20</xdr:col>
      <xdr:colOff>0</xdr:colOff>
      <xdr:row>3</xdr:row>
      <xdr:rowOff>0</xdr:rowOff>
    </xdr:from>
    <xdr:to>
      <xdr:col>28</xdr:col>
      <xdr:colOff>104000</xdr:colOff>
      <xdr:row>29</xdr:row>
      <xdr:rowOff>94459</xdr:rowOff>
    </xdr:to>
    <xdr:pic>
      <xdr:nvPicPr>
        <xdr:cNvPr id="16" name="Imagen 1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59425" y="781050"/>
          <a:ext cx="6200000" cy="632380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</sheetPr>
  <dimension ref="A1:S105"/>
  <sheetViews>
    <sheetView topLeftCell="A22" workbookViewId="0">
      <selection activeCell="J34" sqref="J34"/>
    </sheetView>
  </sheetViews>
  <sheetFormatPr baseColWidth="10" defaultRowHeight="15.75" x14ac:dyDescent="0.25"/>
  <cols>
    <col min="1" max="1" width="11" customWidth="1"/>
    <col min="2" max="2" width="12.42578125" style="151" customWidth="1"/>
    <col min="3" max="3" width="16.85546875" style="7" bestFit="1" customWidth="1"/>
    <col min="4" max="4" width="15.28515625" customWidth="1"/>
    <col min="5" max="5" width="11.42578125" style="6"/>
    <col min="6" max="6" width="15.28515625" style="7" customWidth="1"/>
    <col min="7" max="7" width="1.85546875" style="6" customWidth="1"/>
    <col min="8" max="8" width="11.85546875" style="6" customWidth="1"/>
    <col min="9" max="9" width="15.7109375" style="7" customWidth="1"/>
    <col min="10" max="10" width="11.7109375" style="17" customWidth="1"/>
    <col min="11" max="11" width="14.42578125" style="11" customWidth="1"/>
    <col min="12" max="12" width="14.5703125" style="5" customWidth="1"/>
    <col min="13" max="13" width="17.85546875" style="7" customWidth="1"/>
    <col min="14" max="14" width="17.5703125" style="1" bestFit="1" customWidth="1"/>
    <col min="15" max="15" width="8.85546875" style="2" bestFit="1" customWidth="1"/>
    <col min="16" max="16" width="16.85546875" customWidth="1"/>
    <col min="17" max="17" width="21.28515625" style="3" customWidth="1"/>
    <col min="18" max="18" width="15.28515625" style="4" customWidth="1"/>
  </cols>
  <sheetData>
    <row r="1" spans="1:18" ht="23.25" x14ac:dyDescent="0.35">
      <c r="B1" s="482"/>
      <c r="C1" s="484" t="s">
        <v>26</v>
      </c>
      <c r="D1" s="485"/>
      <c r="E1" s="485"/>
      <c r="F1" s="485"/>
      <c r="G1" s="485"/>
      <c r="H1" s="485"/>
      <c r="I1" s="485"/>
      <c r="J1" s="485"/>
      <c r="K1" s="485"/>
      <c r="L1" s="485"/>
      <c r="M1" s="485"/>
    </row>
    <row r="2" spans="1:18" ht="16.5" thickBot="1" x14ac:dyDescent="0.3">
      <c r="B2" s="483"/>
      <c r="C2" s="5"/>
      <c r="H2" s="8"/>
      <c r="I2" s="9"/>
      <c r="J2" s="10"/>
      <c r="L2" s="12"/>
      <c r="M2" s="9"/>
      <c r="N2" s="13"/>
    </row>
    <row r="3" spans="1:18" ht="21.75" thickBot="1" x14ac:dyDescent="0.35">
      <c r="B3" s="486" t="s">
        <v>0</v>
      </c>
      <c r="C3" s="487"/>
      <c r="D3" s="14"/>
      <c r="E3" s="15"/>
      <c r="F3" s="16"/>
      <c r="H3" s="488" t="s">
        <v>1</v>
      </c>
      <c r="I3" s="488"/>
      <c r="K3" s="18"/>
      <c r="L3" s="19"/>
      <c r="M3" s="20"/>
      <c r="P3" s="480" t="s">
        <v>2</v>
      </c>
      <c r="R3" s="453" t="s">
        <v>3</v>
      </c>
    </row>
    <row r="4" spans="1:18" ht="32.25" thickTop="1" thickBot="1" x14ac:dyDescent="0.35">
      <c r="A4" s="21" t="s">
        <v>4</v>
      </c>
      <c r="B4" s="22"/>
      <c r="C4" s="23">
        <v>3445405.07</v>
      </c>
      <c r="D4" s="24">
        <v>44892</v>
      </c>
      <c r="E4" s="455" t="s">
        <v>5</v>
      </c>
      <c r="F4" s="456"/>
      <c r="H4" s="457" t="s">
        <v>6</v>
      </c>
      <c r="I4" s="458"/>
      <c r="J4" s="25"/>
      <c r="K4" s="26"/>
      <c r="L4" s="27"/>
      <c r="M4" s="28" t="s">
        <v>7</v>
      </c>
      <c r="N4" s="29" t="s">
        <v>8</v>
      </c>
      <c r="P4" s="481"/>
      <c r="Q4" s="30" t="s">
        <v>9</v>
      </c>
      <c r="R4" s="454"/>
    </row>
    <row r="5" spans="1:18" ht="18" thickBot="1" x14ac:dyDescent="0.35">
      <c r="A5" s="31" t="s">
        <v>10</v>
      </c>
      <c r="B5" s="32">
        <v>44935</v>
      </c>
      <c r="C5" s="33">
        <v>11218</v>
      </c>
      <c r="D5" s="34" t="s">
        <v>74</v>
      </c>
      <c r="E5" s="35">
        <v>44935</v>
      </c>
      <c r="F5" s="36">
        <v>127608</v>
      </c>
      <c r="G5" s="37"/>
      <c r="H5" s="38">
        <v>44935</v>
      </c>
      <c r="I5" s="39">
        <v>2928</v>
      </c>
      <c r="J5" s="40"/>
      <c r="K5" s="41"/>
      <c r="L5" s="13"/>
      <c r="M5" s="42">
        <f>13000+79666+7446+12582</f>
        <v>112694</v>
      </c>
      <c r="N5" s="43">
        <v>31942</v>
      </c>
      <c r="P5" s="44">
        <f t="shared" ref="P5:P10" si="0">N5+M5+L5+I5+C5</f>
        <v>158782</v>
      </c>
      <c r="Q5" s="45">
        <v>0</v>
      </c>
      <c r="R5" s="282">
        <v>31174</v>
      </c>
    </row>
    <row r="6" spans="1:18" ht="18" thickBot="1" x14ac:dyDescent="0.35">
      <c r="A6" s="31"/>
      <c r="B6" s="32">
        <v>44936</v>
      </c>
      <c r="C6" s="33">
        <v>22768</v>
      </c>
      <c r="D6" s="47" t="s">
        <v>75</v>
      </c>
      <c r="E6" s="35">
        <v>44936</v>
      </c>
      <c r="F6" s="36">
        <v>111443</v>
      </c>
      <c r="G6" s="37"/>
      <c r="H6" s="38">
        <v>44936</v>
      </c>
      <c r="I6" s="39">
        <v>1614</v>
      </c>
      <c r="J6" s="40"/>
      <c r="K6" s="48"/>
      <c r="L6" s="49"/>
      <c r="M6" s="42">
        <v>34020</v>
      </c>
      <c r="N6" s="43">
        <v>53042</v>
      </c>
      <c r="P6" s="49">
        <f t="shared" si="0"/>
        <v>111444</v>
      </c>
      <c r="Q6" s="45">
        <f t="shared" ref="Q6:Q47" si="1">P6-F6</f>
        <v>1</v>
      </c>
      <c r="R6" s="46">
        <v>0</v>
      </c>
    </row>
    <row r="7" spans="1:18" ht="18" thickBot="1" x14ac:dyDescent="0.35">
      <c r="A7" s="31"/>
      <c r="B7" s="32">
        <v>44937</v>
      </c>
      <c r="C7" s="33">
        <v>29284.5</v>
      </c>
      <c r="D7" s="50" t="s">
        <v>76</v>
      </c>
      <c r="E7" s="35">
        <v>44937</v>
      </c>
      <c r="F7" s="36">
        <v>117562</v>
      </c>
      <c r="G7" s="37"/>
      <c r="H7" s="38">
        <v>44937</v>
      </c>
      <c r="I7" s="39">
        <v>1688</v>
      </c>
      <c r="J7" s="40"/>
      <c r="K7" s="48"/>
      <c r="L7" s="49"/>
      <c r="M7" s="42">
        <f>26415.5+15000+11881</f>
        <v>53296.5</v>
      </c>
      <c r="N7" s="43">
        <v>34321</v>
      </c>
      <c r="P7" s="49">
        <f t="shared" si="0"/>
        <v>118590</v>
      </c>
      <c r="Q7" s="45">
        <v>0</v>
      </c>
      <c r="R7" s="282">
        <v>1028</v>
      </c>
    </row>
    <row r="8" spans="1:18" ht="18" thickBot="1" x14ac:dyDescent="0.35">
      <c r="A8" s="31"/>
      <c r="B8" s="32">
        <v>44938</v>
      </c>
      <c r="C8" s="33">
        <v>7310</v>
      </c>
      <c r="D8" s="51" t="s">
        <v>77</v>
      </c>
      <c r="E8" s="35">
        <v>44938</v>
      </c>
      <c r="F8" s="36">
        <v>99136</v>
      </c>
      <c r="G8" s="37"/>
      <c r="H8" s="38">
        <v>44938</v>
      </c>
      <c r="I8" s="39">
        <v>0</v>
      </c>
      <c r="J8" s="52"/>
      <c r="K8" s="48"/>
      <c r="L8" s="49"/>
      <c r="M8" s="42">
        <v>51713</v>
      </c>
      <c r="N8" s="43">
        <v>40113</v>
      </c>
      <c r="P8" s="49">
        <f t="shared" si="0"/>
        <v>99136</v>
      </c>
      <c r="Q8" s="45">
        <f t="shared" si="1"/>
        <v>0</v>
      </c>
      <c r="R8" s="46">
        <v>0</v>
      </c>
    </row>
    <row r="9" spans="1:18" ht="18" thickBot="1" x14ac:dyDescent="0.35">
      <c r="A9" s="31"/>
      <c r="B9" s="32">
        <v>44939</v>
      </c>
      <c r="C9" s="33">
        <v>4244</v>
      </c>
      <c r="D9" s="51" t="s">
        <v>78</v>
      </c>
      <c r="E9" s="35">
        <v>44939</v>
      </c>
      <c r="F9" s="36">
        <v>150671</v>
      </c>
      <c r="G9" s="37"/>
      <c r="H9" s="38">
        <v>44939</v>
      </c>
      <c r="I9" s="39">
        <v>2984</v>
      </c>
      <c r="J9" s="40"/>
      <c r="K9" s="53"/>
      <c r="L9" s="49"/>
      <c r="M9" s="42">
        <v>105552</v>
      </c>
      <c r="N9" s="43">
        <v>39928</v>
      </c>
      <c r="P9" s="49">
        <f t="shared" si="0"/>
        <v>152708</v>
      </c>
      <c r="Q9" s="45">
        <v>0</v>
      </c>
      <c r="R9" s="282">
        <v>2037</v>
      </c>
    </row>
    <row r="10" spans="1:18" ht="18" thickBot="1" x14ac:dyDescent="0.35">
      <c r="A10" s="31"/>
      <c r="B10" s="32">
        <v>44940</v>
      </c>
      <c r="C10" s="33">
        <v>24643</v>
      </c>
      <c r="D10" s="50" t="s">
        <v>79</v>
      </c>
      <c r="E10" s="35">
        <v>44940</v>
      </c>
      <c r="F10" s="36">
        <v>160578</v>
      </c>
      <c r="G10" s="37"/>
      <c r="H10" s="38">
        <v>44940</v>
      </c>
      <c r="I10" s="39">
        <v>2088</v>
      </c>
      <c r="J10" s="40">
        <v>44940</v>
      </c>
      <c r="K10" s="54" t="s">
        <v>80</v>
      </c>
      <c r="L10" s="55">
        <f>18409+3214+300</f>
        <v>21923</v>
      </c>
      <c r="M10" s="42">
        <f>44100+4149</f>
        <v>48249</v>
      </c>
      <c r="N10" s="43">
        <v>63679</v>
      </c>
      <c r="P10" s="49">
        <f t="shared" si="0"/>
        <v>160582</v>
      </c>
      <c r="Q10" s="45">
        <f t="shared" si="1"/>
        <v>4</v>
      </c>
      <c r="R10" s="46">
        <v>0</v>
      </c>
    </row>
    <row r="11" spans="1:18" ht="18" thickBot="1" x14ac:dyDescent="0.35">
      <c r="A11" s="31"/>
      <c r="B11" s="32">
        <v>44941</v>
      </c>
      <c r="C11" s="33">
        <v>17507</v>
      </c>
      <c r="D11" s="47" t="s">
        <v>82</v>
      </c>
      <c r="E11" s="35">
        <v>44941</v>
      </c>
      <c r="F11" s="36">
        <v>121026</v>
      </c>
      <c r="G11" s="37"/>
      <c r="H11" s="38">
        <v>44941</v>
      </c>
      <c r="I11" s="39">
        <v>1500</v>
      </c>
      <c r="J11" s="52"/>
      <c r="K11" s="56"/>
      <c r="L11" s="49"/>
      <c r="M11" s="42">
        <v>41342</v>
      </c>
      <c r="N11" s="43">
        <v>60674</v>
      </c>
      <c r="P11" s="49">
        <f t="shared" ref="P11:P27" si="2">N11+M11+L11+I11+C11</f>
        <v>121023</v>
      </c>
      <c r="Q11" s="45">
        <f t="shared" si="1"/>
        <v>-3</v>
      </c>
      <c r="R11" s="46">
        <v>0</v>
      </c>
    </row>
    <row r="12" spans="1:18" ht="18" thickBot="1" x14ac:dyDescent="0.35">
      <c r="A12" s="31"/>
      <c r="B12" s="32">
        <v>44942</v>
      </c>
      <c r="C12" s="33">
        <v>11293</v>
      </c>
      <c r="D12" s="47" t="s">
        <v>83</v>
      </c>
      <c r="E12" s="35">
        <v>44942</v>
      </c>
      <c r="F12" s="36">
        <v>127155</v>
      </c>
      <c r="G12" s="37"/>
      <c r="H12" s="38">
        <v>44942</v>
      </c>
      <c r="I12" s="39">
        <v>638</v>
      </c>
      <c r="J12" s="40"/>
      <c r="K12" s="57"/>
      <c r="L12" s="49"/>
      <c r="M12" s="42">
        <f>10000+55415+8396</f>
        <v>73811</v>
      </c>
      <c r="N12" s="43">
        <v>41413</v>
      </c>
      <c r="O12" s="192"/>
      <c r="P12" s="49">
        <f t="shared" si="2"/>
        <v>127155</v>
      </c>
      <c r="Q12" s="45">
        <f t="shared" si="1"/>
        <v>0</v>
      </c>
      <c r="R12" s="46">
        <v>0</v>
      </c>
    </row>
    <row r="13" spans="1:18" ht="18" thickBot="1" x14ac:dyDescent="0.35">
      <c r="A13" s="31"/>
      <c r="B13" s="32">
        <v>44943</v>
      </c>
      <c r="C13" s="33">
        <v>18179</v>
      </c>
      <c r="D13" s="51" t="s">
        <v>84</v>
      </c>
      <c r="E13" s="35">
        <v>44943</v>
      </c>
      <c r="F13" s="36">
        <v>104143</v>
      </c>
      <c r="G13" s="37"/>
      <c r="H13" s="38">
        <v>44943</v>
      </c>
      <c r="I13" s="39">
        <v>3349</v>
      </c>
      <c r="J13" s="40">
        <v>44943</v>
      </c>
      <c r="K13" s="121" t="s">
        <v>85</v>
      </c>
      <c r="L13" s="49">
        <v>9547</v>
      </c>
      <c r="M13" s="42">
        <v>31220</v>
      </c>
      <c r="N13" s="43">
        <v>41848</v>
      </c>
      <c r="O13" s="192"/>
      <c r="P13" s="49">
        <f>N13+M13+L13+I13+C13</f>
        <v>104143</v>
      </c>
      <c r="Q13" s="45">
        <f t="shared" si="1"/>
        <v>0</v>
      </c>
      <c r="R13" s="46">
        <v>0</v>
      </c>
    </row>
    <row r="14" spans="1:18" ht="18" thickBot="1" x14ac:dyDescent="0.35">
      <c r="A14" s="31"/>
      <c r="B14" s="32">
        <v>44944</v>
      </c>
      <c r="C14" s="33">
        <v>19316</v>
      </c>
      <c r="D14" s="50" t="s">
        <v>86</v>
      </c>
      <c r="E14" s="35">
        <v>44944</v>
      </c>
      <c r="F14" s="36">
        <v>122772</v>
      </c>
      <c r="G14" s="37"/>
      <c r="H14" s="38">
        <v>44944</v>
      </c>
      <c r="I14" s="39">
        <v>3399.5</v>
      </c>
      <c r="J14" s="40"/>
      <c r="K14" s="48"/>
      <c r="L14" s="49"/>
      <c r="M14" s="42">
        <f>44430.5+16295</f>
        <v>60725.5</v>
      </c>
      <c r="N14" s="43">
        <v>39331</v>
      </c>
      <c r="O14" s="193"/>
      <c r="P14" s="49">
        <f t="shared" si="2"/>
        <v>122772</v>
      </c>
      <c r="Q14" s="45">
        <f t="shared" si="1"/>
        <v>0</v>
      </c>
      <c r="R14" s="46">
        <v>0</v>
      </c>
    </row>
    <row r="15" spans="1:18" ht="18" thickBot="1" x14ac:dyDescent="0.35">
      <c r="A15" s="31"/>
      <c r="B15" s="32">
        <v>44945</v>
      </c>
      <c r="C15" s="33">
        <v>7955</v>
      </c>
      <c r="D15" s="50" t="s">
        <v>87</v>
      </c>
      <c r="E15" s="35">
        <v>44945</v>
      </c>
      <c r="F15" s="36">
        <v>113415</v>
      </c>
      <c r="G15" s="37"/>
      <c r="H15" s="38">
        <v>44945</v>
      </c>
      <c r="I15" s="39">
        <v>3059</v>
      </c>
      <c r="J15" s="40"/>
      <c r="K15" s="48"/>
      <c r="L15" s="49"/>
      <c r="M15" s="42">
        <f>39227+20000</f>
        <v>59227</v>
      </c>
      <c r="N15" s="43">
        <v>43174</v>
      </c>
      <c r="P15" s="49">
        <f t="shared" si="2"/>
        <v>113415</v>
      </c>
      <c r="Q15" s="45">
        <f t="shared" si="1"/>
        <v>0</v>
      </c>
      <c r="R15" s="46">
        <v>0</v>
      </c>
    </row>
    <row r="16" spans="1:18" ht="18" thickBot="1" x14ac:dyDescent="0.35">
      <c r="A16" s="31"/>
      <c r="B16" s="32">
        <v>44946</v>
      </c>
      <c r="C16" s="33">
        <v>6095</v>
      </c>
      <c r="D16" s="47" t="s">
        <v>88</v>
      </c>
      <c r="E16" s="35">
        <v>44946</v>
      </c>
      <c r="F16" s="36">
        <v>135526</v>
      </c>
      <c r="G16" s="37"/>
      <c r="H16" s="38">
        <v>44946</v>
      </c>
      <c r="I16" s="39">
        <v>1637.5</v>
      </c>
      <c r="J16" s="40"/>
      <c r="K16" s="57"/>
      <c r="L16" s="13"/>
      <c r="M16" s="42">
        <f>61785.5+20000</f>
        <v>81785.5</v>
      </c>
      <c r="N16" s="43">
        <v>46008</v>
      </c>
      <c r="P16" s="49">
        <f t="shared" si="2"/>
        <v>135526</v>
      </c>
      <c r="Q16" s="45">
        <f t="shared" si="1"/>
        <v>0</v>
      </c>
      <c r="R16" s="46">
        <v>0</v>
      </c>
    </row>
    <row r="17" spans="1:19" ht="18" thickBot="1" x14ac:dyDescent="0.35">
      <c r="A17" s="31"/>
      <c r="B17" s="32">
        <v>44947</v>
      </c>
      <c r="C17" s="33">
        <v>35969</v>
      </c>
      <c r="D17" s="51" t="s">
        <v>89</v>
      </c>
      <c r="E17" s="35">
        <v>44947</v>
      </c>
      <c r="F17" s="36">
        <v>135562</v>
      </c>
      <c r="G17" s="37"/>
      <c r="H17" s="38">
        <v>44947</v>
      </c>
      <c r="I17" s="39">
        <v>9870</v>
      </c>
      <c r="J17" s="40">
        <v>44947</v>
      </c>
      <c r="K17" s="48" t="s">
        <v>90</v>
      </c>
      <c r="L17" s="55">
        <v>19262</v>
      </c>
      <c r="M17" s="42">
        <v>17784</v>
      </c>
      <c r="N17" s="43">
        <v>52677</v>
      </c>
      <c r="P17" s="49">
        <f t="shared" si="2"/>
        <v>135562</v>
      </c>
      <c r="Q17" s="45">
        <f t="shared" si="1"/>
        <v>0</v>
      </c>
      <c r="R17" s="46">
        <v>0</v>
      </c>
    </row>
    <row r="18" spans="1:19" ht="18" thickBot="1" x14ac:dyDescent="0.35">
      <c r="A18" s="31"/>
      <c r="B18" s="32">
        <v>44948</v>
      </c>
      <c r="C18" s="33">
        <v>650</v>
      </c>
      <c r="D18" s="47" t="s">
        <v>91</v>
      </c>
      <c r="E18" s="35">
        <v>44948</v>
      </c>
      <c r="F18" s="36">
        <v>117598</v>
      </c>
      <c r="G18" s="37"/>
      <c r="H18" s="38">
        <v>44948</v>
      </c>
      <c r="I18" s="39">
        <v>626</v>
      </c>
      <c r="J18" s="40"/>
      <c r="K18" s="58"/>
      <c r="L18" s="49"/>
      <c r="M18" s="42">
        <f>20000+52532</f>
        <v>72532</v>
      </c>
      <c r="N18" s="43">
        <v>43790</v>
      </c>
      <c r="P18" s="49">
        <f t="shared" si="2"/>
        <v>117598</v>
      </c>
      <c r="Q18" s="45">
        <f t="shared" si="1"/>
        <v>0</v>
      </c>
      <c r="R18" s="46">
        <v>0</v>
      </c>
    </row>
    <row r="19" spans="1:19" ht="27.75" thickBot="1" x14ac:dyDescent="0.35">
      <c r="A19" s="31"/>
      <c r="B19" s="32">
        <v>44949</v>
      </c>
      <c r="C19" s="33">
        <v>20579</v>
      </c>
      <c r="D19" s="47" t="s">
        <v>92</v>
      </c>
      <c r="E19" s="35">
        <v>44949</v>
      </c>
      <c r="F19" s="36">
        <v>116443</v>
      </c>
      <c r="G19" s="37"/>
      <c r="H19" s="38">
        <v>44949</v>
      </c>
      <c r="I19" s="39">
        <v>2267</v>
      </c>
      <c r="J19" s="40">
        <v>44949</v>
      </c>
      <c r="K19" s="283" t="s">
        <v>93</v>
      </c>
      <c r="L19" s="59">
        <v>46500</v>
      </c>
      <c r="M19" s="42">
        <f>354+569+802</f>
        <v>1725</v>
      </c>
      <c r="N19" s="43">
        <v>45371</v>
      </c>
      <c r="P19" s="49">
        <f t="shared" si="2"/>
        <v>116442</v>
      </c>
      <c r="Q19" s="45">
        <f t="shared" si="1"/>
        <v>-1</v>
      </c>
      <c r="R19" s="46">
        <v>0</v>
      </c>
    </row>
    <row r="20" spans="1:19" ht="18" customHeight="1" thickBot="1" x14ac:dyDescent="0.35">
      <c r="A20" s="31"/>
      <c r="B20" s="32">
        <v>44950</v>
      </c>
      <c r="C20" s="33">
        <v>31592</v>
      </c>
      <c r="D20" s="47" t="s">
        <v>94</v>
      </c>
      <c r="E20" s="35">
        <v>44950</v>
      </c>
      <c r="F20" s="36">
        <v>111687</v>
      </c>
      <c r="G20" s="37"/>
      <c r="H20" s="38">
        <v>44950</v>
      </c>
      <c r="I20" s="39">
        <v>2245</v>
      </c>
      <c r="J20" s="40"/>
      <c r="K20" s="60"/>
      <c r="L20" s="55"/>
      <c r="M20" s="42">
        <f>38110+1286</f>
        <v>39396</v>
      </c>
      <c r="N20" s="43">
        <v>38454</v>
      </c>
      <c r="P20" s="49">
        <f t="shared" si="2"/>
        <v>111687</v>
      </c>
      <c r="Q20" s="45">
        <f t="shared" si="1"/>
        <v>0</v>
      </c>
      <c r="R20" s="46">
        <v>0</v>
      </c>
    </row>
    <row r="21" spans="1:19" ht="18" thickBot="1" x14ac:dyDescent="0.35">
      <c r="A21" s="31"/>
      <c r="B21" s="32">
        <v>44951</v>
      </c>
      <c r="C21" s="33">
        <v>5555</v>
      </c>
      <c r="D21" s="47" t="s">
        <v>95</v>
      </c>
      <c r="E21" s="35">
        <v>44951</v>
      </c>
      <c r="F21" s="36">
        <v>109189</v>
      </c>
      <c r="G21" s="37"/>
      <c r="H21" s="38">
        <v>44951</v>
      </c>
      <c r="I21" s="39">
        <v>1589</v>
      </c>
      <c r="J21" s="40"/>
      <c r="K21" s="61"/>
      <c r="L21" s="55"/>
      <c r="M21" s="42">
        <f>38970+12084+1916+45045+12249.5+10507.5+4172</f>
        <v>124944</v>
      </c>
      <c r="N21" s="43">
        <v>22148</v>
      </c>
      <c r="P21" s="49">
        <f t="shared" si="2"/>
        <v>154236</v>
      </c>
      <c r="Q21" s="45">
        <v>0</v>
      </c>
      <c r="R21" s="282">
        <v>45047</v>
      </c>
    </row>
    <row r="22" spans="1:19" ht="18" thickBot="1" x14ac:dyDescent="0.35">
      <c r="A22" s="31"/>
      <c r="B22" s="32">
        <v>44952</v>
      </c>
      <c r="C22" s="33">
        <v>23324</v>
      </c>
      <c r="D22" s="47" t="s">
        <v>96</v>
      </c>
      <c r="E22" s="35">
        <v>44952</v>
      </c>
      <c r="F22" s="36">
        <v>231927</v>
      </c>
      <c r="G22" s="37"/>
      <c r="H22" s="38">
        <v>44952</v>
      </c>
      <c r="I22" s="39">
        <v>2738</v>
      </c>
      <c r="J22" s="40">
        <v>44952</v>
      </c>
      <c r="K22" s="284" t="s">
        <v>97</v>
      </c>
      <c r="L22" s="62">
        <v>439311.46</v>
      </c>
      <c r="M22" s="42">
        <f>151000+36342+26928+15000</f>
        <v>229270</v>
      </c>
      <c r="N22" s="43">
        <v>29931</v>
      </c>
      <c r="P22" s="49">
        <f t="shared" si="2"/>
        <v>724574.46</v>
      </c>
      <c r="Q22" s="45">
        <v>0</v>
      </c>
      <c r="R22" s="282">
        <v>492648</v>
      </c>
      <c r="S22" s="63"/>
    </row>
    <row r="23" spans="1:19" ht="18" customHeight="1" thickBot="1" x14ac:dyDescent="0.35">
      <c r="A23" s="31"/>
      <c r="B23" s="32">
        <v>44953</v>
      </c>
      <c r="C23" s="33">
        <v>2432</v>
      </c>
      <c r="D23" s="47" t="s">
        <v>98</v>
      </c>
      <c r="E23" s="35">
        <v>44953</v>
      </c>
      <c r="F23" s="36">
        <v>97988</v>
      </c>
      <c r="G23" s="37"/>
      <c r="H23" s="38">
        <v>44953</v>
      </c>
      <c r="I23" s="39">
        <v>3835</v>
      </c>
      <c r="J23" s="64"/>
      <c r="K23" s="65"/>
      <c r="L23" s="55"/>
      <c r="M23" s="42">
        <v>48348</v>
      </c>
      <c r="N23" s="43">
        <v>43373</v>
      </c>
      <c r="P23" s="49">
        <f t="shared" si="2"/>
        <v>97988</v>
      </c>
      <c r="Q23" s="45">
        <f t="shared" si="1"/>
        <v>0</v>
      </c>
      <c r="R23" s="46">
        <v>0</v>
      </c>
    </row>
    <row r="24" spans="1:19" ht="18" customHeight="1" thickBot="1" x14ac:dyDescent="0.35">
      <c r="A24" s="31"/>
      <c r="B24" s="32">
        <v>44954</v>
      </c>
      <c r="C24" s="33">
        <v>14943</v>
      </c>
      <c r="D24" s="51" t="s">
        <v>99</v>
      </c>
      <c r="E24" s="35">
        <v>44954</v>
      </c>
      <c r="F24" s="36">
        <v>134301</v>
      </c>
      <c r="G24" s="37"/>
      <c r="H24" s="38">
        <v>44954</v>
      </c>
      <c r="I24" s="39">
        <v>4836</v>
      </c>
      <c r="J24" s="66">
        <v>44954</v>
      </c>
      <c r="K24" s="65" t="s">
        <v>100</v>
      </c>
      <c r="L24" s="67">
        <v>18691</v>
      </c>
      <c r="M24" s="42">
        <v>38323</v>
      </c>
      <c r="N24" s="43">
        <v>57308</v>
      </c>
      <c r="P24" s="49">
        <f>N24+M24+L24+I24+C24</f>
        <v>134101</v>
      </c>
      <c r="Q24" s="285">
        <f t="shared" si="1"/>
        <v>-200</v>
      </c>
      <c r="R24" s="46">
        <v>0</v>
      </c>
    </row>
    <row r="25" spans="1:19" ht="18" thickBot="1" x14ac:dyDescent="0.35">
      <c r="A25" s="31"/>
      <c r="B25" s="32">
        <v>44955</v>
      </c>
      <c r="C25" s="33">
        <v>3370</v>
      </c>
      <c r="D25" s="47" t="s">
        <v>101</v>
      </c>
      <c r="E25" s="35">
        <v>44955</v>
      </c>
      <c r="F25" s="36">
        <v>119517</v>
      </c>
      <c r="G25" s="37"/>
      <c r="H25" s="38">
        <v>44955</v>
      </c>
      <c r="I25" s="39">
        <v>420</v>
      </c>
      <c r="J25" s="64"/>
      <c r="K25" s="48"/>
      <c r="L25" s="68"/>
      <c r="M25" s="42">
        <v>73652</v>
      </c>
      <c r="N25" s="43">
        <v>42075</v>
      </c>
      <c r="P25" s="69">
        <f t="shared" si="2"/>
        <v>119517</v>
      </c>
      <c r="Q25" s="45">
        <f t="shared" si="1"/>
        <v>0</v>
      </c>
      <c r="R25" s="46">
        <v>0</v>
      </c>
    </row>
    <row r="26" spans="1:19" ht="18" thickBot="1" x14ac:dyDescent="0.35">
      <c r="A26" s="31"/>
      <c r="B26" s="32"/>
      <c r="C26" s="33"/>
      <c r="D26" s="47"/>
      <c r="E26" s="35"/>
      <c r="F26" s="36"/>
      <c r="G26" s="37"/>
      <c r="H26" s="38"/>
      <c r="I26" s="39"/>
      <c r="J26" s="40"/>
      <c r="K26" s="70"/>
      <c r="L26" s="71"/>
      <c r="M26" s="42">
        <v>0</v>
      </c>
      <c r="N26" s="43">
        <v>0</v>
      </c>
      <c r="P26" s="69">
        <f t="shared" si="2"/>
        <v>0</v>
      </c>
      <c r="Q26" s="45">
        <f t="shared" si="1"/>
        <v>0</v>
      </c>
      <c r="R26" s="46">
        <v>0</v>
      </c>
      <c r="S26" t="s">
        <v>11</v>
      </c>
    </row>
    <row r="27" spans="1:19" ht="18" customHeight="1" thickBot="1" x14ac:dyDescent="0.35">
      <c r="A27" s="31"/>
      <c r="B27" s="32"/>
      <c r="C27" s="33"/>
      <c r="D27" s="51"/>
      <c r="E27" s="35"/>
      <c r="F27" s="36"/>
      <c r="G27" s="37"/>
      <c r="H27" s="38"/>
      <c r="I27" s="39"/>
      <c r="J27" s="72"/>
      <c r="K27" s="73"/>
      <c r="L27" s="68"/>
      <c r="M27" s="42">
        <v>0</v>
      </c>
      <c r="N27" s="43">
        <v>0</v>
      </c>
      <c r="P27" s="69">
        <f t="shared" si="2"/>
        <v>0</v>
      </c>
      <c r="Q27" s="45">
        <f t="shared" si="1"/>
        <v>0</v>
      </c>
      <c r="R27" s="46">
        <v>0</v>
      </c>
    </row>
    <row r="28" spans="1:19" ht="18" customHeight="1" thickBot="1" x14ac:dyDescent="0.35">
      <c r="A28" s="31"/>
      <c r="B28" s="32">
        <v>44938</v>
      </c>
      <c r="C28" s="33">
        <v>4025.53</v>
      </c>
      <c r="D28" s="51" t="s">
        <v>91</v>
      </c>
      <c r="E28" s="35"/>
      <c r="F28" s="36"/>
      <c r="G28" s="37"/>
      <c r="H28" s="38"/>
      <c r="I28" s="39"/>
      <c r="J28" s="74">
        <v>44940</v>
      </c>
      <c r="K28" s="85" t="s">
        <v>81</v>
      </c>
      <c r="L28" s="49">
        <v>23711</v>
      </c>
      <c r="M28" s="42">
        <v>0</v>
      </c>
      <c r="N28" s="43">
        <v>0</v>
      </c>
      <c r="P28" s="69">
        <v>0</v>
      </c>
      <c r="Q28" s="45">
        <f t="shared" si="1"/>
        <v>0</v>
      </c>
      <c r="R28" s="46">
        <v>0</v>
      </c>
    </row>
    <row r="29" spans="1:19" ht="18" thickBot="1" x14ac:dyDescent="0.35">
      <c r="A29" s="31"/>
      <c r="B29" s="32">
        <v>44944</v>
      </c>
      <c r="C29" s="33">
        <v>200000</v>
      </c>
      <c r="D29" s="333" t="s">
        <v>217</v>
      </c>
      <c r="E29" s="35"/>
      <c r="F29" s="36"/>
      <c r="G29" s="37"/>
      <c r="H29" s="38"/>
      <c r="I29" s="39"/>
      <c r="J29" s="87">
        <v>44947</v>
      </c>
      <c r="K29" s="88" t="s">
        <v>90</v>
      </c>
      <c r="L29" s="89">
        <v>20083.5</v>
      </c>
      <c r="M29" s="42">
        <v>0</v>
      </c>
      <c r="N29" s="43">
        <v>0</v>
      </c>
      <c r="P29" s="69">
        <v>0</v>
      </c>
      <c r="Q29" s="45">
        <f t="shared" si="1"/>
        <v>0</v>
      </c>
      <c r="R29" s="46">
        <v>0</v>
      </c>
    </row>
    <row r="30" spans="1:19" ht="18" thickBot="1" x14ac:dyDescent="0.35">
      <c r="A30" s="31"/>
      <c r="B30" s="32">
        <v>44945</v>
      </c>
      <c r="C30" s="33">
        <v>2399.15</v>
      </c>
      <c r="D30" s="76" t="s">
        <v>91</v>
      </c>
      <c r="E30" s="35"/>
      <c r="F30" s="36"/>
      <c r="G30" s="37"/>
      <c r="H30" s="38"/>
      <c r="I30" s="39"/>
      <c r="J30" s="74">
        <v>44954</v>
      </c>
      <c r="K30" s="85" t="s">
        <v>100</v>
      </c>
      <c r="L30" s="49">
        <v>19643.560000000001</v>
      </c>
      <c r="M30" s="42">
        <v>0</v>
      </c>
      <c r="N30" s="43">
        <v>0</v>
      </c>
      <c r="P30" s="69">
        <v>0</v>
      </c>
      <c r="Q30" s="45">
        <f t="shared" si="1"/>
        <v>0</v>
      </c>
      <c r="R30" s="46">
        <v>0</v>
      </c>
    </row>
    <row r="31" spans="1:19" ht="18" thickBot="1" x14ac:dyDescent="0.35">
      <c r="A31" s="31"/>
      <c r="B31" s="32">
        <v>44945</v>
      </c>
      <c r="C31" s="33">
        <v>45777</v>
      </c>
      <c r="D31" s="83" t="s">
        <v>145</v>
      </c>
      <c r="E31" s="35"/>
      <c r="F31" s="36"/>
      <c r="G31" s="37"/>
      <c r="H31" s="38"/>
      <c r="I31" s="39"/>
      <c r="J31" s="74"/>
      <c r="K31" s="80"/>
      <c r="L31" s="68"/>
      <c r="M31" s="42">
        <v>0</v>
      </c>
      <c r="N31" s="43">
        <v>0</v>
      </c>
      <c r="P31" s="69">
        <v>0</v>
      </c>
      <c r="Q31" s="45">
        <f t="shared" si="1"/>
        <v>0</v>
      </c>
      <c r="R31" s="46">
        <v>0</v>
      </c>
    </row>
    <row r="32" spans="1:19" ht="18" thickBot="1" x14ac:dyDescent="0.35">
      <c r="A32" s="31"/>
      <c r="B32" s="32">
        <v>44950</v>
      </c>
      <c r="C32" s="33">
        <v>453654.75</v>
      </c>
      <c r="D32" s="79" t="s">
        <v>218</v>
      </c>
      <c r="E32" s="35"/>
      <c r="F32" s="36"/>
      <c r="G32" s="37"/>
      <c r="H32" s="38"/>
      <c r="I32" s="39"/>
      <c r="J32" s="82"/>
      <c r="K32" s="48"/>
      <c r="L32" s="49"/>
      <c r="M32" s="42">
        <v>0</v>
      </c>
      <c r="N32" s="43">
        <v>0</v>
      </c>
      <c r="P32" s="69">
        <v>0</v>
      </c>
      <c r="Q32" s="45">
        <f t="shared" si="1"/>
        <v>0</v>
      </c>
      <c r="R32" s="46">
        <v>0</v>
      </c>
    </row>
    <row r="33" spans="1:19" ht="18" thickBot="1" x14ac:dyDescent="0.35">
      <c r="A33" s="31"/>
      <c r="B33" s="32">
        <v>44950</v>
      </c>
      <c r="C33" s="33">
        <v>204403.20000000001</v>
      </c>
      <c r="D33" s="81" t="s">
        <v>219</v>
      </c>
      <c r="E33" s="35"/>
      <c r="F33" s="36"/>
      <c r="G33" s="37"/>
      <c r="H33" s="38"/>
      <c r="I33" s="39"/>
      <c r="J33" s="74">
        <v>44935</v>
      </c>
      <c r="K33" s="335" t="s">
        <v>214</v>
      </c>
      <c r="L33" s="84">
        <v>31059</v>
      </c>
      <c r="M33" s="42">
        <v>0</v>
      </c>
      <c r="N33" s="43">
        <v>0</v>
      </c>
      <c r="P33" s="69">
        <v>0</v>
      </c>
      <c r="Q33" s="45">
        <f t="shared" si="1"/>
        <v>0</v>
      </c>
      <c r="R33" s="46">
        <v>0</v>
      </c>
    </row>
    <row r="34" spans="1:19" ht="18" thickBot="1" x14ac:dyDescent="0.35">
      <c r="A34" s="31"/>
      <c r="B34" s="32">
        <v>44950</v>
      </c>
      <c r="C34" s="33">
        <v>6811.81</v>
      </c>
      <c r="D34" s="83" t="s">
        <v>226</v>
      </c>
      <c r="E34" s="35"/>
      <c r="F34" s="36"/>
      <c r="G34" s="37"/>
      <c r="H34" s="38"/>
      <c r="I34" s="39"/>
      <c r="J34" s="74">
        <v>44932</v>
      </c>
      <c r="K34" s="334" t="s">
        <v>223</v>
      </c>
      <c r="L34" s="49">
        <v>4363.07</v>
      </c>
      <c r="M34" s="42">
        <v>0</v>
      </c>
      <c r="N34" s="43">
        <v>0</v>
      </c>
      <c r="P34" s="69">
        <v>0</v>
      </c>
      <c r="Q34" s="45">
        <f t="shared" si="1"/>
        <v>0</v>
      </c>
      <c r="R34" s="46">
        <v>0</v>
      </c>
      <c r="S34" t="s">
        <v>10</v>
      </c>
    </row>
    <row r="35" spans="1:19" ht="18" thickBot="1" x14ac:dyDescent="0.35">
      <c r="A35" s="31"/>
      <c r="B35" s="32"/>
      <c r="C35" s="86"/>
      <c r="D35" s="79"/>
      <c r="E35" s="35"/>
      <c r="F35" s="36"/>
      <c r="G35" s="37"/>
      <c r="H35" s="38"/>
      <c r="I35" s="39"/>
      <c r="J35" s="87">
        <v>44938</v>
      </c>
      <c r="K35" s="88" t="s">
        <v>215</v>
      </c>
      <c r="L35" s="89">
        <v>18328</v>
      </c>
      <c r="M35" s="42">
        <v>0</v>
      </c>
      <c r="N35" s="43">
        <v>0</v>
      </c>
      <c r="P35" s="69">
        <v>0</v>
      </c>
      <c r="Q35" s="45">
        <f t="shared" si="1"/>
        <v>0</v>
      </c>
      <c r="R35" s="46">
        <v>0</v>
      </c>
    </row>
    <row r="36" spans="1:19" ht="18" customHeight="1" thickTop="1" thickBot="1" x14ac:dyDescent="0.35">
      <c r="A36" s="31"/>
      <c r="B36" s="32"/>
      <c r="C36" s="90"/>
      <c r="D36" s="91"/>
      <c r="E36" s="35"/>
      <c r="F36" s="36"/>
      <c r="G36" s="92"/>
      <c r="H36" s="38"/>
      <c r="I36" s="39"/>
      <c r="J36" s="74">
        <v>44938</v>
      </c>
      <c r="K36" s="95" t="s">
        <v>224</v>
      </c>
      <c r="L36" s="49">
        <v>1856</v>
      </c>
      <c r="M36" s="42">
        <v>0</v>
      </c>
      <c r="N36" s="43">
        <v>0</v>
      </c>
      <c r="P36" s="69">
        <v>0</v>
      </c>
      <c r="Q36" s="45">
        <f t="shared" si="1"/>
        <v>0</v>
      </c>
      <c r="R36" s="46">
        <v>0</v>
      </c>
    </row>
    <row r="37" spans="1:19" ht="18" customHeight="1" thickBot="1" x14ac:dyDescent="0.35">
      <c r="A37" s="31"/>
      <c r="B37" s="32"/>
      <c r="C37" s="93"/>
      <c r="D37" s="94"/>
      <c r="E37" s="35"/>
      <c r="F37" s="36"/>
      <c r="G37" s="92"/>
      <c r="H37" s="38"/>
      <c r="I37" s="39"/>
      <c r="J37" s="82">
        <v>44943</v>
      </c>
      <c r="K37" s="95" t="s">
        <v>225</v>
      </c>
      <c r="L37" s="49">
        <v>512</v>
      </c>
      <c r="M37" s="42">
        <v>0</v>
      </c>
      <c r="N37" s="43">
        <v>0</v>
      </c>
      <c r="P37" s="69">
        <v>0</v>
      </c>
      <c r="Q37" s="45">
        <f t="shared" si="1"/>
        <v>0</v>
      </c>
      <c r="R37" s="46">
        <v>0</v>
      </c>
    </row>
    <row r="38" spans="1:19" ht="18" thickBot="1" x14ac:dyDescent="0.35">
      <c r="A38" s="31"/>
      <c r="B38" s="32"/>
      <c r="C38" s="93"/>
      <c r="D38" s="94"/>
      <c r="E38" s="35"/>
      <c r="F38" s="36"/>
      <c r="G38" s="92"/>
      <c r="H38" s="38"/>
      <c r="I38" s="39"/>
      <c r="J38" s="74">
        <v>44943</v>
      </c>
      <c r="K38" s="48" t="s">
        <v>221</v>
      </c>
      <c r="L38" s="49">
        <v>6960</v>
      </c>
      <c r="M38" s="42">
        <v>0</v>
      </c>
      <c r="N38" s="43">
        <v>0</v>
      </c>
      <c r="P38" s="69">
        <v>0</v>
      </c>
      <c r="Q38" s="45">
        <f t="shared" si="1"/>
        <v>0</v>
      </c>
      <c r="R38" s="46">
        <v>0</v>
      </c>
    </row>
    <row r="39" spans="1:19" ht="18" thickBot="1" x14ac:dyDescent="0.35">
      <c r="A39" s="31"/>
      <c r="B39" s="32"/>
      <c r="C39" s="93"/>
      <c r="D39" s="96"/>
      <c r="E39" s="35"/>
      <c r="F39" s="97"/>
      <c r="G39" s="92"/>
      <c r="H39" s="38"/>
      <c r="I39" s="98"/>
      <c r="J39" s="74">
        <v>44944</v>
      </c>
      <c r="K39" s="85" t="s">
        <v>216</v>
      </c>
      <c r="L39" s="49">
        <v>7271.18</v>
      </c>
      <c r="M39" s="42">
        <v>0</v>
      </c>
      <c r="N39" s="43">
        <v>0</v>
      </c>
      <c r="P39" s="69">
        <v>0</v>
      </c>
      <c r="Q39" s="45">
        <f t="shared" si="1"/>
        <v>0</v>
      </c>
      <c r="R39" s="46">
        <v>0</v>
      </c>
    </row>
    <row r="40" spans="1:19" ht="18" thickBot="1" x14ac:dyDescent="0.35">
      <c r="A40" s="31"/>
      <c r="B40" s="32"/>
      <c r="C40" s="93"/>
      <c r="D40" s="94"/>
      <c r="E40" s="35"/>
      <c r="F40" s="97"/>
      <c r="G40" s="37"/>
      <c r="H40" s="38"/>
      <c r="I40" s="98"/>
      <c r="J40" s="74">
        <v>44950</v>
      </c>
      <c r="K40" s="48" t="s">
        <v>227</v>
      </c>
      <c r="L40" s="49">
        <v>2320</v>
      </c>
      <c r="M40" s="42">
        <v>0</v>
      </c>
      <c r="N40" s="43">
        <v>0</v>
      </c>
      <c r="P40" s="69">
        <v>0</v>
      </c>
      <c r="Q40" s="45">
        <f t="shared" si="1"/>
        <v>0</v>
      </c>
      <c r="R40" s="46">
        <v>0</v>
      </c>
    </row>
    <row r="41" spans="1:19" ht="18" thickBot="1" x14ac:dyDescent="0.35">
      <c r="A41" s="31"/>
      <c r="B41" s="32"/>
      <c r="C41" s="93"/>
      <c r="D41" s="102"/>
      <c r="E41" s="35"/>
      <c r="F41" s="97"/>
      <c r="G41" s="37"/>
      <c r="H41" s="38"/>
      <c r="I41" s="103"/>
      <c r="J41" s="74">
        <v>44950</v>
      </c>
      <c r="K41" s="48" t="s">
        <v>228</v>
      </c>
      <c r="L41" s="49">
        <v>1232.79</v>
      </c>
      <c r="M41" s="42">
        <v>0</v>
      </c>
      <c r="N41" s="43">
        <v>0</v>
      </c>
      <c r="P41" s="69">
        <v>0</v>
      </c>
      <c r="Q41" s="45">
        <f t="shared" si="1"/>
        <v>0</v>
      </c>
      <c r="R41" s="46">
        <v>0</v>
      </c>
    </row>
    <row r="42" spans="1:19" ht="18" thickBot="1" x14ac:dyDescent="0.35">
      <c r="A42" s="31"/>
      <c r="B42" s="32"/>
      <c r="C42" s="93"/>
      <c r="D42" s="102"/>
      <c r="E42" s="35"/>
      <c r="F42" s="97"/>
      <c r="G42" s="37"/>
      <c r="H42" s="38"/>
      <c r="I42" s="103"/>
      <c r="J42" s="74">
        <v>44952</v>
      </c>
      <c r="K42" s="85" t="s">
        <v>216</v>
      </c>
      <c r="L42" s="49">
        <v>8321.48</v>
      </c>
      <c r="M42" s="42">
        <v>0</v>
      </c>
      <c r="N42" s="43">
        <v>0</v>
      </c>
      <c r="P42" s="69">
        <v>0</v>
      </c>
      <c r="Q42" s="45">
        <f t="shared" si="1"/>
        <v>0</v>
      </c>
      <c r="R42" s="46">
        <v>0</v>
      </c>
    </row>
    <row r="43" spans="1:19" ht="18" thickBot="1" x14ac:dyDescent="0.35">
      <c r="A43" s="31"/>
      <c r="B43" s="32"/>
      <c r="C43" s="93"/>
      <c r="D43" s="102"/>
      <c r="E43" s="35"/>
      <c r="F43" s="97"/>
      <c r="G43" s="37"/>
      <c r="H43" s="38"/>
      <c r="I43" s="103"/>
      <c r="J43" s="74">
        <v>44952</v>
      </c>
      <c r="K43" s="125" t="s">
        <v>229</v>
      </c>
      <c r="L43" s="49">
        <v>400000</v>
      </c>
      <c r="M43" s="42">
        <v>0</v>
      </c>
      <c r="N43" s="43">
        <v>0</v>
      </c>
      <c r="P43" s="69">
        <v>0</v>
      </c>
      <c r="Q43" s="45">
        <f t="shared" si="1"/>
        <v>0</v>
      </c>
      <c r="R43" s="46">
        <v>0</v>
      </c>
    </row>
    <row r="44" spans="1:19" ht="18" thickBot="1" x14ac:dyDescent="0.35">
      <c r="A44" s="31"/>
      <c r="B44" s="32"/>
      <c r="C44" s="93"/>
      <c r="D44" s="102"/>
      <c r="E44" s="35"/>
      <c r="F44" s="97"/>
      <c r="G44" s="37"/>
      <c r="H44" s="38"/>
      <c r="I44" s="103"/>
      <c r="J44" s="74">
        <v>44953</v>
      </c>
      <c r="K44" s="125" t="s">
        <v>229</v>
      </c>
      <c r="L44" s="49">
        <v>398750</v>
      </c>
      <c r="M44" s="42">
        <v>0</v>
      </c>
      <c r="N44" s="43">
        <v>0</v>
      </c>
      <c r="P44" s="69">
        <v>0</v>
      </c>
      <c r="Q44" s="45">
        <f t="shared" si="1"/>
        <v>0</v>
      </c>
      <c r="R44" s="46">
        <v>0</v>
      </c>
    </row>
    <row r="45" spans="1:19" ht="18" thickBot="1" x14ac:dyDescent="0.35">
      <c r="A45" s="31"/>
      <c r="B45" s="32"/>
      <c r="C45" s="93"/>
      <c r="D45" s="102"/>
      <c r="E45" s="35"/>
      <c r="F45" s="97"/>
      <c r="G45" s="37"/>
      <c r="H45" s="38"/>
      <c r="I45" s="103"/>
      <c r="J45" s="74"/>
      <c r="K45" s="48"/>
      <c r="L45" s="49"/>
      <c r="M45" s="42">
        <v>0</v>
      </c>
      <c r="N45" s="43">
        <v>0</v>
      </c>
      <c r="P45" s="69">
        <v>0</v>
      </c>
      <c r="Q45" s="45">
        <f t="shared" si="1"/>
        <v>0</v>
      </c>
      <c r="R45" s="46">
        <v>0</v>
      </c>
    </row>
    <row r="46" spans="1:19" ht="18" thickBot="1" x14ac:dyDescent="0.35">
      <c r="A46" s="31"/>
      <c r="B46" s="32"/>
      <c r="C46" s="93"/>
      <c r="D46" s="102"/>
      <c r="E46" s="35"/>
      <c r="F46" s="97"/>
      <c r="G46" s="37"/>
      <c r="H46" s="38"/>
      <c r="I46" s="103"/>
      <c r="J46" s="74"/>
      <c r="K46" s="48"/>
      <c r="L46" s="49"/>
      <c r="M46" s="42">
        <v>0</v>
      </c>
      <c r="N46" s="43">
        <v>0</v>
      </c>
      <c r="P46" s="69">
        <v>0</v>
      </c>
      <c r="Q46" s="45">
        <f t="shared" si="1"/>
        <v>0</v>
      </c>
      <c r="R46" s="46">
        <v>0</v>
      </c>
    </row>
    <row r="47" spans="1:19" ht="18" thickBot="1" x14ac:dyDescent="0.35">
      <c r="A47" s="31"/>
      <c r="B47" s="32"/>
      <c r="C47" s="93"/>
      <c r="D47" s="102"/>
      <c r="E47" s="104"/>
      <c r="F47" s="105"/>
      <c r="G47" s="37"/>
      <c r="H47" s="106"/>
      <c r="I47" s="103"/>
      <c r="J47" s="74"/>
      <c r="K47" s="48"/>
      <c r="L47" s="49"/>
      <c r="M47" s="99">
        <v>0</v>
      </c>
      <c r="N47" s="100">
        <v>0</v>
      </c>
      <c r="P47" s="69">
        <v>0</v>
      </c>
      <c r="Q47" s="45">
        <f t="shared" si="1"/>
        <v>0</v>
      </c>
      <c r="R47" s="46">
        <v>0</v>
      </c>
    </row>
    <row r="48" spans="1:19" ht="18" thickBot="1" x14ac:dyDescent="0.35">
      <c r="A48" s="31"/>
      <c r="B48" s="32"/>
      <c r="C48" s="93"/>
      <c r="D48" s="102"/>
      <c r="E48" s="104"/>
      <c r="F48" s="105"/>
      <c r="G48" s="37"/>
      <c r="H48" s="106"/>
      <c r="I48" s="103"/>
      <c r="J48" s="74"/>
      <c r="K48" s="48"/>
      <c r="L48" s="49"/>
      <c r="M48" s="107"/>
      <c r="N48" s="44"/>
      <c r="P48" s="44">
        <v>0</v>
      </c>
      <c r="Q48" s="108">
        <v>0</v>
      </c>
      <c r="R48" s="46">
        <v>0</v>
      </c>
    </row>
    <row r="49" spans="1:18" ht="18" thickBot="1" x14ac:dyDescent="0.35">
      <c r="A49" s="31"/>
      <c r="B49" s="32"/>
      <c r="C49" s="93"/>
      <c r="D49" s="109"/>
      <c r="E49" s="104"/>
      <c r="F49" s="110"/>
      <c r="G49" s="37"/>
      <c r="H49" s="106"/>
      <c r="I49" s="103"/>
      <c r="J49" s="74"/>
      <c r="K49" s="85"/>
      <c r="L49" s="49"/>
      <c r="M49" s="464">
        <f>SUM(M5:M40)</f>
        <v>1399609.5</v>
      </c>
      <c r="N49" s="464">
        <f>SUM(N5:N40)</f>
        <v>910600</v>
      </c>
      <c r="P49" s="111">
        <f>SUM(P5:P40)</f>
        <v>3236981.46</v>
      </c>
      <c r="Q49" s="476">
        <f>SUM(Q5:Q40)</f>
        <v>-199</v>
      </c>
      <c r="R49" s="46">
        <v>0</v>
      </c>
    </row>
    <row r="50" spans="1:18" ht="18" thickBot="1" x14ac:dyDescent="0.35">
      <c r="A50" s="31"/>
      <c r="B50" s="32"/>
      <c r="C50" s="93"/>
      <c r="D50" s="109"/>
      <c r="E50" s="104"/>
      <c r="F50" s="110"/>
      <c r="G50" s="37"/>
      <c r="H50" s="106"/>
      <c r="I50" s="103"/>
      <c r="J50" s="87"/>
      <c r="K50" s="88"/>
      <c r="L50" s="89"/>
      <c r="M50" s="465"/>
      <c r="N50" s="465"/>
      <c r="P50" s="44"/>
      <c r="Q50" s="477"/>
      <c r="R50" s="112">
        <f>SUM(R5:R49)</f>
        <v>571934</v>
      </c>
    </row>
    <row r="51" spans="1:18" ht="18" thickBot="1" x14ac:dyDescent="0.35">
      <c r="A51" s="31"/>
      <c r="B51" s="32"/>
      <c r="C51" s="93"/>
      <c r="D51" s="109"/>
      <c r="E51" s="104"/>
      <c r="F51" s="110"/>
      <c r="G51" s="37"/>
      <c r="H51" s="106"/>
      <c r="I51" s="103"/>
      <c r="J51" s="74"/>
      <c r="K51" s="85"/>
      <c r="L51" s="49"/>
      <c r="M51" s="113"/>
      <c r="N51" s="113"/>
      <c r="P51" s="44"/>
      <c r="Q51" s="19"/>
    </row>
    <row r="52" spans="1:18" ht="18" thickBot="1" x14ac:dyDescent="0.35">
      <c r="A52" s="31"/>
      <c r="B52" s="32"/>
      <c r="C52" s="93"/>
      <c r="D52" s="109"/>
      <c r="E52" s="104"/>
      <c r="F52" s="110"/>
      <c r="G52" s="37"/>
      <c r="H52" s="106"/>
      <c r="I52" s="103"/>
      <c r="J52" s="74"/>
      <c r="K52" s="48"/>
      <c r="L52" s="49"/>
      <c r="M52" s="113"/>
      <c r="N52" s="113"/>
      <c r="P52" s="44"/>
      <c r="Q52" s="19"/>
    </row>
    <row r="53" spans="1:18" ht="18" thickBot="1" x14ac:dyDescent="0.35">
      <c r="A53" s="31"/>
      <c r="B53" s="32"/>
      <c r="C53" s="93"/>
      <c r="D53" s="114"/>
      <c r="E53" s="104"/>
      <c r="F53" s="110"/>
      <c r="G53" s="37"/>
      <c r="H53" s="106"/>
      <c r="I53" s="103"/>
      <c r="J53" s="74"/>
      <c r="K53" s="48"/>
      <c r="L53" s="49"/>
      <c r="M53" s="478">
        <f>M49+N49</f>
        <v>2310209.5</v>
      </c>
      <c r="N53" s="479"/>
      <c r="P53" s="44"/>
      <c r="Q53" s="19"/>
    </row>
    <row r="54" spans="1:18" ht="18" hidden="1" thickBot="1" x14ac:dyDescent="0.35">
      <c r="A54" s="31"/>
      <c r="B54" s="32"/>
      <c r="C54" s="93"/>
      <c r="D54" s="114"/>
      <c r="E54" s="104"/>
      <c r="F54" s="110"/>
      <c r="G54" s="37"/>
      <c r="H54" s="106"/>
      <c r="I54" s="103"/>
      <c r="J54" s="74"/>
      <c r="K54" s="48"/>
      <c r="L54" s="49"/>
      <c r="M54" s="113"/>
      <c r="N54" s="113"/>
      <c r="P54" s="44"/>
      <c r="Q54" s="19"/>
    </row>
    <row r="55" spans="1:18" ht="18" hidden="1" thickBot="1" x14ac:dyDescent="0.35">
      <c r="A55" s="31"/>
      <c r="B55" s="32"/>
      <c r="C55" s="93"/>
      <c r="D55" s="114"/>
      <c r="E55" s="104"/>
      <c r="F55" s="110"/>
      <c r="G55" s="37"/>
      <c r="H55" s="106"/>
      <c r="I55" s="103"/>
      <c r="J55" s="115"/>
      <c r="K55" s="116"/>
      <c r="L55" s="117"/>
      <c r="M55" s="113"/>
      <c r="N55" s="113"/>
      <c r="P55" s="44"/>
      <c r="Q55" s="19"/>
    </row>
    <row r="56" spans="1:18" ht="18" hidden="1" thickBot="1" x14ac:dyDescent="0.35">
      <c r="A56" s="31"/>
      <c r="B56" s="32"/>
      <c r="C56" s="93"/>
      <c r="D56" s="114"/>
      <c r="E56" s="104"/>
      <c r="F56" s="110"/>
      <c r="G56" s="37"/>
      <c r="H56" s="106"/>
      <c r="I56" s="103"/>
      <c r="J56" s="118"/>
      <c r="K56" s="119"/>
      <c r="L56" s="68"/>
      <c r="M56" s="113"/>
      <c r="N56" s="113"/>
      <c r="P56" s="44"/>
      <c r="Q56" s="19"/>
    </row>
    <row r="57" spans="1:18" ht="18" hidden="1" thickBot="1" x14ac:dyDescent="0.35">
      <c r="A57" s="31"/>
      <c r="B57" s="32"/>
      <c r="C57" s="93"/>
      <c r="D57" s="114"/>
      <c r="E57" s="104"/>
      <c r="F57" s="110"/>
      <c r="G57" s="37"/>
      <c r="H57" s="106"/>
      <c r="I57" s="103"/>
      <c r="J57" s="120"/>
      <c r="K57" s="121"/>
      <c r="L57" s="84"/>
      <c r="M57" s="113"/>
      <c r="N57" s="113"/>
      <c r="P57" s="44"/>
      <c r="Q57" s="19"/>
    </row>
    <row r="58" spans="1:18" ht="18" hidden="1" thickBot="1" x14ac:dyDescent="0.35">
      <c r="A58" s="31"/>
      <c r="B58" s="32"/>
      <c r="C58" s="93"/>
      <c r="D58" s="114"/>
      <c r="E58" s="104"/>
      <c r="F58" s="110"/>
      <c r="G58" s="37"/>
      <c r="H58" s="106"/>
      <c r="I58" s="103"/>
      <c r="J58" s="120"/>
      <c r="K58" s="121"/>
      <c r="L58" s="84"/>
      <c r="M58" s="113"/>
      <c r="N58" s="113"/>
      <c r="P58" s="44"/>
      <c r="Q58" s="19"/>
    </row>
    <row r="59" spans="1:18" ht="18" hidden="1" thickBot="1" x14ac:dyDescent="0.35">
      <c r="A59" s="31"/>
      <c r="B59" s="32"/>
      <c r="C59" s="93"/>
      <c r="D59" s="114"/>
      <c r="E59" s="104"/>
      <c r="F59" s="110"/>
      <c r="G59" s="37"/>
      <c r="H59" s="106"/>
      <c r="I59" s="103"/>
      <c r="J59" s="120"/>
      <c r="K59" s="121"/>
      <c r="L59" s="84"/>
      <c r="M59" s="113"/>
      <c r="N59" s="113"/>
      <c r="P59" s="44"/>
      <c r="Q59" s="19"/>
    </row>
    <row r="60" spans="1:18" ht="18" hidden="1" thickBot="1" x14ac:dyDescent="0.35">
      <c r="A60" s="31"/>
      <c r="B60" s="32"/>
      <c r="C60" s="93"/>
      <c r="D60" s="114"/>
      <c r="E60" s="104"/>
      <c r="F60" s="110"/>
      <c r="G60" s="37"/>
      <c r="H60" s="106"/>
      <c r="I60" s="103"/>
      <c r="J60" s="120"/>
      <c r="K60" s="121"/>
      <c r="L60" s="84"/>
      <c r="M60" s="113"/>
      <c r="N60" s="113"/>
      <c r="P60" s="44"/>
      <c r="Q60" s="19"/>
    </row>
    <row r="61" spans="1:18" ht="18" hidden="1" thickBot="1" x14ac:dyDescent="0.35">
      <c r="A61" s="31"/>
      <c r="B61" s="32"/>
      <c r="C61" s="93"/>
      <c r="D61" s="114"/>
      <c r="E61" s="104"/>
      <c r="F61" s="110"/>
      <c r="G61" s="37"/>
      <c r="H61" s="106"/>
      <c r="I61" s="103"/>
      <c r="J61" s="120"/>
      <c r="K61" s="121"/>
      <c r="L61" s="84"/>
      <c r="M61" s="113"/>
      <c r="N61" s="113"/>
      <c r="P61" s="44"/>
      <c r="Q61" s="19"/>
    </row>
    <row r="62" spans="1:18" ht="18" hidden="1" thickBot="1" x14ac:dyDescent="0.35">
      <c r="A62" s="31"/>
      <c r="B62" s="32"/>
      <c r="C62" s="122"/>
      <c r="D62" s="114"/>
      <c r="E62" s="104"/>
      <c r="F62" s="110"/>
      <c r="G62" s="37"/>
      <c r="H62" s="106"/>
      <c r="I62" s="103"/>
      <c r="J62" s="120"/>
      <c r="K62" s="123"/>
      <c r="L62" s="84"/>
      <c r="M62" s="113"/>
      <c r="N62" s="113"/>
      <c r="P62" s="44"/>
      <c r="Q62" s="19"/>
    </row>
    <row r="63" spans="1:18" ht="18.75" hidden="1" thickTop="1" thickBot="1" x14ac:dyDescent="0.35">
      <c r="A63" s="31"/>
      <c r="B63" s="32"/>
      <c r="C63" s="124"/>
      <c r="D63" s="114"/>
      <c r="E63" s="104"/>
      <c r="F63" s="110"/>
      <c r="G63" s="37"/>
      <c r="H63" s="106"/>
      <c r="I63" s="103"/>
      <c r="J63" s="120"/>
      <c r="K63" s="121"/>
      <c r="L63" s="84"/>
      <c r="M63" s="113"/>
      <c r="N63" s="113"/>
      <c r="P63" s="44"/>
      <c r="Q63" s="19"/>
    </row>
    <row r="64" spans="1:18" ht="18" hidden="1" thickBot="1" x14ac:dyDescent="0.35">
      <c r="A64" s="31"/>
      <c r="B64" s="32"/>
      <c r="C64" s="33"/>
      <c r="D64" s="114"/>
      <c r="E64" s="104"/>
      <c r="F64" s="110"/>
      <c r="G64" s="37"/>
      <c r="H64" s="106"/>
      <c r="I64" s="103"/>
      <c r="J64" s="120"/>
      <c r="K64" s="123"/>
      <c r="L64" s="84"/>
      <c r="M64" s="113"/>
      <c r="N64" s="113"/>
      <c r="P64" s="44"/>
      <c r="Q64" s="19"/>
    </row>
    <row r="65" spans="1:17" ht="18" hidden="1" thickBot="1" x14ac:dyDescent="0.35">
      <c r="A65" s="31"/>
      <c r="B65" s="32"/>
      <c r="C65" s="33"/>
      <c r="D65" s="114"/>
      <c r="E65" s="104"/>
      <c r="F65" s="110"/>
      <c r="G65" s="37"/>
      <c r="H65" s="106"/>
      <c r="I65" s="103"/>
      <c r="J65" s="120"/>
      <c r="K65" s="121"/>
      <c r="L65" s="84"/>
      <c r="M65" s="113"/>
      <c r="N65" s="113"/>
      <c r="P65" s="44"/>
      <c r="Q65" s="19"/>
    </row>
    <row r="66" spans="1:17" ht="18" hidden="1" thickBot="1" x14ac:dyDescent="0.35">
      <c r="A66" s="31"/>
      <c r="B66" s="32"/>
      <c r="C66" s="33"/>
      <c r="D66" s="114"/>
      <c r="E66" s="104"/>
      <c r="F66" s="110"/>
      <c r="G66" s="37"/>
      <c r="H66" s="106"/>
      <c r="I66" s="103"/>
      <c r="J66" s="120"/>
      <c r="K66" s="121"/>
      <c r="L66" s="84"/>
      <c r="M66" s="113"/>
      <c r="N66" s="113"/>
      <c r="P66" s="44"/>
      <c r="Q66" s="19"/>
    </row>
    <row r="67" spans="1:17" ht="18" hidden="1" thickBot="1" x14ac:dyDescent="0.35">
      <c r="A67" s="31"/>
      <c r="B67" s="32"/>
      <c r="C67" s="33"/>
      <c r="D67" s="114"/>
      <c r="E67" s="104"/>
      <c r="F67" s="110"/>
      <c r="G67" s="37"/>
      <c r="H67" s="106"/>
      <c r="I67" s="103"/>
      <c r="J67" s="120"/>
      <c r="K67" s="125"/>
      <c r="L67" s="84"/>
      <c r="M67" s="113"/>
      <c r="N67" s="113"/>
      <c r="P67" s="44"/>
      <c r="Q67" s="19"/>
    </row>
    <row r="68" spans="1:17" ht="16.5" hidden="1" thickBot="1" x14ac:dyDescent="0.3">
      <c r="A68" s="31"/>
      <c r="B68" s="32"/>
      <c r="C68" s="33"/>
      <c r="D68" s="126"/>
      <c r="E68" s="104"/>
      <c r="F68" s="127"/>
      <c r="G68" s="37"/>
      <c r="H68" s="128"/>
      <c r="I68" s="103"/>
      <c r="J68" s="129"/>
      <c r="K68" s="73"/>
      <c r="L68" s="84"/>
      <c r="M68" s="44"/>
      <c r="N68" s="44"/>
      <c r="P68" s="44"/>
      <c r="Q68" s="19"/>
    </row>
    <row r="69" spans="1:17" ht="16.5" thickBot="1" x14ac:dyDescent="0.3">
      <c r="A69" s="31"/>
      <c r="B69" s="130"/>
      <c r="C69" s="131"/>
      <c r="D69" s="126"/>
      <c r="E69" s="132"/>
      <c r="F69" s="44"/>
      <c r="G69" s="37"/>
      <c r="H69" s="106"/>
      <c r="I69" s="44"/>
      <c r="J69" s="133"/>
      <c r="K69" s="125"/>
      <c r="L69" s="84"/>
      <c r="M69" s="44"/>
      <c r="N69" s="44"/>
      <c r="P69" s="44"/>
      <c r="Q69" s="19"/>
    </row>
    <row r="70" spans="1:17" ht="16.5" hidden="1" thickBot="1" x14ac:dyDescent="0.3">
      <c r="A70" s="31"/>
      <c r="B70" s="134"/>
      <c r="C70" s="131"/>
      <c r="D70" s="135"/>
      <c r="E70" s="136"/>
      <c r="F70" s="44"/>
      <c r="H70" s="137"/>
      <c r="I70" s="44"/>
      <c r="J70" s="133"/>
      <c r="K70" s="125"/>
      <c r="L70" s="84"/>
      <c r="M70" s="44"/>
      <c r="N70" s="44"/>
      <c r="P70" s="44"/>
      <c r="Q70" s="19"/>
    </row>
    <row r="71" spans="1:17" ht="16.5" hidden="1" thickBot="1" x14ac:dyDescent="0.3">
      <c r="A71" s="31"/>
      <c r="B71" s="134"/>
      <c r="C71" s="131"/>
      <c r="D71" s="135"/>
      <c r="E71" s="136"/>
      <c r="F71" s="44"/>
      <c r="H71" s="137"/>
      <c r="I71" s="44"/>
      <c r="J71" s="133"/>
      <c r="K71" s="125"/>
      <c r="L71" s="84"/>
      <c r="M71" s="44"/>
      <c r="N71" s="44"/>
      <c r="P71" s="44"/>
      <c r="Q71" s="19"/>
    </row>
    <row r="72" spans="1:17" ht="16.5" hidden="1" thickBot="1" x14ac:dyDescent="0.3">
      <c r="A72" s="31"/>
      <c r="B72" s="134"/>
      <c r="C72" s="131"/>
      <c r="D72" s="135"/>
      <c r="E72" s="136"/>
      <c r="F72" s="44"/>
      <c r="H72" s="137"/>
      <c r="I72" s="44"/>
      <c r="J72" s="133"/>
      <c r="K72" s="125"/>
      <c r="L72" s="84"/>
      <c r="M72" s="44"/>
      <c r="N72" s="44"/>
      <c r="P72" s="44"/>
      <c r="Q72" s="19"/>
    </row>
    <row r="73" spans="1:17" ht="16.5" hidden="1" thickBot="1" x14ac:dyDescent="0.3">
      <c r="A73" s="31"/>
      <c r="B73" s="134"/>
      <c r="C73" s="131"/>
      <c r="D73" s="135"/>
      <c r="E73" s="136"/>
      <c r="F73" s="44"/>
      <c r="H73" s="137"/>
      <c r="I73" s="44"/>
      <c r="J73" s="133"/>
      <c r="K73" s="125"/>
      <c r="L73" s="84"/>
      <c r="M73" s="44"/>
      <c r="N73" s="44"/>
      <c r="P73" s="44"/>
      <c r="Q73" s="19"/>
    </row>
    <row r="74" spans="1:17" ht="16.5" thickBot="1" x14ac:dyDescent="0.3">
      <c r="A74" s="31"/>
      <c r="B74" s="134"/>
      <c r="C74" s="131"/>
      <c r="D74" s="135"/>
      <c r="E74" s="136"/>
      <c r="F74" s="44"/>
      <c r="H74" s="137"/>
      <c r="I74" s="44"/>
      <c r="J74" s="138"/>
      <c r="K74" s="139"/>
      <c r="L74" s="13"/>
      <c r="M74" s="44"/>
      <c r="N74" s="44"/>
      <c r="P74" s="44"/>
      <c r="Q74" s="19"/>
    </row>
    <row r="75" spans="1:17" ht="16.5" thickBot="1" x14ac:dyDescent="0.3">
      <c r="B75" s="140" t="s">
        <v>12</v>
      </c>
      <c r="C75" s="141">
        <f>SUM(C5:C68)</f>
        <v>1235297.9400000002</v>
      </c>
      <c r="D75" s="142"/>
      <c r="E75" s="143" t="s">
        <v>12</v>
      </c>
      <c r="F75" s="144">
        <f>SUM(F5:F68)</f>
        <v>2665247</v>
      </c>
      <c r="G75" s="145"/>
      <c r="H75" s="143" t="s">
        <v>13</v>
      </c>
      <c r="I75" s="146">
        <f>SUM(I5:I68)</f>
        <v>53311</v>
      </c>
      <c r="J75" s="147"/>
      <c r="K75" s="148" t="s">
        <v>14</v>
      </c>
      <c r="L75" s="149">
        <f>SUM(L5:L73)-L26</f>
        <v>1499646.04</v>
      </c>
      <c r="M75" s="150"/>
      <c r="N75" s="150"/>
      <c r="P75" s="44"/>
      <c r="Q75" s="19"/>
    </row>
    <row r="76" spans="1:17" ht="16.5" thickTop="1" x14ac:dyDescent="0.25">
      <c r="C76" s="5" t="s">
        <v>10</v>
      </c>
      <c r="P76" s="44"/>
      <c r="Q76" s="19"/>
    </row>
    <row r="77" spans="1:17" ht="18.75" x14ac:dyDescent="0.25">
      <c r="A77" s="152"/>
      <c r="B77" s="153"/>
      <c r="C77" s="1"/>
      <c r="H77" s="472" t="s">
        <v>15</v>
      </c>
      <c r="I77" s="473"/>
      <c r="J77" s="154"/>
      <c r="K77" s="474">
        <f>I75+L75</f>
        <v>1552957.04</v>
      </c>
      <c r="L77" s="475"/>
      <c r="M77" s="155"/>
      <c r="N77" s="155"/>
      <c r="P77" s="44"/>
      <c r="Q77" s="19"/>
    </row>
    <row r="78" spans="1:17" x14ac:dyDescent="0.25">
      <c r="D78" s="466" t="s">
        <v>16</v>
      </c>
      <c r="E78" s="466"/>
      <c r="F78" s="156">
        <f>F75-K77-C75</f>
        <v>-123007.98000000021</v>
      </c>
      <c r="I78" s="157"/>
      <c r="J78" s="158"/>
    </row>
    <row r="79" spans="1:17" ht="18.75" x14ac:dyDescent="0.3">
      <c r="D79" s="467" t="s">
        <v>17</v>
      </c>
      <c r="E79" s="467"/>
      <c r="F79" s="101">
        <v>-1513561.68</v>
      </c>
      <c r="I79" s="468" t="s">
        <v>18</v>
      </c>
      <c r="J79" s="469"/>
      <c r="K79" s="470">
        <f>F81+F82+F83</f>
        <v>1950142.8099999996</v>
      </c>
      <c r="L79" s="470"/>
      <c r="M79" s="159"/>
      <c r="N79" s="159"/>
      <c r="O79" s="160"/>
      <c r="P79" s="159"/>
      <c r="Q79" s="159"/>
    </row>
    <row r="80" spans="1:17" ht="19.5" thickBot="1" x14ac:dyDescent="0.35">
      <c r="D80" s="161" t="s">
        <v>19</v>
      </c>
      <c r="E80" s="162"/>
      <c r="F80" s="163">
        <v>-60897.599999999999</v>
      </c>
      <c r="I80" s="164"/>
      <c r="J80" s="165"/>
      <c r="K80" s="166"/>
      <c r="L80" s="167"/>
      <c r="M80" s="159"/>
      <c r="N80" s="159"/>
      <c r="O80" s="160"/>
      <c r="P80" s="159"/>
      <c r="Q80" s="159"/>
    </row>
    <row r="81" spans="2:14" ht="19.5" thickTop="1" x14ac:dyDescent="0.3">
      <c r="C81" s="7" t="s">
        <v>10</v>
      </c>
      <c r="E81" s="152" t="s">
        <v>20</v>
      </c>
      <c r="F81" s="150">
        <f>SUM(F78:F80)</f>
        <v>-1697467.2600000002</v>
      </c>
      <c r="H81" s="168"/>
      <c r="I81" s="169" t="s">
        <v>21</v>
      </c>
      <c r="J81" s="170"/>
      <c r="K81" s="471">
        <f>-C4</f>
        <v>-3445405.07</v>
      </c>
      <c r="L81" s="470"/>
    </row>
    <row r="82" spans="2:14" ht="16.5" thickBot="1" x14ac:dyDescent="0.3">
      <c r="D82" s="171" t="s">
        <v>22</v>
      </c>
      <c r="E82" s="152" t="s">
        <v>23</v>
      </c>
      <c r="F82" s="101">
        <v>143432</v>
      </c>
    </row>
    <row r="83" spans="2:14" ht="20.25" thickTop="1" thickBot="1" x14ac:dyDescent="0.35">
      <c r="C83" s="172">
        <v>44955</v>
      </c>
      <c r="D83" s="459" t="s">
        <v>24</v>
      </c>
      <c r="E83" s="460"/>
      <c r="F83" s="173">
        <v>3504178.07</v>
      </c>
      <c r="I83" s="461" t="s">
        <v>220</v>
      </c>
      <c r="J83" s="462"/>
      <c r="K83" s="463">
        <f>K79+K81</f>
        <v>-1495262.2600000002</v>
      </c>
      <c r="L83" s="463"/>
    </row>
    <row r="84" spans="2:14" ht="17.25" x14ac:dyDescent="0.3">
      <c r="C84" s="174"/>
      <c r="D84" s="175"/>
      <c r="E84" s="152"/>
      <c r="F84" s="176"/>
      <c r="J84" s="177"/>
    </row>
    <row r="85" spans="2:14" ht="20.25" customHeight="1" x14ac:dyDescent="0.25">
      <c r="I85" s="178"/>
      <c r="J85" s="178"/>
      <c r="K85" s="179"/>
      <c r="L85" s="180"/>
    </row>
    <row r="86" spans="2:14" ht="16.5" customHeight="1" x14ac:dyDescent="0.25">
      <c r="B86" s="181"/>
      <c r="C86" s="182"/>
      <c r="D86" s="183"/>
      <c r="E86" s="44"/>
      <c r="I86" s="178"/>
      <c r="J86" s="178"/>
      <c r="K86" s="179"/>
      <c r="L86" s="180"/>
      <c r="M86" s="184"/>
      <c r="N86" s="152"/>
    </row>
    <row r="87" spans="2:14" x14ac:dyDescent="0.25">
      <c r="B87" s="181"/>
      <c r="C87" s="185"/>
      <c r="E87" s="44"/>
      <c r="M87" s="184"/>
      <c r="N87" s="152"/>
    </row>
    <row r="88" spans="2:14" x14ac:dyDescent="0.25">
      <c r="B88" s="181"/>
      <c r="C88" s="185"/>
      <c r="E88" s="44"/>
      <c r="F88" s="186"/>
      <c r="L88" s="187"/>
      <c r="M88" s="1"/>
    </row>
    <row r="89" spans="2:14" x14ac:dyDescent="0.25">
      <c r="B89" s="181"/>
      <c r="C89" s="185"/>
      <c r="E89" s="44"/>
      <c r="M89" s="1"/>
    </row>
    <row r="90" spans="2:14" x14ac:dyDescent="0.25">
      <c r="B90" s="181"/>
      <c r="C90" s="185"/>
      <c r="D90" s="188"/>
      <c r="E90" s="44"/>
      <c r="F90" s="189"/>
      <c r="M90" s="1"/>
    </row>
    <row r="91" spans="2:14" x14ac:dyDescent="0.25">
      <c r="D91" s="188"/>
      <c r="E91" s="190"/>
      <c r="F91" s="44"/>
      <c r="M91" s="1"/>
    </row>
    <row r="92" spans="2:14" x14ac:dyDescent="0.25">
      <c r="D92" s="188"/>
      <c r="E92" s="190"/>
      <c r="F92" s="44"/>
      <c r="M92" s="1"/>
    </row>
    <row r="93" spans="2:14" x14ac:dyDescent="0.25">
      <c r="D93" s="188"/>
      <c r="E93" s="190"/>
      <c r="F93" s="44"/>
      <c r="M93" s="1"/>
    </row>
    <row r="94" spans="2:14" x14ac:dyDescent="0.25">
      <c r="D94" s="188"/>
      <c r="E94" s="190"/>
      <c r="F94" s="44"/>
      <c r="M94" s="1"/>
    </row>
    <row r="95" spans="2:14" x14ac:dyDescent="0.25">
      <c r="D95" s="188"/>
      <c r="E95" s="190"/>
      <c r="F95" s="44"/>
      <c r="M95" s="1"/>
    </row>
    <row r="96" spans="2:14" x14ac:dyDescent="0.25">
      <c r="D96" s="188"/>
      <c r="E96" s="190"/>
      <c r="F96" s="44"/>
      <c r="M96" s="1"/>
    </row>
    <row r="97" spans="4:13" x14ac:dyDescent="0.25">
      <c r="D97" s="188"/>
      <c r="E97" s="190"/>
      <c r="F97" s="44"/>
      <c r="M97" s="1"/>
    </row>
    <row r="98" spans="4:13" x14ac:dyDescent="0.25">
      <c r="D98" s="188"/>
      <c r="E98" s="190"/>
      <c r="F98" s="44"/>
      <c r="M98" s="1"/>
    </row>
    <row r="99" spans="4:13" x14ac:dyDescent="0.25">
      <c r="D99" s="188"/>
      <c r="E99" s="190"/>
      <c r="F99" s="44"/>
      <c r="M99" s="1"/>
    </row>
    <row r="100" spans="4:13" x14ac:dyDescent="0.25">
      <c r="D100" s="188"/>
      <c r="E100" s="190"/>
      <c r="F100" s="44"/>
      <c r="M100" s="1"/>
    </row>
    <row r="101" spans="4:13" x14ac:dyDescent="0.25">
      <c r="D101" s="188"/>
      <c r="E101" s="190"/>
      <c r="F101" s="44"/>
      <c r="M101" s="1"/>
    </row>
    <row r="102" spans="4:13" x14ac:dyDescent="0.25">
      <c r="D102" s="188"/>
      <c r="E102" s="190"/>
      <c r="F102" s="44"/>
    </row>
    <row r="103" spans="4:13" x14ac:dyDescent="0.25">
      <c r="D103" s="188"/>
      <c r="E103" s="191"/>
      <c r="F103" s="189"/>
    </row>
    <row r="104" spans="4:13" x14ac:dyDescent="0.25">
      <c r="D104" s="188"/>
      <c r="E104" s="191"/>
      <c r="F104" s="189"/>
    </row>
    <row r="105" spans="4:13" x14ac:dyDescent="0.25">
      <c r="D105" s="188"/>
      <c r="E105" s="191"/>
      <c r="F105" s="189"/>
    </row>
  </sheetData>
  <sortState ref="J33:L44">
    <sortCondition ref="J33:J44"/>
  </sortState>
  <mergeCells count="22">
    <mergeCell ref="M53:N53"/>
    <mergeCell ref="P3:P4"/>
    <mergeCell ref="B1:B2"/>
    <mergeCell ref="C1:M1"/>
    <mergeCell ref="B3:C3"/>
    <mergeCell ref="H3:I3"/>
    <mergeCell ref="R3:R4"/>
    <mergeCell ref="E4:F4"/>
    <mergeCell ref="H4:I4"/>
    <mergeCell ref="D83:E83"/>
    <mergeCell ref="I83:J83"/>
    <mergeCell ref="K83:L83"/>
    <mergeCell ref="M49:M50"/>
    <mergeCell ref="N49:N50"/>
    <mergeCell ref="D78:E78"/>
    <mergeCell ref="D79:E79"/>
    <mergeCell ref="I79:J79"/>
    <mergeCell ref="K79:L79"/>
    <mergeCell ref="K81:L81"/>
    <mergeCell ref="H77:I77"/>
    <mergeCell ref="K77:L77"/>
    <mergeCell ref="Q49:Q50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N123"/>
  <sheetViews>
    <sheetView zoomScale="115" zoomScaleNormal="115" workbookViewId="0">
      <pane xSplit="1" ySplit="2" topLeftCell="H18" activePane="bottomRight" state="frozen"/>
      <selection pane="topRight" activeCell="B1" sqref="B1"/>
      <selection pane="bottomLeft" activeCell="A3" sqref="A3"/>
      <selection pane="bottomRight" activeCell="L29" sqref="L29"/>
    </sheetView>
  </sheetViews>
  <sheetFormatPr baseColWidth="10" defaultRowHeight="15" x14ac:dyDescent="0.25"/>
  <cols>
    <col min="1" max="1" width="3.85546875" customWidth="1"/>
    <col min="2" max="2" width="13.42578125" style="258" bestFit="1" customWidth="1"/>
    <col min="3" max="3" width="14.7109375" style="280" customWidth="1"/>
    <col min="4" max="4" width="17.5703125" style="7" bestFit="1" customWidth="1"/>
    <col min="5" max="5" width="12.42578125" style="274" bestFit="1" customWidth="1"/>
    <col min="6" max="6" width="15.5703125" style="7" bestFit="1" customWidth="1"/>
    <col min="7" max="7" width="19.5703125" style="5" bestFit="1" customWidth="1"/>
    <col min="8" max="8" width="8.42578125" customWidth="1"/>
    <col min="9" max="9" width="14.5703125" style="152" customWidth="1"/>
    <col min="10" max="10" width="13.28515625" style="271" customWidth="1"/>
    <col min="11" max="11" width="19.7109375" style="7" bestFit="1" customWidth="1"/>
    <col min="12" max="12" width="12.42578125" style="274" bestFit="1" customWidth="1"/>
    <col min="13" max="13" width="17.42578125" style="7" bestFit="1" customWidth="1"/>
    <col min="14" max="14" width="19.5703125" style="5" bestFit="1" customWidth="1"/>
  </cols>
  <sheetData>
    <row r="1" spans="2:14" ht="43.5" thickTop="1" thickBot="1" x14ac:dyDescent="0.3">
      <c r="B1" s="194" t="s">
        <v>37</v>
      </c>
      <c r="C1" s="195"/>
      <c r="D1" s="196"/>
      <c r="E1" s="197"/>
      <c r="F1" s="196"/>
      <c r="G1" s="198" t="s">
        <v>27</v>
      </c>
      <c r="I1" s="199" t="s">
        <v>38</v>
      </c>
      <c r="J1" s="200"/>
      <c r="K1" s="201"/>
      <c r="L1" s="202"/>
      <c r="M1" s="201"/>
      <c r="N1" s="203" t="s">
        <v>27</v>
      </c>
    </row>
    <row r="2" spans="2:14" ht="21.75" customHeight="1" thickTop="1" thickBot="1" x14ac:dyDescent="0.35">
      <c r="B2" s="204" t="s">
        <v>28</v>
      </c>
      <c r="C2" s="205" t="s">
        <v>29</v>
      </c>
      <c r="D2" s="206" t="s">
        <v>30</v>
      </c>
      <c r="E2" s="207" t="s">
        <v>31</v>
      </c>
      <c r="F2" s="208" t="s">
        <v>32</v>
      </c>
      <c r="G2" s="209" t="s">
        <v>33</v>
      </c>
      <c r="I2" s="210" t="s">
        <v>28</v>
      </c>
      <c r="J2" s="211" t="s">
        <v>34</v>
      </c>
      <c r="K2" s="212" t="s">
        <v>30</v>
      </c>
      <c r="L2" s="213" t="s">
        <v>31</v>
      </c>
      <c r="M2" s="212" t="s">
        <v>32</v>
      </c>
      <c r="N2" s="214" t="s">
        <v>33</v>
      </c>
    </row>
    <row r="3" spans="2:14" ht="24" customHeight="1" thickTop="1" x14ac:dyDescent="0.25">
      <c r="B3" s="215">
        <v>44924</v>
      </c>
      <c r="C3" s="216" t="s">
        <v>40</v>
      </c>
      <c r="D3" s="217">
        <v>8208</v>
      </c>
      <c r="E3" s="218">
        <v>44971</v>
      </c>
      <c r="F3" s="217">
        <v>8208</v>
      </c>
      <c r="G3" s="219">
        <f>D3-F3</f>
        <v>0</v>
      </c>
      <c r="I3" s="228"/>
      <c r="J3" s="286"/>
      <c r="K3" s="230"/>
      <c r="L3" s="218"/>
      <c r="M3" s="289"/>
      <c r="N3" s="221">
        <f>K3-M3</f>
        <v>0</v>
      </c>
    </row>
    <row r="4" spans="2:14" ht="18.75" x14ac:dyDescent="0.3">
      <c r="B4" s="222">
        <v>44925</v>
      </c>
      <c r="C4" s="223" t="s">
        <v>39</v>
      </c>
      <c r="D4" s="101">
        <v>14274</v>
      </c>
      <c r="E4" s="218">
        <v>44971</v>
      </c>
      <c r="F4" s="101">
        <v>14274</v>
      </c>
      <c r="G4" s="225">
        <f t="shared" ref="G4:G65" si="0">D4-F4</f>
        <v>0</v>
      </c>
      <c r="H4" s="226"/>
      <c r="I4" s="353">
        <v>44925</v>
      </c>
      <c r="J4" s="288">
        <v>11236</v>
      </c>
      <c r="K4" s="289">
        <v>4399.2</v>
      </c>
      <c r="L4" s="307">
        <v>44952</v>
      </c>
      <c r="M4" s="308">
        <v>4399.2</v>
      </c>
      <c r="N4" s="227">
        <f>N3+K4-M4</f>
        <v>0</v>
      </c>
    </row>
    <row r="5" spans="2:14" ht="15.75" x14ac:dyDescent="0.25">
      <c r="B5" s="222">
        <v>44926</v>
      </c>
      <c r="C5" s="223" t="s">
        <v>41</v>
      </c>
      <c r="D5" s="101">
        <v>53412.4</v>
      </c>
      <c r="E5" s="218">
        <v>44971</v>
      </c>
      <c r="F5" s="101">
        <v>53412.4</v>
      </c>
      <c r="G5" s="225">
        <f t="shared" si="0"/>
        <v>0</v>
      </c>
      <c r="I5" s="228" t="s">
        <v>201</v>
      </c>
      <c r="J5" s="286">
        <v>11249</v>
      </c>
      <c r="K5" s="230">
        <v>9310.4</v>
      </c>
      <c r="L5" s="307">
        <v>44952</v>
      </c>
      <c r="M5" s="309">
        <v>9310.4</v>
      </c>
      <c r="N5" s="227">
        <f t="shared" ref="N5:N65" si="1">N4+K5-M5</f>
        <v>0</v>
      </c>
    </row>
    <row r="6" spans="2:14" ht="15.75" x14ac:dyDescent="0.25">
      <c r="B6" s="222">
        <v>44928</v>
      </c>
      <c r="C6" s="223" t="s">
        <v>42</v>
      </c>
      <c r="D6" s="101">
        <v>53055.3</v>
      </c>
      <c r="E6" s="218">
        <v>44971</v>
      </c>
      <c r="F6" s="101">
        <v>53055.3</v>
      </c>
      <c r="G6" s="225">
        <f t="shared" si="0"/>
        <v>0</v>
      </c>
      <c r="I6" s="287" t="s">
        <v>201</v>
      </c>
      <c r="J6" s="288">
        <v>11253</v>
      </c>
      <c r="K6" s="289">
        <v>6726</v>
      </c>
      <c r="L6" s="307">
        <v>44952</v>
      </c>
      <c r="M6" s="308">
        <v>6726</v>
      </c>
      <c r="N6" s="227">
        <f t="shared" si="1"/>
        <v>0</v>
      </c>
    </row>
    <row r="7" spans="2:14" ht="15.75" x14ac:dyDescent="0.25">
      <c r="B7" s="222">
        <v>44929</v>
      </c>
      <c r="C7" s="223" t="s">
        <v>43</v>
      </c>
      <c r="D7" s="101">
        <v>46137.599999999999</v>
      </c>
      <c r="E7" s="218">
        <v>44971</v>
      </c>
      <c r="F7" s="101">
        <v>46137.599999999999</v>
      </c>
      <c r="G7" s="225">
        <f t="shared" si="0"/>
        <v>0</v>
      </c>
      <c r="I7" s="287" t="s">
        <v>202</v>
      </c>
      <c r="J7" s="288">
        <v>11256</v>
      </c>
      <c r="K7" s="289">
        <v>600</v>
      </c>
      <c r="L7" s="307">
        <v>44952</v>
      </c>
      <c r="M7" s="308">
        <v>600</v>
      </c>
      <c r="N7" s="227">
        <f t="shared" si="1"/>
        <v>0</v>
      </c>
    </row>
    <row r="8" spans="2:14" ht="15.75" x14ac:dyDescent="0.25">
      <c r="B8" s="222">
        <v>44929</v>
      </c>
      <c r="C8" s="223" t="s">
        <v>44</v>
      </c>
      <c r="D8" s="101">
        <v>6800</v>
      </c>
      <c r="E8" s="218">
        <v>44971</v>
      </c>
      <c r="F8" s="101">
        <v>6800</v>
      </c>
      <c r="G8" s="225">
        <f t="shared" si="0"/>
        <v>0</v>
      </c>
      <c r="I8" s="228" t="s">
        <v>203</v>
      </c>
      <c r="J8" s="286">
        <v>11260</v>
      </c>
      <c r="K8" s="230">
        <v>9360</v>
      </c>
      <c r="L8" s="307">
        <v>44952</v>
      </c>
      <c r="M8" s="309">
        <v>9360</v>
      </c>
      <c r="N8" s="227">
        <f t="shared" si="1"/>
        <v>0</v>
      </c>
    </row>
    <row r="9" spans="2:14" ht="15.75" x14ac:dyDescent="0.25">
      <c r="B9" s="222">
        <v>44931</v>
      </c>
      <c r="C9" s="223" t="s">
        <v>45</v>
      </c>
      <c r="D9" s="101">
        <v>76020.600000000006</v>
      </c>
      <c r="E9" s="218">
        <v>44971</v>
      </c>
      <c r="F9" s="101">
        <v>76020.600000000006</v>
      </c>
      <c r="G9" s="225">
        <f t="shared" si="0"/>
        <v>0</v>
      </c>
      <c r="I9" s="228" t="s">
        <v>204</v>
      </c>
      <c r="J9" s="286">
        <v>11264</v>
      </c>
      <c r="K9" s="230">
        <v>360</v>
      </c>
      <c r="L9" s="307">
        <v>44952</v>
      </c>
      <c r="M9" s="309">
        <v>360</v>
      </c>
      <c r="N9" s="227">
        <f t="shared" si="1"/>
        <v>0</v>
      </c>
    </row>
    <row r="10" spans="2:14" ht="18.75" x14ac:dyDescent="0.3">
      <c r="B10" s="222">
        <v>44931</v>
      </c>
      <c r="C10" s="223" t="s">
        <v>46</v>
      </c>
      <c r="D10" s="101">
        <v>13312</v>
      </c>
      <c r="E10" s="218">
        <v>44971</v>
      </c>
      <c r="F10" s="101">
        <v>13312</v>
      </c>
      <c r="G10" s="225">
        <f t="shared" si="0"/>
        <v>0</v>
      </c>
      <c r="H10" s="226"/>
      <c r="I10" s="287" t="s">
        <v>205</v>
      </c>
      <c r="J10" s="288">
        <v>11269</v>
      </c>
      <c r="K10" s="289">
        <v>360</v>
      </c>
      <c r="L10" s="307">
        <v>44952</v>
      </c>
      <c r="M10" s="308">
        <v>360</v>
      </c>
      <c r="N10" s="227">
        <f t="shared" si="1"/>
        <v>0</v>
      </c>
    </row>
    <row r="11" spans="2:14" ht="31.5" x14ac:dyDescent="0.25">
      <c r="B11" s="222">
        <v>44932</v>
      </c>
      <c r="C11" s="223" t="s">
        <v>47</v>
      </c>
      <c r="D11" s="101">
        <v>73262.490000000005</v>
      </c>
      <c r="E11" s="332" t="s">
        <v>210</v>
      </c>
      <c r="F11" s="101">
        <f>55584.1+17678.39</f>
        <v>73262.489999999991</v>
      </c>
      <c r="G11" s="225">
        <f t="shared" si="0"/>
        <v>0</v>
      </c>
      <c r="I11" s="287" t="s">
        <v>102</v>
      </c>
      <c r="J11" s="288">
        <v>11277</v>
      </c>
      <c r="K11" s="289">
        <v>9486.4</v>
      </c>
      <c r="L11" s="307">
        <v>44952</v>
      </c>
      <c r="M11" s="308">
        <v>9486.4</v>
      </c>
      <c r="N11" s="227">
        <f t="shared" si="1"/>
        <v>0</v>
      </c>
    </row>
    <row r="12" spans="2:14" ht="15.75" x14ac:dyDescent="0.25">
      <c r="B12" s="222">
        <v>44933</v>
      </c>
      <c r="C12" s="223" t="s">
        <v>48</v>
      </c>
      <c r="D12" s="101">
        <v>16756.8</v>
      </c>
      <c r="E12" s="224">
        <v>44978</v>
      </c>
      <c r="F12" s="101">
        <v>16756.8</v>
      </c>
      <c r="G12" s="225">
        <f t="shared" si="0"/>
        <v>0</v>
      </c>
      <c r="I12" s="287" t="s">
        <v>103</v>
      </c>
      <c r="J12" s="288">
        <v>11291</v>
      </c>
      <c r="K12" s="289">
        <v>3878.4</v>
      </c>
      <c r="L12" s="307">
        <v>44952</v>
      </c>
      <c r="M12" s="308">
        <v>3878.4</v>
      </c>
      <c r="N12" s="227">
        <f t="shared" si="1"/>
        <v>0</v>
      </c>
    </row>
    <row r="13" spans="2:14" ht="15.75" x14ac:dyDescent="0.25">
      <c r="B13" s="222">
        <v>44933</v>
      </c>
      <c r="C13" s="223" t="s">
        <v>49</v>
      </c>
      <c r="D13" s="101">
        <v>4893</v>
      </c>
      <c r="E13" s="224">
        <v>44978</v>
      </c>
      <c r="F13" s="101">
        <v>4893</v>
      </c>
      <c r="G13" s="225">
        <f t="shared" si="0"/>
        <v>0</v>
      </c>
      <c r="I13" s="287" t="s">
        <v>104</v>
      </c>
      <c r="J13" s="288">
        <v>11302</v>
      </c>
      <c r="K13" s="289">
        <v>480</v>
      </c>
      <c r="L13" s="307">
        <v>44952</v>
      </c>
      <c r="M13" s="308">
        <v>480</v>
      </c>
      <c r="N13" s="227">
        <f t="shared" si="1"/>
        <v>0</v>
      </c>
    </row>
    <row r="14" spans="2:14" ht="15.75" x14ac:dyDescent="0.25">
      <c r="B14" s="222">
        <v>44933</v>
      </c>
      <c r="C14" s="223" t="s">
        <v>50</v>
      </c>
      <c r="D14" s="101">
        <v>10042.200000000001</v>
      </c>
      <c r="E14" s="224">
        <v>44978</v>
      </c>
      <c r="F14" s="101">
        <v>10042.200000000001</v>
      </c>
      <c r="G14" s="225">
        <f t="shared" si="0"/>
        <v>0</v>
      </c>
      <c r="I14" s="287" t="s">
        <v>105</v>
      </c>
      <c r="J14" s="288">
        <v>11309</v>
      </c>
      <c r="K14" s="289">
        <v>9404</v>
      </c>
      <c r="L14" s="307">
        <v>44952</v>
      </c>
      <c r="M14" s="308">
        <v>9404</v>
      </c>
      <c r="N14" s="227">
        <f t="shared" si="1"/>
        <v>0</v>
      </c>
    </row>
    <row r="15" spans="2:14" ht="31.5" x14ac:dyDescent="0.25">
      <c r="B15" s="222">
        <v>44935</v>
      </c>
      <c r="C15" s="223" t="s">
        <v>51</v>
      </c>
      <c r="D15" s="101">
        <v>79966.960000000006</v>
      </c>
      <c r="E15" s="332" t="s">
        <v>211</v>
      </c>
      <c r="F15" s="101">
        <f>79615.61+351.35</f>
        <v>79966.960000000006</v>
      </c>
      <c r="G15" s="225">
        <f t="shared" si="0"/>
        <v>0</v>
      </c>
      <c r="I15" s="287" t="s">
        <v>106</v>
      </c>
      <c r="J15" s="288">
        <v>11329</v>
      </c>
      <c r="K15" s="289">
        <v>10195.200000000001</v>
      </c>
      <c r="L15" s="307">
        <v>44952</v>
      </c>
      <c r="M15" s="308">
        <v>10195.200000000001</v>
      </c>
      <c r="N15" s="227">
        <f t="shared" si="1"/>
        <v>0</v>
      </c>
    </row>
    <row r="16" spans="2:14" ht="15.75" x14ac:dyDescent="0.25">
      <c r="B16" s="222">
        <v>44936</v>
      </c>
      <c r="C16" s="223" t="s">
        <v>52</v>
      </c>
      <c r="D16" s="101">
        <v>77309.399999999994</v>
      </c>
      <c r="E16" s="224">
        <v>44984</v>
      </c>
      <c r="F16" s="101">
        <v>77309.399999999994</v>
      </c>
      <c r="G16" s="225">
        <f t="shared" si="0"/>
        <v>0</v>
      </c>
      <c r="I16" s="287" t="s">
        <v>107</v>
      </c>
      <c r="J16" s="288">
        <v>11341</v>
      </c>
      <c r="K16" s="289">
        <v>600</v>
      </c>
      <c r="L16" s="307">
        <v>44952</v>
      </c>
      <c r="M16" s="308">
        <v>600</v>
      </c>
      <c r="N16" s="227">
        <f t="shared" si="1"/>
        <v>0</v>
      </c>
    </row>
    <row r="17" spans="1:14" ht="15.75" x14ac:dyDescent="0.25">
      <c r="B17" s="222">
        <v>44936</v>
      </c>
      <c r="C17" s="223" t="s">
        <v>53</v>
      </c>
      <c r="D17" s="101">
        <v>5629.6</v>
      </c>
      <c r="E17" s="224">
        <v>44984</v>
      </c>
      <c r="F17" s="101">
        <v>5629.6</v>
      </c>
      <c r="G17" s="225">
        <f t="shared" si="0"/>
        <v>0</v>
      </c>
      <c r="I17" s="228" t="s">
        <v>108</v>
      </c>
      <c r="J17" s="286">
        <v>11342</v>
      </c>
      <c r="K17" s="230">
        <v>360</v>
      </c>
      <c r="L17" s="307">
        <v>44952</v>
      </c>
      <c r="M17" s="308">
        <v>360</v>
      </c>
      <c r="N17" s="227">
        <f t="shared" si="1"/>
        <v>0</v>
      </c>
    </row>
    <row r="18" spans="1:14" ht="15.75" x14ac:dyDescent="0.25">
      <c r="B18" s="222">
        <v>44937</v>
      </c>
      <c r="C18" s="223" t="s">
        <v>54</v>
      </c>
      <c r="D18" s="101">
        <v>135787.84</v>
      </c>
      <c r="E18" s="224">
        <v>44984</v>
      </c>
      <c r="F18" s="101">
        <v>135787.84</v>
      </c>
      <c r="G18" s="225">
        <f t="shared" si="0"/>
        <v>0</v>
      </c>
      <c r="I18" s="287" t="s">
        <v>109</v>
      </c>
      <c r="J18" s="288">
        <v>11349</v>
      </c>
      <c r="K18" s="289">
        <v>480</v>
      </c>
      <c r="L18" s="307">
        <v>44952</v>
      </c>
      <c r="M18" s="308">
        <v>480</v>
      </c>
      <c r="N18" s="227">
        <f t="shared" si="1"/>
        <v>0</v>
      </c>
    </row>
    <row r="19" spans="1:14" ht="15.75" x14ac:dyDescent="0.25">
      <c r="B19" s="222">
        <v>44938</v>
      </c>
      <c r="C19" s="223" t="s">
        <v>55</v>
      </c>
      <c r="D19" s="101">
        <v>19678.25</v>
      </c>
      <c r="E19" s="224">
        <v>44984</v>
      </c>
      <c r="F19" s="101">
        <v>19678.25</v>
      </c>
      <c r="G19" s="225">
        <f t="shared" si="0"/>
        <v>0</v>
      </c>
      <c r="I19" s="228" t="s">
        <v>110</v>
      </c>
      <c r="J19" s="286">
        <v>11362</v>
      </c>
      <c r="K19" s="230">
        <v>9720.7999999999993</v>
      </c>
      <c r="L19" s="307">
        <v>44952</v>
      </c>
      <c r="M19" s="308">
        <v>9720.7999999999993</v>
      </c>
      <c r="N19" s="227">
        <f t="shared" si="1"/>
        <v>0</v>
      </c>
    </row>
    <row r="20" spans="1:14" ht="31.5" x14ac:dyDescent="0.25">
      <c r="B20" s="222">
        <v>44939</v>
      </c>
      <c r="C20" s="223" t="s">
        <v>56</v>
      </c>
      <c r="D20" s="101">
        <v>53428.12</v>
      </c>
      <c r="E20" s="332" t="s">
        <v>212</v>
      </c>
      <c r="F20" s="101">
        <f>14697.56+38730.56</f>
        <v>53428.119999999995</v>
      </c>
      <c r="G20" s="225">
        <f t="shared" si="0"/>
        <v>0</v>
      </c>
      <c r="I20" s="228" t="s">
        <v>111</v>
      </c>
      <c r="J20" s="286">
        <v>11376</v>
      </c>
      <c r="K20" s="230">
        <v>480</v>
      </c>
      <c r="L20" s="307">
        <v>44952</v>
      </c>
      <c r="M20" s="308">
        <v>480</v>
      </c>
      <c r="N20" s="227">
        <f t="shared" si="1"/>
        <v>0</v>
      </c>
    </row>
    <row r="21" spans="1:14" ht="15.75" x14ac:dyDescent="0.25">
      <c r="B21" s="222">
        <v>44940</v>
      </c>
      <c r="C21" s="223" t="s">
        <v>57</v>
      </c>
      <c r="D21" s="101">
        <v>58795.82</v>
      </c>
      <c r="E21" s="224">
        <v>44985</v>
      </c>
      <c r="F21" s="101">
        <v>58795.82</v>
      </c>
      <c r="G21" s="225">
        <f t="shared" si="0"/>
        <v>0</v>
      </c>
      <c r="I21" s="287" t="s">
        <v>112</v>
      </c>
      <c r="J21" s="288">
        <v>11390</v>
      </c>
      <c r="K21" s="289">
        <v>480</v>
      </c>
      <c r="L21" s="409">
        <v>45005</v>
      </c>
      <c r="M21" s="410">
        <v>480</v>
      </c>
      <c r="N21" s="227">
        <f t="shared" si="1"/>
        <v>0</v>
      </c>
    </row>
    <row r="22" spans="1:14" ht="18.75" x14ac:dyDescent="0.3">
      <c r="B22" s="222">
        <v>44940</v>
      </c>
      <c r="C22" s="223" t="s">
        <v>58</v>
      </c>
      <c r="D22" s="101">
        <v>5615.8</v>
      </c>
      <c r="E22" s="224">
        <v>44985</v>
      </c>
      <c r="F22" s="101">
        <v>5615.8</v>
      </c>
      <c r="G22" s="225">
        <f t="shared" si="0"/>
        <v>0</v>
      </c>
      <c r="H22" s="232"/>
      <c r="I22" s="287" t="s">
        <v>113</v>
      </c>
      <c r="J22" s="288">
        <v>11395</v>
      </c>
      <c r="K22" s="289">
        <v>9412.7999999999993</v>
      </c>
      <c r="L22" s="409">
        <v>45005</v>
      </c>
      <c r="M22" s="410">
        <v>9412.7999999999993</v>
      </c>
      <c r="N22" s="227">
        <f t="shared" si="1"/>
        <v>0</v>
      </c>
    </row>
    <row r="23" spans="1:14" ht="15.75" x14ac:dyDescent="0.25">
      <c r="B23" s="222">
        <v>44940</v>
      </c>
      <c r="C23" s="223" t="s">
        <v>59</v>
      </c>
      <c r="D23" s="101">
        <v>6690</v>
      </c>
      <c r="E23" s="224">
        <v>44985</v>
      </c>
      <c r="F23" s="101">
        <v>6690</v>
      </c>
      <c r="G23" s="225">
        <f t="shared" si="0"/>
        <v>0</v>
      </c>
      <c r="H23" s="233"/>
      <c r="I23" s="228" t="s">
        <v>114</v>
      </c>
      <c r="J23" s="286">
        <v>11397</v>
      </c>
      <c r="K23" s="230">
        <v>360</v>
      </c>
      <c r="L23" s="409">
        <v>45005</v>
      </c>
      <c r="M23" s="412">
        <v>360</v>
      </c>
      <c r="N23" s="227">
        <f t="shared" si="1"/>
        <v>0</v>
      </c>
    </row>
    <row r="24" spans="1:14" ht="31.5" x14ac:dyDescent="0.25">
      <c r="B24" s="222">
        <v>44942</v>
      </c>
      <c r="C24" s="223" t="s">
        <v>60</v>
      </c>
      <c r="D24" s="101">
        <v>22678.6</v>
      </c>
      <c r="E24" s="332" t="s">
        <v>213</v>
      </c>
      <c r="F24" s="101">
        <f>11490.35+11188.25</f>
        <v>22678.6</v>
      </c>
      <c r="G24" s="225">
        <f t="shared" si="0"/>
        <v>0</v>
      </c>
      <c r="H24" s="233"/>
      <c r="I24" s="287" t="s">
        <v>115</v>
      </c>
      <c r="J24" s="288">
        <v>11407</v>
      </c>
      <c r="K24" s="289">
        <v>480</v>
      </c>
      <c r="L24" s="409">
        <v>45005</v>
      </c>
      <c r="M24" s="410">
        <v>480</v>
      </c>
      <c r="N24" s="227">
        <f t="shared" si="1"/>
        <v>0</v>
      </c>
    </row>
    <row r="25" spans="1:14" ht="15.75" x14ac:dyDescent="0.25">
      <c r="B25" s="222">
        <v>44943</v>
      </c>
      <c r="C25" s="223" t="s">
        <v>61</v>
      </c>
      <c r="D25" s="101">
        <v>3581.3</v>
      </c>
      <c r="E25" s="224">
        <v>44988</v>
      </c>
      <c r="F25" s="101">
        <v>3581.3</v>
      </c>
      <c r="G25" s="225">
        <f t="shared" si="0"/>
        <v>0</v>
      </c>
      <c r="H25" s="234"/>
      <c r="I25" s="228" t="s">
        <v>116</v>
      </c>
      <c r="J25" s="286">
        <v>11432</v>
      </c>
      <c r="K25" s="230">
        <v>360</v>
      </c>
      <c r="L25" s="409">
        <v>45005</v>
      </c>
      <c r="M25" s="412">
        <v>360</v>
      </c>
      <c r="N25" s="227">
        <f t="shared" si="1"/>
        <v>0</v>
      </c>
    </row>
    <row r="26" spans="1:14" ht="15.75" x14ac:dyDescent="0.25">
      <c r="B26" s="222">
        <v>44944</v>
      </c>
      <c r="C26" s="223" t="s">
        <v>62</v>
      </c>
      <c r="D26" s="101">
        <v>102999.4</v>
      </c>
      <c r="E26" s="224">
        <v>44988</v>
      </c>
      <c r="F26" s="101">
        <v>102999.4</v>
      </c>
      <c r="G26" s="225">
        <f t="shared" si="0"/>
        <v>0</v>
      </c>
      <c r="H26" s="234"/>
      <c r="I26" s="228" t="s">
        <v>116</v>
      </c>
      <c r="J26" s="286">
        <v>11434</v>
      </c>
      <c r="K26" s="230">
        <v>4240</v>
      </c>
      <c r="L26" s="409">
        <v>45005</v>
      </c>
      <c r="M26" s="412">
        <v>4240</v>
      </c>
      <c r="N26" s="227">
        <f t="shared" si="1"/>
        <v>0</v>
      </c>
    </row>
    <row r="27" spans="1:14" ht="15.75" x14ac:dyDescent="0.25">
      <c r="B27" s="222">
        <v>44945</v>
      </c>
      <c r="C27" s="223" t="s">
        <v>63</v>
      </c>
      <c r="D27" s="101">
        <v>64760.18</v>
      </c>
      <c r="E27" s="224">
        <v>44988</v>
      </c>
      <c r="F27" s="101">
        <v>64760.18</v>
      </c>
      <c r="G27" s="225">
        <f t="shared" si="0"/>
        <v>0</v>
      </c>
      <c r="H27" s="234"/>
      <c r="I27" s="287" t="s">
        <v>117</v>
      </c>
      <c r="J27" s="288">
        <v>11437</v>
      </c>
      <c r="K27" s="289">
        <v>480</v>
      </c>
      <c r="L27" s="409">
        <v>45005</v>
      </c>
      <c r="M27" s="410">
        <v>480</v>
      </c>
      <c r="N27" s="227">
        <f t="shared" si="1"/>
        <v>0</v>
      </c>
    </row>
    <row r="28" spans="1:14" ht="17.25" x14ac:dyDescent="0.3">
      <c r="B28" s="222">
        <v>44946</v>
      </c>
      <c r="C28" s="223" t="s">
        <v>64</v>
      </c>
      <c r="D28" s="101">
        <v>59473.8</v>
      </c>
      <c r="E28" s="224">
        <v>44988</v>
      </c>
      <c r="F28" s="101">
        <v>59473.8</v>
      </c>
      <c r="G28" s="225">
        <f t="shared" si="0"/>
        <v>0</v>
      </c>
      <c r="H28" s="234"/>
      <c r="I28" s="228"/>
      <c r="J28" s="286"/>
      <c r="K28" s="230"/>
      <c r="L28" s="218"/>
      <c r="M28" s="231"/>
      <c r="N28" s="227">
        <f t="shared" si="1"/>
        <v>0</v>
      </c>
    </row>
    <row r="29" spans="1:14" ht="32.25" x14ac:dyDescent="0.3">
      <c r="B29" s="222">
        <v>44947</v>
      </c>
      <c r="C29" s="223" t="s">
        <v>65</v>
      </c>
      <c r="D29" s="101">
        <v>110210.4</v>
      </c>
      <c r="E29" s="391" t="s">
        <v>420</v>
      </c>
      <c r="F29" s="101">
        <f>17382.04+92828.36</f>
        <v>110210.4</v>
      </c>
      <c r="G29" s="225">
        <f t="shared" si="0"/>
        <v>0</v>
      </c>
      <c r="H29" s="234"/>
      <c r="I29" s="287"/>
      <c r="J29" s="288"/>
      <c r="K29" s="289"/>
      <c r="L29" s="218"/>
      <c r="M29" s="231"/>
      <c r="N29" s="227">
        <f t="shared" si="1"/>
        <v>0</v>
      </c>
    </row>
    <row r="30" spans="1:14" ht="15.75" x14ac:dyDescent="0.25">
      <c r="A30" s="31"/>
      <c r="B30" s="222">
        <v>44947</v>
      </c>
      <c r="C30" s="223" t="s">
        <v>66</v>
      </c>
      <c r="D30" s="101">
        <v>40856.28</v>
      </c>
      <c r="E30" s="224">
        <v>44995</v>
      </c>
      <c r="F30" s="101">
        <v>40856.28</v>
      </c>
      <c r="G30" s="225">
        <f t="shared" si="0"/>
        <v>0</v>
      </c>
      <c r="H30" s="234"/>
      <c r="I30" s="277"/>
      <c r="J30" s="281"/>
      <c r="K30" s="237"/>
      <c r="L30" s="224"/>
      <c r="M30" s="101"/>
      <c r="N30" s="227">
        <f t="shared" si="1"/>
        <v>0</v>
      </c>
    </row>
    <row r="31" spans="1:14" ht="15.75" x14ac:dyDescent="0.25">
      <c r="B31" s="222">
        <v>44949</v>
      </c>
      <c r="C31" s="223" t="s">
        <v>67</v>
      </c>
      <c r="D31" s="101">
        <v>109016.94</v>
      </c>
      <c r="E31" s="224">
        <v>44995</v>
      </c>
      <c r="F31" s="101">
        <v>109016.94</v>
      </c>
      <c r="G31" s="225">
        <f t="shared" si="0"/>
        <v>0</v>
      </c>
      <c r="H31" s="233"/>
      <c r="I31"/>
      <c r="J31"/>
      <c r="K31" s="5">
        <v>0</v>
      </c>
      <c r="L31" s="224"/>
      <c r="M31" s="101"/>
      <c r="N31" s="227">
        <f t="shared" si="1"/>
        <v>0</v>
      </c>
    </row>
    <row r="32" spans="1:14" ht="15.75" x14ac:dyDescent="0.25">
      <c r="B32" s="222">
        <v>44949</v>
      </c>
      <c r="C32" s="223" t="s">
        <v>68</v>
      </c>
      <c r="D32" s="101">
        <v>40107.599999999999</v>
      </c>
      <c r="E32" s="224">
        <v>44995</v>
      </c>
      <c r="F32" s="101">
        <v>40107.599999999999</v>
      </c>
      <c r="G32" s="225">
        <f t="shared" si="0"/>
        <v>0</v>
      </c>
      <c r="H32" s="233"/>
      <c r="I32"/>
      <c r="J32"/>
      <c r="K32" s="5">
        <v>0</v>
      </c>
      <c r="L32" s="224"/>
      <c r="M32" s="101"/>
      <c r="N32" s="227">
        <f t="shared" si="1"/>
        <v>0</v>
      </c>
    </row>
    <row r="33" spans="2:14" ht="15.75" x14ac:dyDescent="0.25">
      <c r="B33" s="222">
        <v>44950</v>
      </c>
      <c r="C33" s="223" t="s">
        <v>69</v>
      </c>
      <c r="D33" s="101">
        <v>20728.580000000002</v>
      </c>
      <c r="E33" s="224">
        <v>44995</v>
      </c>
      <c r="F33" s="101">
        <v>20728.580000000002</v>
      </c>
      <c r="G33" s="225">
        <f t="shared" si="0"/>
        <v>0</v>
      </c>
      <c r="I33"/>
      <c r="J33"/>
      <c r="K33" s="5">
        <v>0</v>
      </c>
      <c r="L33" s="224"/>
      <c r="M33" s="101"/>
      <c r="N33" s="227">
        <f t="shared" si="1"/>
        <v>0</v>
      </c>
    </row>
    <row r="34" spans="2:14" ht="32.25" x14ac:dyDescent="0.3">
      <c r="B34" s="222">
        <v>44951</v>
      </c>
      <c r="C34" s="223" t="s">
        <v>70</v>
      </c>
      <c r="D34" s="101">
        <v>87951</v>
      </c>
      <c r="E34" s="332" t="s">
        <v>421</v>
      </c>
      <c r="F34" s="101">
        <f>49290.24+38660.76</f>
        <v>87951</v>
      </c>
      <c r="G34" s="225">
        <f t="shared" si="0"/>
        <v>0</v>
      </c>
      <c r="I34"/>
      <c r="J34"/>
      <c r="K34" s="167"/>
      <c r="L34" s="224"/>
      <c r="M34" s="101"/>
      <c r="N34" s="227">
        <f t="shared" si="1"/>
        <v>0</v>
      </c>
    </row>
    <row r="35" spans="2:14" ht="15.75" x14ac:dyDescent="0.25">
      <c r="B35" s="222">
        <v>44952</v>
      </c>
      <c r="C35" s="223" t="s">
        <v>71</v>
      </c>
      <c r="D35" s="101">
        <v>8081.8</v>
      </c>
      <c r="E35" s="224">
        <v>45000</v>
      </c>
      <c r="F35" s="101">
        <v>8081.8</v>
      </c>
      <c r="G35" s="225">
        <f t="shared" si="0"/>
        <v>0</v>
      </c>
      <c r="I35" s="235"/>
      <c r="J35" s="236"/>
      <c r="K35" s="237"/>
      <c r="L35" s="224"/>
      <c r="M35" s="101"/>
      <c r="N35" s="227">
        <f t="shared" si="1"/>
        <v>0</v>
      </c>
    </row>
    <row r="36" spans="2:14" ht="15.75" x14ac:dyDescent="0.25">
      <c r="B36" s="222">
        <v>44953</v>
      </c>
      <c r="C36" s="223" t="s">
        <v>72</v>
      </c>
      <c r="D36" s="101">
        <v>14253.22</v>
      </c>
      <c r="E36" s="224">
        <v>45000</v>
      </c>
      <c r="F36" s="101">
        <v>14253.22</v>
      </c>
      <c r="G36" s="225">
        <f t="shared" si="0"/>
        <v>0</v>
      </c>
      <c r="I36" s="489"/>
      <c r="J36" s="490"/>
      <c r="K36" s="490"/>
      <c r="L36" s="491"/>
      <c r="M36" s="101"/>
      <c r="N36" s="227">
        <f t="shared" si="1"/>
        <v>0</v>
      </c>
    </row>
    <row r="37" spans="2:14" ht="15.75" x14ac:dyDescent="0.25">
      <c r="B37" s="222">
        <v>44954</v>
      </c>
      <c r="C37" s="223" t="s">
        <v>73</v>
      </c>
      <c r="D37" s="101">
        <v>9786.4</v>
      </c>
      <c r="E37" s="224">
        <v>45000</v>
      </c>
      <c r="F37" s="101">
        <v>9786.4</v>
      </c>
      <c r="G37" s="225">
        <f t="shared" si="0"/>
        <v>0</v>
      </c>
      <c r="I37" s="489"/>
      <c r="J37" s="490"/>
      <c r="K37" s="490"/>
      <c r="L37" s="491"/>
      <c r="M37" s="101"/>
      <c r="N37" s="227">
        <f t="shared" si="1"/>
        <v>0</v>
      </c>
    </row>
    <row r="38" spans="2:14" ht="15.75" x14ac:dyDescent="0.25">
      <c r="B38" s="222"/>
      <c r="C38" s="223"/>
      <c r="D38" s="101"/>
      <c r="E38" s="224"/>
      <c r="F38" s="101"/>
      <c r="G38" s="225">
        <f t="shared" si="0"/>
        <v>0</v>
      </c>
      <c r="I38" s="228"/>
      <c r="J38" s="229"/>
      <c r="K38" s="230"/>
      <c r="L38" s="224"/>
      <c r="M38" s="101"/>
      <c r="N38" s="227">
        <f t="shared" si="1"/>
        <v>0</v>
      </c>
    </row>
    <row r="39" spans="2:14" ht="15.75" x14ac:dyDescent="0.25">
      <c r="B39" s="222"/>
      <c r="C39" s="223"/>
      <c r="D39" s="101"/>
      <c r="E39" s="238"/>
      <c r="F39" s="84"/>
      <c r="G39" s="101">
        <f t="shared" si="0"/>
        <v>0</v>
      </c>
      <c r="I39" s="239"/>
      <c r="J39" s="240"/>
      <c r="K39" s="84"/>
      <c r="L39" s="238"/>
      <c r="M39" s="84"/>
      <c r="N39" s="227">
        <f t="shared" si="1"/>
        <v>0</v>
      </c>
    </row>
    <row r="40" spans="2:14" ht="15.75" x14ac:dyDescent="0.25">
      <c r="B40" s="222"/>
      <c r="C40" s="223"/>
      <c r="D40" s="101"/>
      <c r="E40" s="238"/>
      <c r="F40" s="84"/>
      <c r="G40" s="101">
        <f t="shared" si="0"/>
        <v>0</v>
      </c>
      <c r="I40" s="492" t="s">
        <v>35</v>
      </c>
      <c r="J40" s="493"/>
      <c r="K40" s="84"/>
      <c r="L40" s="238"/>
      <c r="M40" s="84"/>
      <c r="N40" s="227">
        <f t="shared" si="1"/>
        <v>0</v>
      </c>
    </row>
    <row r="41" spans="2:14" ht="15.75" x14ac:dyDescent="0.25">
      <c r="B41" s="241"/>
      <c r="C41" s="242"/>
      <c r="D41" s="243"/>
      <c r="E41" s="238"/>
      <c r="F41" s="84"/>
      <c r="G41" s="101">
        <f t="shared" si="0"/>
        <v>0</v>
      </c>
      <c r="I41" s="494"/>
      <c r="J41" s="495"/>
      <c r="K41" s="84"/>
      <c r="L41" s="238"/>
      <c r="M41" s="84"/>
      <c r="N41" s="227">
        <f t="shared" si="1"/>
        <v>0</v>
      </c>
    </row>
    <row r="42" spans="2:14" ht="15.75" x14ac:dyDescent="0.25">
      <c r="B42" s="241"/>
      <c r="C42" s="242"/>
      <c r="D42" s="243"/>
      <c r="E42" s="238"/>
      <c r="F42" s="84"/>
      <c r="G42" s="101">
        <f t="shared" si="0"/>
        <v>0</v>
      </c>
      <c r="I42" s="496"/>
      <c r="J42" s="497"/>
      <c r="K42" s="84"/>
      <c r="L42" s="238"/>
      <c r="M42" s="84"/>
      <c r="N42" s="227">
        <f t="shared" si="1"/>
        <v>0</v>
      </c>
    </row>
    <row r="43" spans="2:14" ht="15.75" x14ac:dyDescent="0.25">
      <c r="B43" s="244"/>
      <c r="C43" s="245"/>
      <c r="D43" s="101"/>
      <c r="E43" s="238"/>
      <c r="F43" s="84"/>
      <c r="G43" s="101">
        <f t="shared" si="0"/>
        <v>0</v>
      </c>
      <c r="I43" s="239"/>
      <c r="J43" s="240"/>
      <c r="K43" s="84"/>
      <c r="L43" s="238"/>
      <c r="M43" s="84"/>
      <c r="N43" s="227">
        <f t="shared" si="1"/>
        <v>0</v>
      </c>
    </row>
    <row r="44" spans="2:14" ht="15.75" x14ac:dyDescent="0.25">
      <c r="B44" s="246"/>
      <c r="C44" s="245"/>
      <c r="D44" s="101"/>
      <c r="E44" s="238"/>
      <c r="F44" s="84"/>
      <c r="G44" s="101">
        <f t="shared" si="0"/>
        <v>0</v>
      </c>
      <c r="I44" s="239"/>
      <c r="J44" s="240"/>
      <c r="K44" s="84"/>
      <c r="L44" s="238"/>
      <c r="M44" s="84"/>
      <c r="N44" s="227">
        <f t="shared" si="1"/>
        <v>0</v>
      </c>
    </row>
    <row r="45" spans="2:14" ht="15.75" x14ac:dyDescent="0.25">
      <c r="B45" s="246"/>
      <c r="C45" s="245"/>
      <c r="D45" s="101"/>
      <c r="E45" s="238"/>
      <c r="F45" s="84"/>
      <c r="G45" s="101">
        <f t="shared" si="0"/>
        <v>0</v>
      </c>
      <c r="I45" s="239"/>
      <c r="J45" s="240"/>
      <c r="K45" s="84"/>
      <c r="L45" s="238"/>
      <c r="M45" s="84"/>
      <c r="N45" s="227">
        <f t="shared" si="1"/>
        <v>0</v>
      </c>
    </row>
    <row r="46" spans="2:14" ht="15.75" x14ac:dyDescent="0.25">
      <c r="B46" s="247"/>
      <c r="C46" s="248"/>
      <c r="D46" s="84"/>
      <c r="E46" s="238"/>
      <c r="F46" s="84"/>
      <c r="G46" s="101">
        <f t="shared" si="0"/>
        <v>0</v>
      </c>
      <c r="I46" s="239"/>
      <c r="J46" s="240"/>
      <c r="K46" s="84"/>
      <c r="L46" s="238"/>
      <c r="M46" s="84"/>
      <c r="N46" s="227">
        <f t="shared" si="1"/>
        <v>0</v>
      </c>
    </row>
    <row r="47" spans="2:14" ht="15.75" x14ac:dyDescent="0.25">
      <c r="B47" s="239"/>
      <c r="C47" s="248"/>
      <c r="D47" s="84"/>
      <c r="E47" s="238"/>
      <c r="F47" s="84"/>
      <c r="G47" s="101">
        <f t="shared" si="0"/>
        <v>0</v>
      </c>
      <c r="I47" s="239"/>
      <c r="J47" s="240"/>
      <c r="K47" s="84"/>
      <c r="L47" s="238"/>
      <c r="M47" s="84"/>
      <c r="N47" s="227">
        <f t="shared" si="1"/>
        <v>0</v>
      </c>
    </row>
    <row r="48" spans="2:14" ht="15.75" x14ac:dyDescent="0.25">
      <c r="B48" s="239"/>
      <c r="C48" s="248"/>
      <c r="D48" s="84"/>
      <c r="E48" s="238"/>
      <c r="F48" s="84"/>
      <c r="G48" s="101">
        <f t="shared" si="0"/>
        <v>0</v>
      </c>
      <c r="I48" s="239"/>
      <c r="J48" s="240"/>
      <c r="K48" s="84"/>
      <c r="L48" s="238"/>
      <c r="M48" s="84"/>
      <c r="N48" s="227">
        <f t="shared" si="1"/>
        <v>0</v>
      </c>
    </row>
    <row r="49" spans="2:14" ht="15.75" hidden="1" x14ac:dyDescent="0.25">
      <c r="B49" s="239"/>
      <c r="C49" s="249"/>
      <c r="D49" s="84"/>
      <c r="E49" s="238"/>
      <c r="F49" s="84"/>
      <c r="G49" s="101">
        <f t="shared" si="0"/>
        <v>0</v>
      </c>
      <c r="I49" s="239"/>
      <c r="J49" s="240"/>
      <c r="K49" s="84"/>
      <c r="L49" s="238"/>
      <c r="M49" s="84"/>
      <c r="N49" s="227">
        <f t="shared" si="1"/>
        <v>0</v>
      </c>
    </row>
    <row r="50" spans="2:14" ht="15.75" hidden="1" x14ac:dyDescent="0.25">
      <c r="B50" s="239"/>
      <c r="C50" s="240"/>
      <c r="D50" s="84"/>
      <c r="E50" s="250"/>
      <c r="F50" s="84"/>
      <c r="G50" s="101">
        <f t="shared" si="0"/>
        <v>0</v>
      </c>
      <c r="I50" s="251"/>
      <c r="J50" s="252"/>
      <c r="K50" s="44"/>
      <c r="L50" s="177"/>
      <c r="M50" s="44"/>
      <c r="N50" s="227">
        <f t="shared" si="1"/>
        <v>0</v>
      </c>
    </row>
    <row r="51" spans="2:14" ht="15.75" hidden="1" x14ac:dyDescent="0.25">
      <c r="B51" s="239"/>
      <c r="C51" s="240"/>
      <c r="D51" s="84"/>
      <c r="E51" s="250"/>
      <c r="F51" s="84"/>
      <c r="G51" s="101">
        <f t="shared" si="0"/>
        <v>0</v>
      </c>
      <c r="I51" s="251"/>
      <c r="J51" s="252"/>
      <c r="K51" s="44"/>
      <c r="L51" s="177"/>
      <c r="M51" s="44"/>
      <c r="N51" s="227">
        <f t="shared" si="1"/>
        <v>0</v>
      </c>
    </row>
    <row r="52" spans="2:14" ht="15.75" hidden="1" x14ac:dyDescent="0.25">
      <c r="B52" s="239"/>
      <c r="C52" s="240"/>
      <c r="D52" s="84"/>
      <c r="E52" s="250"/>
      <c r="F52" s="84"/>
      <c r="G52" s="101">
        <f t="shared" si="0"/>
        <v>0</v>
      </c>
      <c r="I52" s="251"/>
      <c r="J52" s="252"/>
      <c r="K52" s="44"/>
      <c r="L52" s="177"/>
      <c r="M52" s="44"/>
      <c r="N52" s="227">
        <f t="shared" si="1"/>
        <v>0</v>
      </c>
    </row>
    <row r="53" spans="2:14" ht="15.75" hidden="1" x14ac:dyDescent="0.25">
      <c r="B53" s="239"/>
      <c r="C53" s="240"/>
      <c r="D53" s="84"/>
      <c r="E53" s="250"/>
      <c r="F53" s="84"/>
      <c r="G53" s="101">
        <f t="shared" si="0"/>
        <v>0</v>
      </c>
      <c r="I53" s="251"/>
      <c r="J53" s="252"/>
      <c r="K53" s="44"/>
      <c r="L53" s="177"/>
      <c r="M53" s="44"/>
      <c r="N53" s="227">
        <f t="shared" si="1"/>
        <v>0</v>
      </c>
    </row>
    <row r="54" spans="2:14" ht="15.75" hidden="1" x14ac:dyDescent="0.25">
      <c r="B54" s="239"/>
      <c r="C54" s="240"/>
      <c r="D54" s="84"/>
      <c r="E54" s="250"/>
      <c r="F54" s="84"/>
      <c r="G54" s="101">
        <f t="shared" si="0"/>
        <v>0</v>
      </c>
      <c r="I54" s="251"/>
      <c r="J54" s="252"/>
      <c r="K54" s="44"/>
      <c r="L54" s="177"/>
      <c r="M54" s="44"/>
      <c r="N54" s="227">
        <f t="shared" si="1"/>
        <v>0</v>
      </c>
    </row>
    <row r="55" spans="2:14" ht="15.75" hidden="1" x14ac:dyDescent="0.25">
      <c r="B55" s="251"/>
      <c r="C55" s="252"/>
      <c r="D55" s="44"/>
      <c r="E55" s="177"/>
      <c r="F55" s="44"/>
      <c r="G55" s="101">
        <f t="shared" si="0"/>
        <v>0</v>
      </c>
      <c r="I55" s="251"/>
      <c r="J55" s="252"/>
      <c r="K55" s="44"/>
      <c r="L55" s="177"/>
      <c r="M55" s="44"/>
      <c r="N55" s="227">
        <f t="shared" si="1"/>
        <v>0</v>
      </c>
    </row>
    <row r="56" spans="2:14" ht="15.75" hidden="1" x14ac:dyDescent="0.25">
      <c r="B56" s="239"/>
      <c r="C56" s="240"/>
      <c r="D56" s="84"/>
      <c r="E56" s="250"/>
      <c r="F56" s="84"/>
      <c r="G56" s="101">
        <f t="shared" si="0"/>
        <v>0</v>
      </c>
      <c r="I56" s="239"/>
      <c r="J56" s="240"/>
      <c r="K56" s="84"/>
      <c r="L56" s="250"/>
      <c r="M56" s="84"/>
      <c r="N56" s="227">
        <f t="shared" si="1"/>
        <v>0</v>
      </c>
    </row>
    <row r="57" spans="2:14" ht="15.75" hidden="1" x14ac:dyDescent="0.25">
      <c r="B57" s="239"/>
      <c r="C57" s="240"/>
      <c r="D57" s="84"/>
      <c r="E57" s="250"/>
      <c r="F57" s="84"/>
      <c r="G57" s="101">
        <f t="shared" si="0"/>
        <v>0</v>
      </c>
      <c r="I57" s="239"/>
      <c r="J57" s="240"/>
      <c r="K57" s="84"/>
      <c r="L57" s="250"/>
      <c r="M57" s="84"/>
      <c r="N57" s="227">
        <f t="shared" si="1"/>
        <v>0</v>
      </c>
    </row>
    <row r="58" spans="2:14" ht="15.75" hidden="1" x14ac:dyDescent="0.25">
      <c r="B58" s="239"/>
      <c r="C58" s="240"/>
      <c r="D58" s="84"/>
      <c r="E58" s="250"/>
      <c r="F58" s="84"/>
      <c r="G58" s="101">
        <f t="shared" si="0"/>
        <v>0</v>
      </c>
      <c r="I58" s="239"/>
      <c r="J58" s="240"/>
      <c r="K58" s="84"/>
      <c r="L58" s="250"/>
      <c r="M58" s="84"/>
      <c r="N58" s="227">
        <f t="shared" si="1"/>
        <v>0</v>
      </c>
    </row>
    <row r="59" spans="2:14" ht="15.75" hidden="1" x14ac:dyDescent="0.25">
      <c r="B59" s="239"/>
      <c r="C59" s="240"/>
      <c r="D59" s="84"/>
      <c r="E59" s="250"/>
      <c r="F59" s="84"/>
      <c r="G59" s="101">
        <f t="shared" si="0"/>
        <v>0</v>
      </c>
      <c r="I59" s="239"/>
      <c r="J59" s="240"/>
      <c r="K59" s="84"/>
      <c r="L59" s="250"/>
      <c r="M59" s="84"/>
      <c r="N59" s="227">
        <f t="shared" si="1"/>
        <v>0</v>
      </c>
    </row>
    <row r="60" spans="2:14" ht="15.75" hidden="1" x14ac:dyDescent="0.25">
      <c r="B60" s="239"/>
      <c r="C60" s="240"/>
      <c r="D60" s="84"/>
      <c r="E60" s="250"/>
      <c r="F60" s="84"/>
      <c r="G60" s="101">
        <f t="shared" si="0"/>
        <v>0</v>
      </c>
      <c r="I60" s="239"/>
      <c r="J60" s="240"/>
      <c r="K60" s="84"/>
      <c r="L60" s="250"/>
      <c r="M60" s="84"/>
      <c r="N60" s="227">
        <f t="shared" si="1"/>
        <v>0</v>
      </c>
    </row>
    <row r="61" spans="2:14" ht="15.75" hidden="1" x14ac:dyDescent="0.25">
      <c r="B61" s="239"/>
      <c r="C61" s="240"/>
      <c r="D61" s="84"/>
      <c r="E61" s="250"/>
      <c r="F61" s="84"/>
      <c r="G61" s="101">
        <f t="shared" si="0"/>
        <v>0</v>
      </c>
      <c r="I61" s="239"/>
      <c r="J61" s="240"/>
      <c r="K61" s="84"/>
      <c r="L61" s="250"/>
      <c r="M61" s="84"/>
      <c r="N61" s="227">
        <f t="shared" si="1"/>
        <v>0</v>
      </c>
    </row>
    <row r="62" spans="2:14" ht="15.75" hidden="1" x14ac:dyDescent="0.25">
      <c r="B62" s="239"/>
      <c r="C62" s="240"/>
      <c r="D62" s="84"/>
      <c r="E62" s="250"/>
      <c r="F62" s="84"/>
      <c r="G62" s="101">
        <f t="shared" si="0"/>
        <v>0</v>
      </c>
      <c r="I62" s="239"/>
      <c r="J62" s="240"/>
      <c r="K62" s="84"/>
      <c r="L62" s="250"/>
      <c r="M62" s="84"/>
      <c r="N62" s="227">
        <f t="shared" si="1"/>
        <v>0</v>
      </c>
    </row>
    <row r="63" spans="2:14" ht="15.75" hidden="1" x14ac:dyDescent="0.25">
      <c r="B63" s="239"/>
      <c r="C63" s="240"/>
      <c r="D63" s="84"/>
      <c r="E63" s="250"/>
      <c r="F63" s="84"/>
      <c r="G63" s="101">
        <f t="shared" si="0"/>
        <v>0</v>
      </c>
      <c r="I63" s="239"/>
      <c r="J63" s="240"/>
      <c r="K63" s="84"/>
      <c r="L63" s="250"/>
      <c r="M63" s="84"/>
      <c r="N63" s="227">
        <f t="shared" si="1"/>
        <v>0</v>
      </c>
    </row>
    <row r="64" spans="2:14" ht="15.75" hidden="1" x14ac:dyDescent="0.25">
      <c r="B64" s="239"/>
      <c r="C64" s="240"/>
      <c r="D64" s="84"/>
      <c r="E64" s="250"/>
      <c r="F64" s="84"/>
      <c r="G64" s="101">
        <f t="shared" si="0"/>
        <v>0</v>
      </c>
      <c r="I64" s="239"/>
      <c r="J64" s="240"/>
      <c r="K64" s="84"/>
      <c r="L64" s="250"/>
      <c r="M64" s="84"/>
      <c r="N64" s="227">
        <f t="shared" si="1"/>
        <v>0</v>
      </c>
    </row>
    <row r="65" spans="2:14" ht="15.75" hidden="1" x14ac:dyDescent="0.25">
      <c r="B65" s="239"/>
      <c r="C65" s="240"/>
      <c r="D65" s="84"/>
      <c r="E65" s="250"/>
      <c r="F65" s="84"/>
      <c r="G65" s="101">
        <f t="shared" si="0"/>
        <v>0</v>
      </c>
      <c r="I65" s="239"/>
      <c r="J65" s="240"/>
      <c r="K65" s="84"/>
      <c r="L65" s="250"/>
      <c r="M65" s="84"/>
      <c r="N65" s="227">
        <f t="shared" si="1"/>
        <v>0</v>
      </c>
    </row>
    <row r="66" spans="2:14" ht="16.5" thickBot="1" x14ac:dyDescent="0.3">
      <c r="B66" s="253"/>
      <c r="C66" s="254"/>
      <c r="D66" s="44">
        <v>0</v>
      </c>
      <c r="E66" s="255"/>
      <c r="F66" s="256"/>
      <c r="G66" s="227">
        <v>0</v>
      </c>
      <c r="I66" s="253"/>
      <c r="J66" s="257"/>
      <c r="K66" s="256">
        <v>0</v>
      </c>
      <c r="L66" s="255"/>
      <c r="M66" s="256"/>
      <c r="N66" s="227"/>
    </row>
    <row r="67" spans="2:14" ht="21.75" thickTop="1" x14ac:dyDescent="0.35">
      <c r="C67" s="259"/>
      <c r="D67" s="260">
        <f>SUM(D3:D66)</f>
        <v>1513561.68</v>
      </c>
      <c r="E67" s="261"/>
      <c r="F67" s="262">
        <f>SUM(F3:F66)</f>
        <v>1513561.68</v>
      </c>
      <c r="G67" s="263">
        <f>SUM(G3:G66)</f>
        <v>0</v>
      </c>
      <c r="I67" s="498" t="s">
        <v>35</v>
      </c>
      <c r="J67" s="499"/>
      <c r="K67" s="264">
        <f>SUM(K3:K66)</f>
        <v>92013.200000000012</v>
      </c>
      <c r="L67" s="265"/>
      <c r="M67" s="266">
        <f>SUM(M3:M66)</f>
        <v>92013.200000000012</v>
      </c>
      <c r="N67" s="263">
        <f>N66</f>
        <v>0</v>
      </c>
    </row>
    <row r="68" spans="2:14" ht="15.75" thickBot="1" x14ac:dyDescent="0.3">
      <c r="C68" s="267"/>
      <c r="D68" s="268"/>
      <c r="E68" s="269"/>
      <c r="F68" s="5"/>
      <c r="G68" s="502" t="s">
        <v>36</v>
      </c>
      <c r="I68" s="500"/>
      <c r="J68" s="501"/>
      <c r="K68" s="1"/>
      <c r="L68" s="269"/>
      <c r="M68" s="5"/>
      <c r="N68" s="1"/>
    </row>
    <row r="69" spans="2:14" ht="15.75" thickBot="1" x14ac:dyDescent="0.3">
      <c r="C69" s="270"/>
      <c r="D69" s="1"/>
      <c r="E69" s="269"/>
      <c r="F69" s="5"/>
      <c r="G69" s="503"/>
      <c r="K69" s="1"/>
      <c r="L69" s="269"/>
      <c r="M69" s="5"/>
      <c r="N69" s="1"/>
    </row>
    <row r="70" spans="2:14" ht="15.75" x14ac:dyDescent="0.25">
      <c r="B70" s="272"/>
      <c r="C70" s="273"/>
      <c r="D70" s="108"/>
      <c r="F70"/>
      <c r="I70" s="311"/>
      <c r="J70" s="312"/>
      <c r="K70" s="313"/>
      <c r="L70" s="314"/>
      <c r="M70" s="315"/>
      <c r="N70" s="316"/>
    </row>
    <row r="71" spans="2:14" ht="18.75" x14ac:dyDescent="0.3">
      <c r="B71" s="272"/>
      <c r="C71" s="273"/>
      <c r="D71" s="108"/>
      <c r="F71"/>
      <c r="H71" s="233"/>
      <c r="I71" s="317"/>
      <c r="J71" s="318" t="s">
        <v>206</v>
      </c>
      <c r="K71" s="189"/>
      <c r="L71" s="302"/>
      <c r="M71" s="299"/>
      <c r="N71" s="319"/>
    </row>
    <row r="72" spans="2:14" ht="15" customHeight="1" x14ac:dyDescent="0.25">
      <c r="C72" s="275"/>
      <c r="D72" s="217"/>
      <c r="E72" s="276"/>
      <c r="F72"/>
      <c r="H72" s="233"/>
      <c r="I72" s="320"/>
      <c r="J72" s="278"/>
      <c r="K72" s="279"/>
      <c r="L72" s="279"/>
      <c r="M72" s="299"/>
      <c r="N72" s="321"/>
    </row>
    <row r="73" spans="2:14" ht="15.75" customHeight="1" x14ac:dyDescent="0.25">
      <c r="C73" s="275"/>
      <c r="D73" s="101">
        <v>92828.36</v>
      </c>
      <c r="E73" s="276"/>
      <c r="F73"/>
      <c r="H73" s="233"/>
      <c r="I73" s="320"/>
      <c r="J73" s="310" t="s">
        <v>208</v>
      </c>
      <c r="K73" s="279"/>
      <c r="L73" s="279"/>
      <c r="M73" s="295">
        <v>626653.55000000005</v>
      </c>
      <c r="N73" s="321"/>
    </row>
    <row r="74" spans="2:14" ht="15.75" x14ac:dyDescent="0.25">
      <c r="C74" s="275"/>
      <c r="D74" s="101">
        <v>40856.28</v>
      </c>
      <c r="E74" s="276"/>
      <c r="F74"/>
      <c r="H74" s="233"/>
      <c r="I74" s="320"/>
      <c r="J74" s="310" t="s">
        <v>207</v>
      </c>
      <c r="K74" s="279"/>
      <c r="L74" s="279"/>
      <c r="M74" s="295">
        <v>-439311.46</v>
      </c>
      <c r="N74" s="321"/>
    </row>
    <row r="75" spans="2:14" ht="15.75" x14ac:dyDescent="0.25">
      <c r="C75" s="275"/>
      <c r="D75" s="101">
        <v>109016.94</v>
      </c>
      <c r="E75" s="276"/>
      <c r="H75" s="233"/>
      <c r="I75" s="322"/>
      <c r="J75" s="300"/>
      <c r="K75" s="188"/>
      <c r="L75" s="302"/>
      <c r="M75" s="295">
        <v>0</v>
      </c>
      <c r="N75" s="321"/>
    </row>
    <row r="76" spans="2:14" ht="18.75" x14ac:dyDescent="0.3">
      <c r="C76" s="275"/>
      <c r="D76" s="101">
        <v>40107.599999999999</v>
      </c>
      <c r="E76" s="276"/>
      <c r="H76" s="233"/>
      <c r="I76" s="322"/>
      <c r="J76" s="323" t="s">
        <v>209</v>
      </c>
      <c r="K76" s="324"/>
      <c r="L76" s="325"/>
      <c r="M76" s="326">
        <f>SUM(M73:M75)</f>
        <v>187342.09000000003</v>
      </c>
      <c r="N76" s="321"/>
    </row>
    <row r="77" spans="2:14" ht="15.75" x14ac:dyDescent="0.25">
      <c r="C77" s="275"/>
      <c r="D77" s="101">
        <v>20728.580000000002</v>
      </c>
      <c r="E77" s="276"/>
      <c r="I77" s="327"/>
      <c r="J77" s="299"/>
      <c r="K77" s="299"/>
      <c r="L77" s="298"/>
      <c r="M77" s="295"/>
      <c r="N77" s="321"/>
    </row>
    <row r="78" spans="2:14" ht="15.75" x14ac:dyDescent="0.25">
      <c r="C78" s="275"/>
      <c r="D78" s="101">
        <v>49290.239999999998</v>
      </c>
      <c r="E78" s="276"/>
      <c r="I78" s="327"/>
      <c r="J78" s="299"/>
      <c r="K78" s="299"/>
      <c r="L78" s="298"/>
      <c r="M78" s="299"/>
      <c r="N78" s="321"/>
    </row>
    <row r="79" spans="2:14" ht="16.5" thickBot="1" x14ac:dyDescent="0.3">
      <c r="C79" s="275"/>
      <c r="D79" s="101"/>
      <c r="E79" s="276"/>
      <c r="I79" s="328"/>
      <c r="J79" s="329"/>
      <c r="K79" s="329"/>
      <c r="L79" s="330"/>
      <c r="M79" s="329"/>
      <c r="N79" s="331"/>
    </row>
    <row r="80" spans="2:14" ht="15.75" x14ac:dyDescent="0.25">
      <c r="C80" s="275"/>
      <c r="D80" s="101"/>
      <c r="E80" s="276"/>
      <c r="I80"/>
      <c r="J80"/>
      <c r="K80"/>
      <c r="M80"/>
      <c r="N80"/>
    </row>
    <row r="81" spans="3:14" ht="15.75" x14ac:dyDescent="0.25">
      <c r="C81" s="271"/>
      <c r="D81" s="101"/>
      <c r="E81" s="276"/>
      <c r="I81"/>
      <c r="J81"/>
      <c r="K81"/>
      <c r="M81"/>
      <c r="N81"/>
    </row>
    <row r="82" spans="3:14" ht="15.75" x14ac:dyDescent="0.25">
      <c r="C82" s="271"/>
      <c r="D82" s="101"/>
      <c r="E82" s="276"/>
      <c r="I82"/>
      <c r="J82"/>
      <c r="K82"/>
      <c r="M82"/>
      <c r="N82"/>
    </row>
    <row r="83" spans="3:14" ht="15.75" x14ac:dyDescent="0.25">
      <c r="C83" s="271"/>
      <c r="D83" s="101"/>
      <c r="E83" s="276"/>
      <c r="I83"/>
      <c r="J83"/>
      <c r="K83"/>
      <c r="M83"/>
      <c r="N83"/>
    </row>
    <row r="84" spans="3:14" ht="15.75" x14ac:dyDescent="0.25">
      <c r="C84" s="271"/>
      <c r="D84" s="101"/>
      <c r="E84" s="276"/>
      <c r="I84"/>
      <c r="J84"/>
      <c r="K84"/>
      <c r="M84"/>
      <c r="N84"/>
    </row>
    <row r="85" spans="3:14" ht="15.75" x14ac:dyDescent="0.25">
      <c r="C85" s="271"/>
      <c r="D85" s="101"/>
      <c r="E85" s="276"/>
      <c r="I85"/>
      <c r="J85"/>
      <c r="K85"/>
      <c r="M85"/>
      <c r="N85"/>
    </row>
    <row r="86" spans="3:14" ht="15.75" x14ac:dyDescent="0.25">
      <c r="C86" s="271"/>
      <c r="D86" s="108">
        <v>0</v>
      </c>
      <c r="E86" s="276"/>
      <c r="I86"/>
      <c r="J86"/>
      <c r="K86"/>
      <c r="M86"/>
      <c r="N86"/>
    </row>
    <row r="87" spans="3:14" ht="15.75" x14ac:dyDescent="0.25">
      <c r="C87" s="271"/>
      <c r="D87" s="108">
        <f>SUM(D72:D86)</f>
        <v>352828</v>
      </c>
      <c r="E87" s="276"/>
      <c r="I87"/>
      <c r="J87"/>
      <c r="K87"/>
      <c r="M87"/>
      <c r="N87"/>
    </row>
    <row r="88" spans="3:14" ht="15.75" x14ac:dyDescent="0.25">
      <c r="C88" s="271"/>
      <c r="D88" s="108"/>
      <c r="E88" s="276"/>
      <c r="I88"/>
      <c r="J88"/>
      <c r="K88"/>
      <c r="M88"/>
      <c r="N88"/>
    </row>
    <row r="89" spans="3:14" ht="15.75" x14ac:dyDescent="0.25">
      <c r="C89" s="271"/>
      <c r="D89" s="108"/>
      <c r="E89" s="276"/>
      <c r="I89"/>
      <c r="J89"/>
      <c r="K89"/>
      <c r="M89"/>
      <c r="N89"/>
    </row>
    <row r="90" spans="3:14" ht="15.75" x14ac:dyDescent="0.25">
      <c r="C90" s="271"/>
      <c r="D90" s="108"/>
      <c r="E90" s="276"/>
      <c r="I90"/>
      <c r="J90"/>
      <c r="K90"/>
      <c r="M90"/>
      <c r="N90"/>
    </row>
    <row r="91" spans="3:14" ht="15.75" x14ac:dyDescent="0.25">
      <c r="C91" s="271"/>
      <c r="D91" s="108"/>
      <c r="E91" s="276"/>
      <c r="I91"/>
      <c r="J91"/>
      <c r="K91"/>
      <c r="M91"/>
      <c r="N91"/>
    </row>
    <row r="92" spans="3:14" ht="15.75" x14ac:dyDescent="0.25">
      <c r="C92" s="271"/>
      <c r="D92" s="108"/>
      <c r="E92" s="276"/>
      <c r="I92"/>
      <c r="J92"/>
      <c r="K92"/>
      <c r="M92"/>
      <c r="N92"/>
    </row>
    <row r="93" spans="3:14" ht="15.75" x14ac:dyDescent="0.25">
      <c r="C93" s="271"/>
      <c r="D93" s="108"/>
      <c r="E93" s="276"/>
      <c r="I93"/>
      <c r="J93"/>
      <c r="K93"/>
      <c r="M93"/>
      <c r="N93"/>
    </row>
    <row r="94" spans="3:14" ht="15.75" x14ac:dyDescent="0.25">
      <c r="C94" s="271"/>
      <c r="D94" s="108"/>
      <c r="E94" s="276"/>
      <c r="I94"/>
      <c r="J94"/>
      <c r="K94"/>
      <c r="M94"/>
      <c r="N94"/>
    </row>
    <row r="95" spans="3:14" ht="15.75" x14ac:dyDescent="0.25">
      <c r="C95" s="271"/>
      <c r="D95" s="108"/>
      <c r="E95" s="276"/>
      <c r="I95"/>
      <c r="J95"/>
      <c r="K95"/>
      <c r="M95"/>
      <c r="N95"/>
    </row>
    <row r="96" spans="3:14" ht="15.75" x14ac:dyDescent="0.25">
      <c r="C96" s="271"/>
      <c r="D96" s="108"/>
      <c r="E96" s="276"/>
      <c r="I96"/>
      <c r="J96"/>
      <c r="K96"/>
      <c r="M96"/>
      <c r="N96"/>
    </row>
    <row r="97" spans="3:14" x14ac:dyDescent="0.25">
      <c r="C97" s="271"/>
      <c r="D97" s="189"/>
      <c r="E97" s="276"/>
      <c r="I97"/>
      <c r="J97"/>
      <c r="K97"/>
      <c r="M97"/>
      <c r="N97"/>
    </row>
    <row r="98" spans="3:14" x14ac:dyDescent="0.25">
      <c r="C98" s="271"/>
      <c r="D98" s="189"/>
      <c r="E98" s="276"/>
      <c r="I98"/>
      <c r="J98"/>
      <c r="K98"/>
      <c r="M98"/>
      <c r="N98"/>
    </row>
    <row r="99" spans="3:14" x14ac:dyDescent="0.25">
      <c r="C99" s="271"/>
      <c r="D99" s="189"/>
      <c r="E99" s="276"/>
      <c r="I99"/>
      <c r="J99"/>
      <c r="K99"/>
      <c r="M99"/>
      <c r="N99"/>
    </row>
    <row r="100" spans="3:14" x14ac:dyDescent="0.25">
      <c r="C100" s="271"/>
      <c r="D100" s="189"/>
      <c r="E100" s="276"/>
      <c r="I100"/>
      <c r="J100"/>
      <c r="K100"/>
      <c r="M100"/>
      <c r="N100"/>
    </row>
    <row r="101" spans="3:14" x14ac:dyDescent="0.25">
      <c r="C101" s="271"/>
      <c r="D101" s="189"/>
      <c r="E101" s="276"/>
      <c r="I101"/>
      <c r="J101"/>
      <c r="K101"/>
      <c r="M101"/>
      <c r="N101"/>
    </row>
    <row r="102" spans="3:14" x14ac:dyDescent="0.25">
      <c r="C102" s="271"/>
      <c r="E102" s="276"/>
      <c r="I102"/>
      <c r="J102"/>
      <c r="K102"/>
      <c r="M102"/>
      <c r="N102"/>
    </row>
    <row r="103" spans="3:14" x14ac:dyDescent="0.25">
      <c r="C103" s="271"/>
      <c r="E103" s="276"/>
      <c r="I103"/>
      <c r="J103"/>
      <c r="K103"/>
      <c r="M103"/>
      <c r="N103"/>
    </row>
    <row r="104" spans="3:14" x14ac:dyDescent="0.25">
      <c r="C104" s="271"/>
      <c r="E104" s="276"/>
      <c r="I104"/>
      <c r="J104"/>
      <c r="K104"/>
      <c r="M104"/>
      <c r="N104"/>
    </row>
    <row r="105" spans="3:14" x14ac:dyDescent="0.25">
      <c r="C105" s="271"/>
      <c r="E105" s="276"/>
      <c r="I105"/>
      <c r="J105"/>
      <c r="K105"/>
      <c r="M105"/>
      <c r="N105"/>
    </row>
    <row r="106" spans="3:14" x14ac:dyDescent="0.25">
      <c r="C106" s="271"/>
      <c r="E106" s="276"/>
      <c r="I106"/>
      <c r="J106"/>
      <c r="K106"/>
      <c r="M106"/>
      <c r="N106"/>
    </row>
    <row r="107" spans="3:14" x14ac:dyDescent="0.25">
      <c r="C107" s="271"/>
      <c r="E107" s="276"/>
      <c r="I107"/>
      <c r="J107"/>
      <c r="K107"/>
      <c r="M107"/>
      <c r="N107"/>
    </row>
    <row r="108" spans="3:14" x14ac:dyDescent="0.25">
      <c r="C108" s="271"/>
      <c r="E108" s="276"/>
      <c r="I108"/>
      <c r="J108"/>
      <c r="K108"/>
      <c r="M108"/>
      <c r="N108"/>
    </row>
    <row r="109" spans="3:14" x14ac:dyDescent="0.25">
      <c r="C109" s="271"/>
      <c r="E109" s="276"/>
      <c r="I109"/>
      <c r="J109"/>
      <c r="K109"/>
      <c r="M109"/>
      <c r="N109"/>
    </row>
    <row r="110" spans="3:14" x14ac:dyDescent="0.25">
      <c r="C110" s="271"/>
      <c r="E110" s="276"/>
      <c r="I110"/>
      <c r="J110"/>
      <c r="K110"/>
      <c r="M110"/>
      <c r="N110"/>
    </row>
    <row r="111" spans="3:14" x14ac:dyDescent="0.25">
      <c r="C111" s="271"/>
      <c r="E111" s="276"/>
      <c r="I111"/>
      <c r="J111"/>
      <c r="K111"/>
      <c r="M111"/>
      <c r="N111"/>
    </row>
    <row r="112" spans="3:14" x14ac:dyDescent="0.25">
      <c r="C112" s="271"/>
      <c r="E112" s="276"/>
      <c r="I112"/>
      <c r="J112"/>
      <c r="K112"/>
      <c r="M112"/>
      <c r="N112"/>
    </row>
    <row r="113" spans="3:14" x14ac:dyDescent="0.25">
      <c r="C113" s="271"/>
      <c r="E113" s="276"/>
      <c r="I113"/>
      <c r="J113"/>
      <c r="K113"/>
      <c r="M113"/>
      <c r="N113"/>
    </row>
    <row r="114" spans="3:14" x14ac:dyDescent="0.25">
      <c r="C114" s="271"/>
      <c r="E114" s="276"/>
      <c r="I114"/>
      <c r="J114"/>
      <c r="K114"/>
      <c r="M114"/>
      <c r="N114"/>
    </row>
    <row r="115" spans="3:14" x14ac:dyDescent="0.25">
      <c r="C115" s="271"/>
      <c r="E115" s="276"/>
      <c r="I115"/>
      <c r="J115"/>
      <c r="K115"/>
      <c r="M115"/>
      <c r="N115"/>
    </row>
    <row r="116" spans="3:14" x14ac:dyDescent="0.25">
      <c r="C116" s="271"/>
      <c r="E116" s="276"/>
      <c r="I116"/>
      <c r="J116"/>
      <c r="K116"/>
      <c r="M116"/>
      <c r="N116"/>
    </row>
    <row r="117" spans="3:14" x14ac:dyDescent="0.25">
      <c r="C117" s="271"/>
      <c r="E117" s="276"/>
      <c r="I117"/>
      <c r="J117"/>
      <c r="K117"/>
      <c r="M117"/>
      <c r="N117"/>
    </row>
    <row r="118" spans="3:14" x14ac:dyDescent="0.25">
      <c r="C118" s="271"/>
      <c r="E118" s="276"/>
      <c r="I118"/>
      <c r="J118"/>
      <c r="K118"/>
      <c r="M118"/>
      <c r="N118"/>
    </row>
    <row r="119" spans="3:14" x14ac:dyDescent="0.25">
      <c r="C119" s="271"/>
      <c r="E119" s="276"/>
      <c r="I119"/>
      <c r="J119"/>
      <c r="K119"/>
      <c r="M119"/>
      <c r="N119"/>
    </row>
    <row r="120" spans="3:14" x14ac:dyDescent="0.25">
      <c r="C120" s="271"/>
      <c r="E120" s="276"/>
      <c r="I120"/>
      <c r="J120"/>
      <c r="K120"/>
      <c r="M120"/>
      <c r="N120"/>
    </row>
    <row r="121" spans="3:14" x14ac:dyDescent="0.25">
      <c r="C121" s="271"/>
      <c r="E121" s="276"/>
      <c r="I121"/>
      <c r="J121"/>
      <c r="K121"/>
      <c r="M121"/>
      <c r="N121"/>
    </row>
    <row r="122" spans="3:14" x14ac:dyDescent="0.25">
      <c r="C122" s="271"/>
      <c r="E122" s="276"/>
      <c r="I122"/>
      <c r="J122"/>
      <c r="K122"/>
      <c r="M122"/>
      <c r="N122"/>
    </row>
    <row r="123" spans="3:14" x14ac:dyDescent="0.25">
      <c r="C123" s="271"/>
      <c r="E123" s="276"/>
      <c r="I123"/>
      <c r="J123"/>
      <c r="K123"/>
      <c r="M123"/>
      <c r="N123"/>
    </row>
  </sheetData>
  <sortState ref="I73:M74">
    <sortCondition ref="I73:I74"/>
  </sortState>
  <mergeCells count="4">
    <mergeCell ref="I36:L37"/>
    <mergeCell ref="I40:J42"/>
    <mergeCell ref="I67:J68"/>
    <mergeCell ref="G68:G69"/>
  </mergeCells>
  <pageMargins left="0.25" right="0.25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S105"/>
  <sheetViews>
    <sheetView workbookViewId="0">
      <pane xSplit="3" ySplit="4" topLeftCell="D63" activePane="bottomRight" state="frozen"/>
      <selection pane="topRight" activeCell="D1" sqref="D1"/>
      <selection pane="bottomLeft" activeCell="A5" sqref="A5"/>
      <selection pane="bottomRight" activeCell="E87" sqref="E87"/>
    </sheetView>
  </sheetViews>
  <sheetFormatPr baseColWidth="10" defaultRowHeight="15.75" x14ac:dyDescent="0.25"/>
  <cols>
    <col min="1" max="1" width="11" customWidth="1"/>
    <col min="2" max="2" width="12.42578125" style="151" customWidth="1"/>
    <col min="3" max="3" width="16.85546875" style="7" bestFit="1" customWidth="1"/>
    <col min="4" max="4" width="15.28515625" customWidth="1"/>
    <col min="5" max="5" width="11.42578125" style="6"/>
    <col min="6" max="6" width="15.28515625" style="7" customWidth="1"/>
    <col min="7" max="7" width="1.85546875" style="6" customWidth="1"/>
    <col min="8" max="8" width="11.85546875" style="6" customWidth="1"/>
    <col min="9" max="9" width="15.7109375" style="7" customWidth="1"/>
    <col min="10" max="10" width="11.7109375" style="17" customWidth="1"/>
    <col min="11" max="11" width="14.42578125" style="11" customWidth="1"/>
    <col min="12" max="12" width="14.5703125" style="5" customWidth="1"/>
    <col min="13" max="13" width="17.85546875" style="7" customWidth="1"/>
    <col min="14" max="14" width="17.5703125" style="1" bestFit="1" customWidth="1"/>
    <col min="15" max="15" width="8.85546875" style="2" bestFit="1" customWidth="1"/>
    <col min="16" max="16" width="16.85546875" customWidth="1"/>
    <col min="17" max="17" width="21.28515625" style="3" customWidth="1"/>
    <col min="18" max="18" width="15.28515625" style="4" customWidth="1"/>
  </cols>
  <sheetData>
    <row r="1" spans="1:18" ht="23.25" x14ac:dyDescent="0.35">
      <c r="B1" s="482"/>
      <c r="C1" s="484" t="s">
        <v>120</v>
      </c>
      <c r="D1" s="485"/>
      <c r="E1" s="485"/>
      <c r="F1" s="485"/>
      <c r="G1" s="485"/>
      <c r="H1" s="485"/>
      <c r="I1" s="485"/>
      <c r="J1" s="485"/>
      <c r="K1" s="485"/>
      <c r="L1" s="485"/>
      <c r="M1" s="485"/>
    </row>
    <row r="2" spans="1:18" ht="16.5" thickBot="1" x14ac:dyDescent="0.3">
      <c r="B2" s="483"/>
      <c r="C2" s="5"/>
      <c r="H2" s="8"/>
      <c r="I2" s="9"/>
      <c r="J2" s="10"/>
      <c r="L2" s="12"/>
      <c r="M2" s="9"/>
      <c r="N2" s="13"/>
    </row>
    <row r="3" spans="1:18" ht="21.75" thickBot="1" x14ac:dyDescent="0.35">
      <c r="B3" s="486" t="s">
        <v>0</v>
      </c>
      <c r="C3" s="487"/>
      <c r="D3" s="14"/>
      <c r="E3" s="15"/>
      <c r="F3" s="16"/>
      <c r="H3" s="488" t="s">
        <v>1</v>
      </c>
      <c r="I3" s="488"/>
      <c r="K3" s="18"/>
      <c r="L3" s="19"/>
      <c r="M3" s="20"/>
      <c r="P3" s="480" t="s">
        <v>2</v>
      </c>
      <c r="R3" s="453" t="s">
        <v>3</v>
      </c>
    </row>
    <row r="4" spans="1:18" ht="32.25" thickTop="1" thickBot="1" x14ac:dyDescent="0.35">
      <c r="A4" s="21" t="s">
        <v>4</v>
      </c>
      <c r="B4" s="22"/>
      <c r="C4" s="23">
        <v>3504178.07</v>
      </c>
      <c r="D4" s="24">
        <v>44955</v>
      </c>
      <c r="E4" s="455" t="s">
        <v>5</v>
      </c>
      <c r="F4" s="456"/>
      <c r="H4" s="457" t="s">
        <v>6</v>
      </c>
      <c r="I4" s="458"/>
      <c r="J4" s="25"/>
      <c r="K4" s="26"/>
      <c r="L4" s="27"/>
      <c r="M4" s="28" t="s">
        <v>7</v>
      </c>
      <c r="N4" s="29" t="s">
        <v>8</v>
      </c>
      <c r="P4" s="481"/>
      <c r="Q4" s="30" t="s">
        <v>9</v>
      </c>
      <c r="R4" s="454"/>
    </row>
    <row r="5" spans="1:18" ht="18" thickBot="1" x14ac:dyDescent="0.35">
      <c r="A5" s="31" t="s">
        <v>10</v>
      </c>
      <c r="B5" s="32">
        <v>44956</v>
      </c>
      <c r="C5" s="33">
        <v>15098</v>
      </c>
      <c r="D5" s="34" t="s">
        <v>121</v>
      </c>
      <c r="E5" s="35">
        <v>44956</v>
      </c>
      <c r="F5" s="36">
        <v>128030</v>
      </c>
      <c r="G5" s="37"/>
      <c r="H5" s="38">
        <v>44956</v>
      </c>
      <c r="I5" s="39">
        <v>708</v>
      </c>
      <c r="J5" s="40"/>
      <c r="K5" s="41"/>
      <c r="L5" s="13"/>
      <c r="M5" s="42">
        <f>10000+42400+13905.5</f>
        <v>66305.5</v>
      </c>
      <c r="N5" s="43">
        <v>45922</v>
      </c>
      <c r="P5" s="44">
        <f t="shared" ref="P5:P10" si="0">N5+M5+L5+I5+C5</f>
        <v>128033.5</v>
      </c>
      <c r="Q5" s="45">
        <f t="shared" ref="Q5:Q47" si="1">P5-F5</f>
        <v>3.5</v>
      </c>
      <c r="R5" s="46">
        <v>0</v>
      </c>
    </row>
    <row r="6" spans="1:18" ht="18" thickBot="1" x14ac:dyDescent="0.35">
      <c r="A6" s="31"/>
      <c r="B6" s="32">
        <v>44957</v>
      </c>
      <c r="C6" s="33">
        <v>11767.5</v>
      </c>
      <c r="D6" s="47" t="s">
        <v>122</v>
      </c>
      <c r="E6" s="35">
        <v>44957</v>
      </c>
      <c r="F6" s="36">
        <v>121278</v>
      </c>
      <c r="G6" s="37"/>
      <c r="H6" s="38">
        <v>44957</v>
      </c>
      <c r="I6" s="39">
        <v>1601</v>
      </c>
      <c r="J6" s="40"/>
      <c r="K6" s="48"/>
      <c r="L6" s="49"/>
      <c r="M6" s="42">
        <v>56409.5</v>
      </c>
      <c r="N6" s="43">
        <v>51500</v>
      </c>
      <c r="P6" s="49">
        <f t="shared" si="0"/>
        <v>121278</v>
      </c>
      <c r="Q6" s="45">
        <f t="shared" si="1"/>
        <v>0</v>
      </c>
      <c r="R6" s="46">
        <v>0</v>
      </c>
    </row>
    <row r="7" spans="1:18" ht="18" thickBot="1" x14ac:dyDescent="0.35">
      <c r="A7" s="31"/>
      <c r="B7" s="32">
        <v>44958</v>
      </c>
      <c r="C7" s="33">
        <v>13717</v>
      </c>
      <c r="D7" s="50" t="s">
        <v>123</v>
      </c>
      <c r="E7" s="35">
        <v>44958</v>
      </c>
      <c r="F7" s="36">
        <v>137059</v>
      </c>
      <c r="G7" s="37"/>
      <c r="H7" s="38">
        <v>44958</v>
      </c>
      <c r="I7" s="39">
        <v>946</v>
      </c>
      <c r="J7" s="40"/>
      <c r="K7" s="48"/>
      <c r="L7" s="49"/>
      <c r="M7" s="42">
        <f>35000+57301+10056</f>
        <v>102357</v>
      </c>
      <c r="N7" s="43">
        <v>33213</v>
      </c>
      <c r="P7" s="49">
        <f t="shared" si="0"/>
        <v>150233</v>
      </c>
      <c r="Q7" s="45">
        <v>0</v>
      </c>
      <c r="R7" s="282">
        <v>13174</v>
      </c>
    </row>
    <row r="8" spans="1:18" ht="18" thickBot="1" x14ac:dyDescent="0.35">
      <c r="A8" s="31"/>
      <c r="B8" s="32">
        <v>44959</v>
      </c>
      <c r="C8" s="33">
        <v>22436</v>
      </c>
      <c r="D8" s="51" t="s">
        <v>124</v>
      </c>
      <c r="E8" s="35">
        <v>44959</v>
      </c>
      <c r="F8" s="36">
        <v>99872</v>
      </c>
      <c r="G8" s="37"/>
      <c r="H8" s="38">
        <v>44959</v>
      </c>
      <c r="I8" s="39">
        <v>934</v>
      </c>
      <c r="J8" s="52"/>
      <c r="K8" s="48"/>
      <c r="L8" s="49"/>
      <c r="M8" s="42">
        <v>49319</v>
      </c>
      <c r="N8" s="43">
        <v>30576</v>
      </c>
      <c r="P8" s="49">
        <f t="shared" si="0"/>
        <v>103265</v>
      </c>
      <c r="Q8" s="45">
        <v>0</v>
      </c>
      <c r="R8" s="282">
        <v>3393</v>
      </c>
    </row>
    <row r="9" spans="1:18" ht="18" thickBot="1" x14ac:dyDescent="0.35">
      <c r="A9" s="31"/>
      <c r="B9" s="32">
        <v>44960</v>
      </c>
      <c r="C9" s="33">
        <v>6103</v>
      </c>
      <c r="D9" s="51" t="s">
        <v>125</v>
      </c>
      <c r="E9" s="35">
        <v>44960</v>
      </c>
      <c r="F9" s="36">
        <v>138587</v>
      </c>
      <c r="G9" s="37"/>
      <c r="H9" s="38">
        <v>44960</v>
      </c>
      <c r="I9" s="39">
        <v>3175.5</v>
      </c>
      <c r="J9" s="40"/>
      <c r="K9" s="53"/>
      <c r="L9" s="49"/>
      <c r="M9" s="42">
        <f>48737.5+30000+492+3914</f>
        <v>83143.5</v>
      </c>
      <c r="N9" s="43">
        <v>46165</v>
      </c>
      <c r="P9" s="49">
        <f t="shared" si="0"/>
        <v>138587</v>
      </c>
      <c r="Q9" s="45">
        <f t="shared" si="1"/>
        <v>0</v>
      </c>
      <c r="R9" s="46">
        <v>0</v>
      </c>
    </row>
    <row r="10" spans="1:18" ht="18" thickBot="1" x14ac:dyDescent="0.35">
      <c r="A10" s="31"/>
      <c r="B10" s="32">
        <v>44961</v>
      </c>
      <c r="C10" s="33">
        <v>12977</v>
      </c>
      <c r="D10" s="50" t="s">
        <v>126</v>
      </c>
      <c r="E10" s="35">
        <v>44961</v>
      </c>
      <c r="F10" s="36">
        <v>149140</v>
      </c>
      <c r="G10" s="37"/>
      <c r="H10" s="38">
        <v>44961</v>
      </c>
      <c r="I10" s="39">
        <v>8245</v>
      </c>
      <c r="J10" s="40">
        <v>44961</v>
      </c>
      <c r="K10" s="54" t="s">
        <v>127</v>
      </c>
      <c r="L10" s="55">
        <v>15945</v>
      </c>
      <c r="M10" s="42">
        <f>42680+7684</f>
        <v>50364</v>
      </c>
      <c r="N10" s="43">
        <v>61609</v>
      </c>
      <c r="P10" s="49">
        <f t="shared" si="0"/>
        <v>149140</v>
      </c>
      <c r="Q10" s="45">
        <f t="shared" si="1"/>
        <v>0</v>
      </c>
      <c r="R10" s="46">
        <v>0</v>
      </c>
    </row>
    <row r="11" spans="1:18" ht="18" thickBot="1" x14ac:dyDescent="0.35">
      <c r="A11" s="31"/>
      <c r="B11" s="32">
        <v>44962</v>
      </c>
      <c r="C11" s="33">
        <v>20503</v>
      </c>
      <c r="D11" s="47" t="s">
        <v>129</v>
      </c>
      <c r="E11" s="35">
        <v>44962</v>
      </c>
      <c r="F11" s="36">
        <v>104071</v>
      </c>
      <c r="G11" s="37"/>
      <c r="H11" s="38">
        <v>44962</v>
      </c>
      <c r="I11" s="39">
        <v>1672.5</v>
      </c>
      <c r="J11" s="52"/>
      <c r="K11" s="56"/>
      <c r="L11" s="49"/>
      <c r="M11" s="42">
        <v>31716.5</v>
      </c>
      <c r="N11" s="43">
        <v>50179</v>
      </c>
      <c r="P11" s="49">
        <f t="shared" ref="P11:P40" si="2">N11+M11+L11+I11+C11</f>
        <v>104071</v>
      </c>
      <c r="Q11" s="45">
        <f t="shared" si="1"/>
        <v>0</v>
      </c>
      <c r="R11" s="46">
        <v>0</v>
      </c>
    </row>
    <row r="12" spans="1:18" ht="18" thickBot="1" x14ac:dyDescent="0.35">
      <c r="A12" s="31"/>
      <c r="B12" s="32">
        <v>44963</v>
      </c>
      <c r="C12" s="33">
        <v>31207</v>
      </c>
      <c r="D12" s="47" t="s">
        <v>130</v>
      </c>
      <c r="E12" s="35">
        <v>44963</v>
      </c>
      <c r="F12" s="36">
        <v>123799</v>
      </c>
      <c r="G12" s="37"/>
      <c r="H12" s="38">
        <v>44963</v>
      </c>
      <c r="I12" s="39">
        <v>1668</v>
      </c>
      <c r="J12" s="40"/>
      <c r="K12" s="57"/>
      <c r="L12" s="49"/>
      <c r="M12" s="42">
        <f>25000+29845</f>
        <v>54845</v>
      </c>
      <c r="N12" s="43">
        <v>36079</v>
      </c>
      <c r="O12" s="192"/>
      <c r="P12" s="49">
        <f t="shared" si="2"/>
        <v>123799</v>
      </c>
      <c r="Q12" s="45">
        <f t="shared" si="1"/>
        <v>0</v>
      </c>
      <c r="R12" s="46">
        <v>0</v>
      </c>
    </row>
    <row r="13" spans="1:18" ht="18" thickBot="1" x14ac:dyDescent="0.35">
      <c r="A13" s="31"/>
      <c r="B13" s="32">
        <v>44964</v>
      </c>
      <c r="C13" s="33">
        <v>10671</v>
      </c>
      <c r="D13" s="51" t="s">
        <v>131</v>
      </c>
      <c r="E13" s="35">
        <v>44964</v>
      </c>
      <c r="F13" s="36">
        <v>152604</v>
      </c>
      <c r="G13" s="37"/>
      <c r="H13" s="38">
        <v>44964</v>
      </c>
      <c r="I13" s="39">
        <v>180</v>
      </c>
      <c r="J13" s="40"/>
      <c r="K13" s="121"/>
      <c r="L13" s="49"/>
      <c r="M13" s="42">
        <f>52192+21660</f>
        <v>73852</v>
      </c>
      <c r="N13" s="43">
        <v>67901</v>
      </c>
      <c r="O13" s="192"/>
      <c r="P13" s="49">
        <f>N13+M13+L13+I13+C13</f>
        <v>152604</v>
      </c>
      <c r="Q13" s="45">
        <f t="shared" si="1"/>
        <v>0</v>
      </c>
      <c r="R13" s="46">
        <v>0</v>
      </c>
    </row>
    <row r="14" spans="1:18" ht="18" thickBot="1" x14ac:dyDescent="0.35">
      <c r="A14" s="31"/>
      <c r="B14" s="32">
        <v>44965</v>
      </c>
      <c r="C14" s="33">
        <v>22243</v>
      </c>
      <c r="D14" s="50" t="s">
        <v>132</v>
      </c>
      <c r="E14" s="35">
        <v>44965</v>
      </c>
      <c r="F14" s="36">
        <v>158933</v>
      </c>
      <c r="G14" s="37"/>
      <c r="H14" s="38">
        <v>44965</v>
      </c>
      <c r="I14" s="39">
        <v>1020</v>
      </c>
      <c r="J14" s="40"/>
      <c r="K14" s="48"/>
      <c r="L14" s="49"/>
      <c r="M14" s="42">
        <f>56614+23000+20098</f>
        <v>99712</v>
      </c>
      <c r="N14" s="43">
        <v>35958</v>
      </c>
      <c r="O14" s="193"/>
      <c r="P14" s="49">
        <f t="shared" si="2"/>
        <v>158933</v>
      </c>
      <c r="Q14" s="45">
        <f t="shared" si="1"/>
        <v>0</v>
      </c>
      <c r="R14" s="46">
        <v>0</v>
      </c>
    </row>
    <row r="15" spans="1:18" ht="18" thickBot="1" x14ac:dyDescent="0.35">
      <c r="A15" s="31"/>
      <c r="B15" s="32">
        <v>44966</v>
      </c>
      <c r="C15" s="33">
        <v>6414</v>
      </c>
      <c r="D15" s="50" t="s">
        <v>133</v>
      </c>
      <c r="E15" s="35">
        <v>44966</v>
      </c>
      <c r="F15" s="36">
        <v>110600</v>
      </c>
      <c r="G15" s="37"/>
      <c r="H15" s="38">
        <v>44966</v>
      </c>
      <c r="I15" s="39">
        <v>1453</v>
      </c>
      <c r="J15" s="40"/>
      <c r="K15" s="48"/>
      <c r="L15" s="49"/>
      <c r="M15" s="42">
        <f>20000+39288</f>
        <v>59288</v>
      </c>
      <c r="N15" s="43">
        <v>43445</v>
      </c>
      <c r="P15" s="49">
        <f t="shared" si="2"/>
        <v>110600</v>
      </c>
      <c r="Q15" s="45">
        <f t="shared" si="1"/>
        <v>0</v>
      </c>
      <c r="R15" s="46">
        <v>0</v>
      </c>
    </row>
    <row r="16" spans="1:18" ht="18" thickBot="1" x14ac:dyDescent="0.35">
      <c r="A16" s="31"/>
      <c r="B16" s="32">
        <v>44967</v>
      </c>
      <c r="C16" s="33">
        <v>8683</v>
      </c>
      <c r="D16" s="47" t="s">
        <v>134</v>
      </c>
      <c r="E16" s="35">
        <v>44967</v>
      </c>
      <c r="F16" s="36">
        <v>116861</v>
      </c>
      <c r="G16" s="37"/>
      <c r="H16" s="38">
        <v>44967</v>
      </c>
      <c r="I16" s="39">
        <v>757</v>
      </c>
      <c r="J16" s="40"/>
      <c r="K16" s="57"/>
      <c r="L16" s="13"/>
      <c r="M16" s="42">
        <f>60322+5877.22+1257</f>
        <v>67456.22</v>
      </c>
      <c r="N16" s="43">
        <v>39965</v>
      </c>
      <c r="P16" s="49">
        <f t="shared" si="2"/>
        <v>116861.22</v>
      </c>
      <c r="Q16" s="45">
        <f t="shared" si="1"/>
        <v>0.22000000000116415</v>
      </c>
      <c r="R16" s="46">
        <v>0</v>
      </c>
    </row>
    <row r="17" spans="1:19" ht="18" thickBot="1" x14ac:dyDescent="0.35">
      <c r="A17" s="31"/>
      <c r="B17" s="32">
        <v>44968</v>
      </c>
      <c r="C17" s="33">
        <v>26225</v>
      </c>
      <c r="D17" s="51" t="s">
        <v>135</v>
      </c>
      <c r="E17" s="35">
        <v>44968</v>
      </c>
      <c r="F17" s="36">
        <v>151929</v>
      </c>
      <c r="G17" s="37"/>
      <c r="H17" s="38">
        <v>44968</v>
      </c>
      <c r="I17" s="39">
        <v>4497</v>
      </c>
      <c r="J17" s="40">
        <v>44968</v>
      </c>
      <c r="K17" s="48" t="s">
        <v>136</v>
      </c>
      <c r="L17" s="55">
        <f>19793+4904</f>
        <v>24697</v>
      </c>
      <c r="M17" s="42">
        <v>31638</v>
      </c>
      <c r="N17" s="43">
        <v>64872</v>
      </c>
      <c r="O17" s="2" t="s">
        <v>10</v>
      </c>
      <c r="P17" s="49">
        <f t="shared" si="2"/>
        <v>151929</v>
      </c>
      <c r="Q17" s="45">
        <f t="shared" si="1"/>
        <v>0</v>
      </c>
      <c r="R17" s="46">
        <v>0</v>
      </c>
    </row>
    <row r="18" spans="1:19" ht="18" thickBot="1" x14ac:dyDescent="0.35">
      <c r="A18" s="31"/>
      <c r="B18" s="32">
        <v>44969</v>
      </c>
      <c r="C18" s="33">
        <v>7321</v>
      </c>
      <c r="D18" s="47" t="s">
        <v>138</v>
      </c>
      <c r="E18" s="35">
        <v>44969</v>
      </c>
      <c r="F18" s="36">
        <v>121998</v>
      </c>
      <c r="G18" s="37"/>
      <c r="H18" s="38">
        <v>44969</v>
      </c>
      <c r="I18" s="39">
        <v>950</v>
      </c>
      <c r="J18" s="40"/>
      <c r="K18" s="58"/>
      <c r="L18" s="49"/>
      <c r="M18" s="42">
        <f>15000+41549+200</f>
        <v>56749</v>
      </c>
      <c r="N18" s="43">
        <v>57178</v>
      </c>
      <c r="P18" s="49">
        <f t="shared" si="2"/>
        <v>122198</v>
      </c>
      <c r="Q18" s="45">
        <v>0</v>
      </c>
      <c r="R18" s="46">
        <v>0</v>
      </c>
    </row>
    <row r="19" spans="1:19" ht="18" thickBot="1" x14ac:dyDescent="0.35">
      <c r="A19" s="31"/>
      <c r="B19" s="32">
        <v>44970</v>
      </c>
      <c r="C19" s="33">
        <v>32429</v>
      </c>
      <c r="D19" s="47" t="s">
        <v>139</v>
      </c>
      <c r="E19" s="35">
        <v>44970</v>
      </c>
      <c r="F19" s="36">
        <v>104330</v>
      </c>
      <c r="G19" s="37"/>
      <c r="H19" s="38">
        <v>44970</v>
      </c>
      <c r="I19" s="39">
        <v>2463</v>
      </c>
      <c r="J19" s="40"/>
      <c r="K19" s="291"/>
      <c r="L19" s="59"/>
      <c r="M19" s="42">
        <f>27948+8729</f>
        <v>36677</v>
      </c>
      <c r="N19" s="43">
        <v>32761</v>
      </c>
      <c r="P19" s="49">
        <f t="shared" si="2"/>
        <v>104330</v>
      </c>
      <c r="Q19" s="45">
        <f t="shared" si="1"/>
        <v>0</v>
      </c>
      <c r="R19" s="46" t="s">
        <v>11</v>
      </c>
    </row>
    <row r="20" spans="1:19" ht="18" customHeight="1" thickBot="1" x14ac:dyDescent="0.35">
      <c r="A20" s="31"/>
      <c r="B20" s="32">
        <v>44971</v>
      </c>
      <c r="C20" s="33">
        <v>27173</v>
      </c>
      <c r="D20" s="47" t="s">
        <v>140</v>
      </c>
      <c r="E20" s="35">
        <v>44971</v>
      </c>
      <c r="F20" s="36">
        <v>116483</v>
      </c>
      <c r="G20" s="37"/>
      <c r="H20" s="38">
        <v>44971</v>
      </c>
      <c r="I20" s="39">
        <v>536</v>
      </c>
      <c r="J20" s="40"/>
      <c r="K20" s="60"/>
      <c r="L20" s="55"/>
      <c r="M20" s="42">
        <f>47588</f>
        <v>47588</v>
      </c>
      <c r="N20" s="43">
        <v>41186</v>
      </c>
      <c r="P20" s="49">
        <f t="shared" si="2"/>
        <v>116483</v>
      </c>
      <c r="Q20" s="45">
        <f t="shared" si="1"/>
        <v>0</v>
      </c>
      <c r="R20" s="46">
        <v>0</v>
      </c>
    </row>
    <row r="21" spans="1:19" ht="18" thickBot="1" x14ac:dyDescent="0.35">
      <c r="A21" s="31"/>
      <c r="B21" s="32">
        <v>44972</v>
      </c>
      <c r="C21" s="33">
        <v>24313.5</v>
      </c>
      <c r="D21" s="47" t="s">
        <v>141</v>
      </c>
      <c r="E21" s="35">
        <v>44972</v>
      </c>
      <c r="F21" s="36">
        <v>108127</v>
      </c>
      <c r="G21" s="37"/>
      <c r="H21" s="38">
        <v>44972</v>
      </c>
      <c r="I21" s="39">
        <v>3409</v>
      </c>
      <c r="J21" s="40"/>
      <c r="K21" s="61"/>
      <c r="L21" s="55"/>
      <c r="M21" s="42">
        <v>36545.5</v>
      </c>
      <c r="N21" s="43">
        <v>43859</v>
      </c>
      <c r="O21" s="2" t="s">
        <v>142</v>
      </c>
      <c r="P21" s="49">
        <f t="shared" si="2"/>
        <v>108127</v>
      </c>
      <c r="Q21" s="45">
        <f t="shared" si="1"/>
        <v>0</v>
      </c>
      <c r="R21" s="46">
        <v>0</v>
      </c>
    </row>
    <row r="22" spans="1:19" ht="18" thickBot="1" x14ac:dyDescent="0.35">
      <c r="A22" s="31"/>
      <c r="B22" s="32">
        <v>44973</v>
      </c>
      <c r="C22" s="33">
        <v>18073</v>
      </c>
      <c r="D22" s="47" t="s">
        <v>143</v>
      </c>
      <c r="E22" s="35">
        <v>44973</v>
      </c>
      <c r="F22" s="36">
        <v>88411</v>
      </c>
      <c r="G22" s="37"/>
      <c r="H22" s="38">
        <v>44973</v>
      </c>
      <c r="I22" s="39">
        <v>953</v>
      </c>
      <c r="J22" s="40"/>
      <c r="K22" s="292"/>
      <c r="L22" s="62"/>
      <c r="M22" s="42">
        <f>18454.5+25683.5</f>
        <v>44138</v>
      </c>
      <c r="N22" s="43">
        <v>25247</v>
      </c>
      <c r="O22" s="2" t="s">
        <v>144</v>
      </c>
      <c r="P22" s="49">
        <f t="shared" si="2"/>
        <v>88411</v>
      </c>
      <c r="Q22" s="45">
        <f t="shared" si="1"/>
        <v>0</v>
      </c>
      <c r="R22" s="46">
        <v>0</v>
      </c>
      <c r="S22" s="63"/>
    </row>
    <row r="23" spans="1:19" ht="18" customHeight="1" thickBot="1" x14ac:dyDescent="0.35">
      <c r="A23" s="31"/>
      <c r="B23" s="32">
        <v>44974</v>
      </c>
      <c r="C23" s="33">
        <v>18281</v>
      </c>
      <c r="D23" s="47" t="s">
        <v>146</v>
      </c>
      <c r="E23" s="35">
        <v>44974</v>
      </c>
      <c r="F23" s="36">
        <v>113106</v>
      </c>
      <c r="G23" s="37"/>
      <c r="H23" s="38">
        <v>44974</v>
      </c>
      <c r="I23" s="39">
        <v>4804</v>
      </c>
      <c r="J23" s="64"/>
      <c r="K23" s="65"/>
      <c r="L23" s="55"/>
      <c r="M23" s="42">
        <f>45894+4486</f>
        <v>50380</v>
      </c>
      <c r="N23" s="43">
        <v>39641</v>
      </c>
      <c r="P23" s="49">
        <f t="shared" si="2"/>
        <v>113106</v>
      </c>
      <c r="Q23" s="45">
        <f t="shared" si="1"/>
        <v>0</v>
      </c>
      <c r="R23" s="46">
        <v>0</v>
      </c>
    </row>
    <row r="24" spans="1:19" ht="18" customHeight="1" thickBot="1" x14ac:dyDescent="0.35">
      <c r="A24" s="31"/>
      <c r="B24" s="32">
        <v>44975</v>
      </c>
      <c r="C24" s="33">
        <v>18377</v>
      </c>
      <c r="D24" s="51" t="s">
        <v>147</v>
      </c>
      <c r="E24" s="35">
        <v>44975</v>
      </c>
      <c r="F24" s="36">
        <v>137262</v>
      </c>
      <c r="G24" s="37"/>
      <c r="H24" s="38">
        <v>44975</v>
      </c>
      <c r="I24" s="39">
        <v>4963.5</v>
      </c>
      <c r="J24" s="66">
        <v>44975</v>
      </c>
      <c r="K24" s="65" t="s">
        <v>148</v>
      </c>
      <c r="L24" s="67">
        <v>14718</v>
      </c>
      <c r="M24" s="42">
        <v>42408.5</v>
      </c>
      <c r="N24" s="43">
        <v>56795</v>
      </c>
      <c r="P24" s="49">
        <f>N24+M24+L24+I24+C24</f>
        <v>137262</v>
      </c>
      <c r="Q24" s="45">
        <f t="shared" si="1"/>
        <v>0</v>
      </c>
      <c r="R24" s="46" t="s">
        <v>149</v>
      </c>
    </row>
    <row r="25" spans="1:19" ht="18" thickBot="1" x14ac:dyDescent="0.35">
      <c r="A25" s="31"/>
      <c r="B25" s="32">
        <v>44976</v>
      </c>
      <c r="C25" s="33">
        <v>8731</v>
      </c>
      <c r="D25" s="47" t="s">
        <v>129</v>
      </c>
      <c r="E25" s="35">
        <v>44976</v>
      </c>
      <c r="F25" s="36">
        <v>106557</v>
      </c>
      <c r="G25" s="37"/>
      <c r="H25" s="38">
        <v>44976</v>
      </c>
      <c r="I25" s="39">
        <v>3302</v>
      </c>
      <c r="J25" s="64"/>
      <c r="K25" s="48"/>
      <c r="L25" s="68"/>
      <c r="M25" s="42">
        <v>60371</v>
      </c>
      <c r="N25" s="43">
        <v>34153</v>
      </c>
      <c r="P25" s="69">
        <f t="shared" si="2"/>
        <v>106557</v>
      </c>
      <c r="Q25" s="45">
        <f t="shared" si="1"/>
        <v>0</v>
      </c>
      <c r="R25" s="46">
        <v>0</v>
      </c>
    </row>
    <row r="26" spans="1:19" ht="18" thickBot="1" x14ac:dyDescent="0.35">
      <c r="A26" s="31"/>
      <c r="B26" s="32">
        <v>44977</v>
      </c>
      <c r="C26" s="33">
        <v>16832.5</v>
      </c>
      <c r="D26" s="47" t="s">
        <v>150</v>
      </c>
      <c r="E26" s="35">
        <v>44977</v>
      </c>
      <c r="F26" s="36">
        <v>95986</v>
      </c>
      <c r="G26" s="37"/>
      <c r="H26" s="38">
        <v>44977</v>
      </c>
      <c r="I26" s="39">
        <v>2386</v>
      </c>
      <c r="J26" s="40"/>
      <c r="K26" s="70"/>
      <c r="L26" s="71"/>
      <c r="M26" s="42">
        <v>36667.5</v>
      </c>
      <c r="N26" s="43">
        <v>40100</v>
      </c>
      <c r="P26" s="69">
        <f t="shared" si="2"/>
        <v>95986</v>
      </c>
      <c r="Q26" s="45">
        <f t="shared" si="1"/>
        <v>0</v>
      </c>
      <c r="R26" s="46">
        <v>0</v>
      </c>
      <c r="S26" t="s">
        <v>11</v>
      </c>
    </row>
    <row r="27" spans="1:19" ht="18" customHeight="1" thickBot="1" x14ac:dyDescent="0.35">
      <c r="A27" s="31"/>
      <c r="B27" s="32">
        <v>44978</v>
      </c>
      <c r="C27" s="33">
        <v>19897.5</v>
      </c>
      <c r="D27" s="51" t="s">
        <v>151</v>
      </c>
      <c r="E27" s="35">
        <v>44978</v>
      </c>
      <c r="F27" s="36">
        <v>114836</v>
      </c>
      <c r="G27" s="37"/>
      <c r="H27" s="38">
        <v>44978</v>
      </c>
      <c r="I27" s="39">
        <v>2758</v>
      </c>
      <c r="J27" s="72"/>
      <c r="K27" s="73"/>
      <c r="L27" s="68"/>
      <c r="M27" s="42">
        <f>37369.5+10580</f>
        <v>47949.5</v>
      </c>
      <c r="N27" s="43">
        <v>44231</v>
      </c>
      <c r="P27" s="69">
        <f t="shared" si="2"/>
        <v>114836</v>
      </c>
      <c r="Q27" s="45">
        <f t="shared" si="1"/>
        <v>0</v>
      </c>
      <c r="R27" s="46">
        <v>0</v>
      </c>
    </row>
    <row r="28" spans="1:19" ht="18" customHeight="1" thickBot="1" x14ac:dyDescent="0.35">
      <c r="A28" s="31"/>
      <c r="B28" s="32">
        <v>44979</v>
      </c>
      <c r="C28" s="33">
        <v>9195</v>
      </c>
      <c r="D28" s="51" t="s">
        <v>152</v>
      </c>
      <c r="E28" s="35">
        <v>44979</v>
      </c>
      <c r="F28" s="36">
        <v>88291</v>
      </c>
      <c r="G28" s="37"/>
      <c r="H28" s="38">
        <v>44979</v>
      </c>
      <c r="I28" s="39">
        <v>4173</v>
      </c>
      <c r="J28" s="74"/>
      <c r="K28" s="75"/>
      <c r="L28" s="68"/>
      <c r="M28" s="42">
        <f>40263+4633.65</f>
        <v>44896.65</v>
      </c>
      <c r="N28" s="43">
        <v>30026</v>
      </c>
      <c r="P28" s="69">
        <f t="shared" si="2"/>
        <v>88290.65</v>
      </c>
      <c r="Q28" s="45">
        <f t="shared" si="1"/>
        <v>-0.35000000000582077</v>
      </c>
      <c r="R28" s="46">
        <v>0</v>
      </c>
    </row>
    <row r="29" spans="1:19" ht="18" thickBot="1" x14ac:dyDescent="0.35">
      <c r="A29" s="31"/>
      <c r="B29" s="32">
        <v>44980</v>
      </c>
      <c r="C29" s="33">
        <v>14088</v>
      </c>
      <c r="D29" s="76" t="s">
        <v>153</v>
      </c>
      <c r="E29" s="35">
        <v>44980</v>
      </c>
      <c r="F29" s="36">
        <v>124393</v>
      </c>
      <c r="G29" s="37"/>
      <c r="H29" s="38">
        <v>44980</v>
      </c>
      <c r="I29" s="39">
        <v>1093</v>
      </c>
      <c r="J29" s="77"/>
      <c r="K29" s="78"/>
      <c r="L29" s="68"/>
      <c r="M29" s="42">
        <v>78783</v>
      </c>
      <c r="N29" s="43">
        <v>30429</v>
      </c>
      <c r="P29" s="69">
        <f t="shared" si="2"/>
        <v>124393</v>
      </c>
      <c r="Q29" s="45">
        <f t="shared" si="1"/>
        <v>0</v>
      </c>
      <c r="R29" s="46">
        <v>0</v>
      </c>
    </row>
    <row r="30" spans="1:19" ht="18" thickBot="1" x14ac:dyDescent="0.35">
      <c r="A30" s="31"/>
      <c r="B30" s="32">
        <v>44981</v>
      </c>
      <c r="C30" s="33">
        <v>9312.5</v>
      </c>
      <c r="D30" s="76" t="s">
        <v>154</v>
      </c>
      <c r="E30" s="35">
        <v>44981</v>
      </c>
      <c r="F30" s="36">
        <v>102902</v>
      </c>
      <c r="G30" s="37"/>
      <c r="H30" s="38">
        <v>44981</v>
      </c>
      <c r="I30" s="39">
        <v>5003</v>
      </c>
      <c r="J30" s="74"/>
      <c r="K30" s="48"/>
      <c r="L30" s="49"/>
      <c r="M30" s="42">
        <v>55595.5</v>
      </c>
      <c r="N30" s="43">
        <v>32991</v>
      </c>
      <c r="P30" s="69">
        <f t="shared" si="2"/>
        <v>102902</v>
      </c>
      <c r="Q30" s="45" t="s">
        <v>11</v>
      </c>
      <c r="R30" s="46">
        <v>0</v>
      </c>
    </row>
    <row r="31" spans="1:19" ht="18" thickBot="1" x14ac:dyDescent="0.35">
      <c r="A31" s="31"/>
      <c r="B31" s="32">
        <v>44982</v>
      </c>
      <c r="C31" s="33">
        <v>2128</v>
      </c>
      <c r="D31" s="79" t="s">
        <v>155</v>
      </c>
      <c r="E31" s="35">
        <v>44982</v>
      </c>
      <c r="F31" s="36">
        <v>158795</v>
      </c>
      <c r="G31" s="37"/>
      <c r="H31" s="38">
        <v>44982</v>
      </c>
      <c r="I31" s="39">
        <v>2941</v>
      </c>
      <c r="J31" s="74">
        <v>44982</v>
      </c>
      <c r="K31" s="80" t="s">
        <v>156</v>
      </c>
      <c r="L31" s="68">
        <v>16111</v>
      </c>
      <c r="M31" s="42">
        <f>4074+61653</f>
        <v>65727</v>
      </c>
      <c r="N31" s="43">
        <v>71888</v>
      </c>
      <c r="P31" s="69">
        <f t="shared" si="2"/>
        <v>158795</v>
      </c>
      <c r="Q31" s="45">
        <f t="shared" si="1"/>
        <v>0</v>
      </c>
      <c r="R31" s="46">
        <v>0</v>
      </c>
    </row>
    <row r="32" spans="1:19" ht="18" thickBot="1" x14ac:dyDescent="0.35">
      <c r="A32" s="31"/>
      <c r="B32" s="32">
        <v>44983</v>
      </c>
      <c r="C32" s="33">
        <v>6257</v>
      </c>
      <c r="D32" s="305" t="s">
        <v>158</v>
      </c>
      <c r="E32" s="35">
        <v>44983</v>
      </c>
      <c r="F32" s="36">
        <v>93682</v>
      </c>
      <c r="G32" s="37"/>
      <c r="H32" s="38">
        <v>44983</v>
      </c>
      <c r="I32" s="39">
        <v>1898</v>
      </c>
      <c r="J32" s="82"/>
      <c r="K32" s="48"/>
      <c r="L32" s="49"/>
      <c r="M32" s="42">
        <v>55700</v>
      </c>
      <c r="N32" s="43">
        <v>29828</v>
      </c>
      <c r="P32" s="69">
        <f t="shared" si="2"/>
        <v>93683</v>
      </c>
      <c r="Q32" s="45">
        <f t="shared" si="1"/>
        <v>1</v>
      </c>
      <c r="R32" s="46">
        <v>0</v>
      </c>
    </row>
    <row r="33" spans="1:19" ht="18" thickBot="1" x14ac:dyDescent="0.35">
      <c r="A33" s="31"/>
      <c r="B33" s="32">
        <v>44984</v>
      </c>
      <c r="C33" s="33">
        <v>28069</v>
      </c>
      <c r="D33" s="83" t="s">
        <v>159</v>
      </c>
      <c r="E33" s="35">
        <v>44984</v>
      </c>
      <c r="F33" s="36">
        <v>143797</v>
      </c>
      <c r="G33" s="37"/>
      <c r="H33" s="38">
        <v>44984</v>
      </c>
      <c r="I33" s="39">
        <v>1074</v>
      </c>
      <c r="J33" s="74">
        <v>44984</v>
      </c>
      <c r="K33" s="306" t="s">
        <v>160</v>
      </c>
      <c r="L33" s="84">
        <v>10000</v>
      </c>
      <c r="M33" s="42">
        <f>40670+13374</f>
        <v>54044</v>
      </c>
      <c r="N33" s="43">
        <v>50610</v>
      </c>
      <c r="P33" s="69">
        <f t="shared" si="2"/>
        <v>143797</v>
      </c>
      <c r="Q33" s="45">
        <f t="shared" si="1"/>
        <v>0</v>
      </c>
      <c r="R33" s="46">
        <v>0</v>
      </c>
    </row>
    <row r="34" spans="1:19" ht="18" thickBot="1" x14ac:dyDescent="0.35">
      <c r="A34" s="31"/>
      <c r="B34" s="32">
        <v>44985</v>
      </c>
      <c r="C34" s="33">
        <v>8261</v>
      </c>
      <c r="D34" s="83" t="s">
        <v>161</v>
      </c>
      <c r="E34" s="35">
        <v>44985</v>
      </c>
      <c r="F34" s="36">
        <v>110726</v>
      </c>
      <c r="G34" s="37"/>
      <c r="H34" s="38">
        <v>44985</v>
      </c>
      <c r="I34" s="39">
        <v>1831</v>
      </c>
      <c r="J34" s="74"/>
      <c r="K34" s="85"/>
      <c r="L34" s="49"/>
      <c r="M34" s="42">
        <f>63172+2544+469</f>
        <v>66185</v>
      </c>
      <c r="N34" s="43">
        <v>34449</v>
      </c>
      <c r="P34" s="69">
        <f t="shared" si="2"/>
        <v>110726</v>
      </c>
      <c r="Q34" s="45">
        <f t="shared" si="1"/>
        <v>0</v>
      </c>
      <c r="R34" s="46">
        <v>0</v>
      </c>
      <c r="S34" t="s">
        <v>10</v>
      </c>
    </row>
    <row r="35" spans="1:19" ht="18" thickBot="1" x14ac:dyDescent="0.35">
      <c r="A35" s="31"/>
      <c r="B35" s="32">
        <v>44986</v>
      </c>
      <c r="C35" s="86">
        <v>15096</v>
      </c>
      <c r="D35" s="79" t="s">
        <v>162</v>
      </c>
      <c r="E35" s="35">
        <v>44986</v>
      </c>
      <c r="F35" s="36">
        <v>129583</v>
      </c>
      <c r="G35" s="37"/>
      <c r="H35" s="38">
        <v>44986</v>
      </c>
      <c r="I35" s="39">
        <v>1171</v>
      </c>
      <c r="J35" s="87"/>
      <c r="K35" s="88"/>
      <c r="L35" s="89"/>
      <c r="M35" s="42">
        <f>99843+6835.5</f>
        <v>106678.5</v>
      </c>
      <c r="N35" s="43">
        <v>5637</v>
      </c>
      <c r="P35" s="69">
        <f t="shared" si="2"/>
        <v>128582.5</v>
      </c>
      <c r="Q35" s="285">
        <f t="shared" si="1"/>
        <v>-1000.5</v>
      </c>
      <c r="R35" s="46">
        <v>0</v>
      </c>
    </row>
    <row r="36" spans="1:19" ht="18" customHeight="1" thickTop="1" thickBot="1" x14ac:dyDescent="0.35">
      <c r="A36" s="31"/>
      <c r="B36" s="32">
        <v>44987</v>
      </c>
      <c r="C36" s="90">
        <v>21050</v>
      </c>
      <c r="D36" s="91" t="s">
        <v>163</v>
      </c>
      <c r="E36" s="35">
        <v>44987</v>
      </c>
      <c r="F36" s="36">
        <v>96003</v>
      </c>
      <c r="G36" s="92"/>
      <c r="H36" s="38">
        <v>44987</v>
      </c>
      <c r="I36" s="39">
        <v>1438</v>
      </c>
      <c r="J36" s="74"/>
      <c r="K36" s="85"/>
      <c r="L36" s="49"/>
      <c r="M36" s="42">
        <f>223+73292</f>
        <v>73515</v>
      </c>
      <c r="N36" s="43">
        <v>0</v>
      </c>
      <c r="P36" s="69">
        <f t="shared" si="2"/>
        <v>96003</v>
      </c>
      <c r="Q36" s="45">
        <f t="shared" si="1"/>
        <v>0</v>
      </c>
      <c r="R36" s="46">
        <v>0</v>
      </c>
    </row>
    <row r="37" spans="1:19" ht="18" customHeight="1" thickBot="1" x14ac:dyDescent="0.35">
      <c r="A37" s="31"/>
      <c r="B37" s="32">
        <v>44988</v>
      </c>
      <c r="C37" s="93">
        <v>7007</v>
      </c>
      <c r="D37" s="94" t="s">
        <v>164</v>
      </c>
      <c r="E37" s="35">
        <v>44988</v>
      </c>
      <c r="F37" s="36">
        <v>92756</v>
      </c>
      <c r="G37" s="92"/>
      <c r="H37" s="38">
        <v>44988</v>
      </c>
      <c r="I37" s="39">
        <v>1872</v>
      </c>
      <c r="J37" s="74"/>
      <c r="K37" s="85"/>
      <c r="L37" s="49"/>
      <c r="M37" s="42">
        <v>77333</v>
      </c>
      <c r="N37" s="43">
        <v>6544</v>
      </c>
      <c r="P37" s="69">
        <f t="shared" si="2"/>
        <v>92756</v>
      </c>
      <c r="Q37" s="45">
        <f t="shared" si="1"/>
        <v>0</v>
      </c>
      <c r="R37" s="46">
        <v>0</v>
      </c>
    </row>
    <row r="38" spans="1:19" ht="18" thickBot="1" x14ac:dyDescent="0.35">
      <c r="A38" s="31"/>
      <c r="B38" s="32"/>
      <c r="C38" s="93"/>
      <c r="D38" s="94"/>
      <c r="E38" s="35"/>
      <c r="F38" s="36"/>
      <c r="G38" s="92"/>
      <c r="H38" s="38"/>
      <c r="I38" s="39"/>
      <c r="J38" s="74"/>
      <c r="K38" s="95"/>
      <c r="L38" s="49"/>
      <c r="M38" s="42">
        <v>0</v>
      </c>
      <c r="N38" s="43">
        <v>0</v>
      </c>
      <c r="P38" s="69">
        <f t="shared" si="2"/>
        <v>0</v>
      </c>
      <c r="Q38" s="45">
        <f t="shared" si="1"/>
        <v>0</v>
      </c>
      <c r="R38" s="46">
        <v>0</v>
      </c>
    </row>
    <row r="39" spans="1:19" ht="18" thickBot="1" x14ac:dyDescent="0.35">
      <c r="A39" s="31"/>
      <c r="B39" s="32"/>
      <c r="C39" s="93"/>
      <c r="D39" s="96"/>
      <c r="E39" s="35"/>
      <c r="F39" s="97"/>
      <c r="G39" s="92"/>
      <c r="H39" s="38"/>
      <c r="I39" s="98"/>
      <c r="J39" s="82"/>
      <c r="K39" s="95"/>
      <c r="L39" s="49"/>
      <c r="M39" s="42">
        <v>0</v>
      </c>
      <c r="N39" s="43">
        <v>0</v>
      </c>
      <c r="P39" s="69">
        <f t="shared" si="2"/>
        <v>0</v>
      </c>
      <c r="Q39" s="45">
        <f t="shared" si="1"/>
        <v>0</v>
      </c>
      <c r="R39" s="46">
        <v>0</v>
      </c>
    </row>
    <row r="40" spans="1:19" ht="18" thickBot="1" x14ac:dyDescent="0.35">
      <c r="A40" s="31"/>
      <c r="B40" s="32"/>
      <c r="C40" s="93"/>
      <c r="D40" s="94"/>
      <c r="E40" s="35"/>
      <c r="F40" s="97"/>
      <c r="G40" s="37"/>
      <c r="H40" s="38"/>
      <c r="I40" s="98"/>
      <c r="J40" s="74"/>
      <c r="K40" s="48"/>
      <c r="L40" s="49"/>
      <c r="M40" s="42">
        <v>0</v>
      </c>
      <c r="N40" s="43">
        <v>0</v>
      </c>
      <c r="P40" s="69">
        <f t="shared" si="2"/>
        <v>0</v>
      </c>
      <c r="Q40" s="45">
        <f t="shared" si="1"/>
        <v>0</v>
      </c>
      <c r="R40" s="46">
        <v>0</v>
      </c>
    </row>
    <row r="41" spans="1:19" ht="18" thickBot="1" x14ac:dyDescent="0.35">
      <c r="A41" s="31"/>
      <c r="B41" s="32"/>
      <c r="C41" s="93"/>
      <c r="D41" s="102"/>
      <c r="E41" s="35"/>
      <c r="F41" s="97"/>
      <c r="G41" s="37"/>
      <c r="H41" s="38"/>
      <c r="I41" s="103"/>
      <c r="J41" s="360">
        <v>44961</v>
      </c>
      <c r="K41" s="361" t="s">
        <v>128</v>
      </c>
      <c r="L41" s="362">
        <v>23359.65</v>
      </c>
      <c r="M41" s="42">
        <v>0</v>
      </c>
      <c r="N41" s="43">
        <v>0</v>
      </c>
      <c r="P41" s="69">
        <v>0</v>
      </c>
      <c r="Q41" s="45">
        <f t="shared" si="1"/>
        <v>0</v>
      </c>
      <c r="R41" s="46">
        <v>0</v>
      </c>
    </row>
    <row r="42" spans="1:19" ht="18" thickBot="1" x14ac:dyDescent="0.35">
      <c r="A42" s="31"/>
      <c r="B42" s="32"/>
      <c r="C42" s="93"/>
      <c r="D42" s="102"/>
      <c r="E42" s="35"/>
      <c r="F42" s="97"/>
      <c r="G42" s="37"/>
      <c r="H42" s="38"/>
      <c r="I42" s="103"/>
      <c r="J42" s="360">
        <v>44968</v>
      </c>
      <c r="K42" s="361" t="s">
        <v>137</v>
      </c>
      <c r="L42" s="362">
        <v>25599</v>
      </c>
      <c r="M42" s="42">
        <v>0</v>
      </c>
      <c r="N42" s="43">
        <v>0</v>
      </c>
      <c r="P42" s="69">
        <v>0</v>
      </c>
      <c r="Q42" s="45">
        <f t="shared" si="1"/>
        <v>0</v>
      </c>
      <c r="R42" s="46">
        <v>0</v>
      </c>
    </row>
    <row r="43" spans="1:19" ht="18" thickBot="1" x14ac:dyDescent="0.35">
      <c r="A43" s="31"/>
      <c r="B43" s="32"/>
      <c r="C43" s="93"/>
      <c r="D43" s="102"/>
      <c r="E43" s="35"/>
      <c r="F43" s="97"/>
      <c r="G43" s="37"/>
      <c r="H43" s="38"/>
      <c r="I43" s="103"/>
      <c r="J43" s="360">
        <v>44975</v>
      </c>
      <c r="K43" s="361" t="s">
        <v>148</v>
      </c>
      <c r="L43" s="362">
        <v>24057</v>
      </c>
      <c r="M43" s="42">
        <v>0</v>
      </c>
      <c r="N43" s="43">
        <v>0</v>
      </c>
      <c r="P43" s="69">
        <v>0</v>
      </c>
      <c r="Q43" s="45">
        <f t="shared" si="1"/>
        <v>0</v>
      </c>
      <c r="R43" s="46">
        <v>0</v>
      </c>
    </row>
    <row r="44" spans="1:19" ht="18" thickBot="1" x14ac:dyDescent="0.35">
      <c r="A44" s="31"/>
      <c r="B44" s="32"/>
      <c r="C44" s="93"/>
      <c r="D44" s="102"/>
      <c r="E44" s="35"/>
      <c r="F44" s="97"/>
      <c r="G44" s="37"/>
      <c r="H44" s="38"/>
      <c r="I44" s="103"/>
      <c r="J44" s="360">
        <v>44982</v>
      </c>
      <c r="K44" s="361" t="s">
        <v>157</v>
      </c>
      <c r="L44" s="362">
        <v>23456.5</v>
      </c>
      <c r="M44" s="42">
        <v>0</v>
      </c>
      <c r="N44" s="43">
        <v>0</v>
      </c>
      <c r="P44" s="69">
        <v>0</v>
      </c>
      <c r="Q44" s="45">
        <f t="shared" si="1"/>
        <v>0</v>
      </c>
      <c r="R44" s="46">
        <v>0</v>
      </c>
    </row>
    <row r="45" spans="1:19" ht="18" thickBot="1" x14ac:dyDescent="0.35">
      <c r="A45" s="31"/>
      <c r="B45" s="32">
        <v>44966</v>
      </c>
      <c r="C45" s="93">
        <f>17650+8308+4544+2469+10246</f>
        <v>43217</v>
      </c>
      <c r="D45" s="102" t="s">
        <v>145</v>
      </c>
      <c r="E45" s="35"/>
      <c r="F45" s="97"/>
      <c r="G45" s="37"/>
      <c r="H45" s="38"/>
      <c r="I45" s="103"/>
      <c r="J45" s="74"/>
      <c r="K45" s="48"/>
      <c r="L45" s="49"/>
      <c r="M45" s="42">
        <v>0</v>
      </c>
      <c r="N45" s="43">
        <v>0</v>
      </c>
      <c r="P45" s="69">
        <v>0</v>
      </c>
      <c r="Q45" s="45">
        <f t="shared" si="1"/>
        <v>0</v>
      </c>
      <c r="R45" s="46">
        <v>0</v>
      </c>
    </row>
    <row r="46" spans="1:19" ht="18" thickBot="1" x14ac:dyDescent="0.35">
      <c r="A46" s="31"/>
      <c r="B46" s="32">
        <v>44971</v>
      </c>
      <c r="C46" s="93">
        <v>200000</v>
      </c>
      <c r="D46" s="114" t="s">
        <v>232</v>
      </c>
      <c r="E46" s="35"/>
      <c r="F46" s="97"/>
      <c r="G46" s="37"/>
      <c r="H46" s="38"/>
      <c r="I46" s="103"/>
      <c r="J46" s="74">
        <v>44956</v>
      </c>
      <c r="K46" s="121" t="s">
        <v>221</v>
      </c>
      <c r="L46" s="49">
        <v>28000</v>
      </c>
      <c r="M46" s="42">
        <v>0</v>
      </c>
      <c r="N46" s="43">
        <v>0</v>
      </c>
      <c r="P46" s="69">
        <v>0</v>
      </c>
      <c r="Q46" s="45">
        <f t="shared" si="1"/>
        <v>0</v>
      </c>
      <c r="R46" s="46">
        <v>0</v>
      </c>
    </row>
    <row r="47" spans="1:19" ht="18" thickBot="1" x14ac:dyDescent="0.35">
      <c r="A47" s="31"/>
      <c r="B47" s="32">
        <v>44972</v>
      </c>
      <c r="C47" s="93">
        <v>102381</v>
      </c>
      <c r="D47" s="114" t="s">
        <v>232</v>
      </c>
      <c r="E47" s="104"/>
      <c r="F47" s="105"/>
      <c r="G47" s="37"/>
      <c r="H47" s="106"/>
      <c r="I47" s="103"/>
      <c r="J47" s="74">
        <v>44957</v>
      </c>
      <c r="K47" s="121" t="s">
        <v>222</v>
      </c>
      <c r="L47" s="49">
        <v>7617.72</v>
      </c>
      <c r="M47" s="42">
        <v>0</v>
      </c>
      <c r="N47" s="100">
        <v>0</v>
      </c>
      <c r="P47" s="69">
        <v>0</v>
      </c>
      <c r="Q47" s="45">
        <f t="shared" si="1"/>
        <v>0</v>
      </c>
      <c r="R47" s="46">
        <v>0</v>
      </c>
    </row>
    <row r="48" spans="1:19" ht="18" thickBot="1" x14ac:dyDescent="0.35">
      <c r="A48" s="31"/>
      <c r="B48" s="32">
        <v>44972</v>
      </c>
      <c r="C48" s="93">
        <v>130732.8</v>
      </c>
      <c r="D48" s="102" t="s">
        <v>234</v>
      </c>
      <c r="E48" s="104"/>
      <c r="F48" s="105"/>
      <c r="G48" s="37"/>
      <c r="H48" s="106"/>
      <c r="I48" s="103"/>
      <c r="J48" s="74">
        <v>44958</v>
      </c>
      <c r="K48" s="121" t="s">
        <v>230</v>
      </c>
      <c r="L48" s="49">
        <v>7344.44</v>
      </c>
      <c r="M48" s="107"/>
      <c r="N48" s="44"/>
      <c r="P48" s="44">
        <v>0</v>
      </c>
      <c r="Q48" s="108">
        <v>0</v>
      </c>
      <c r="R48" s="46">
        <v>0</v>
      </c>
    </row>
    <row r="49" spans="1:18" ht="18" thickBot="1" x14ac:dyDescent="0.35">
      <c r="A49" s="31"/>
      <c r="B49" s="32">
        <v>44984</v>
      </c>
      <c r="C49" s="93">
        <v>200000</v>
      </c>
      <c r="D49" s="109" t="s">
        <v>236</v>
      </c>
      <c r="E49" s="104"/>
      <c r="F49" s="110"/>
      <c r="G49" s="37"/>
      <c r="H49" s="106"/>
      <c r="I49" s="103"/>
      <c r="J49" s="74">
        <v>44965</v>
      </c>
      <c r="K49" s="336" t="s">
        <v>335</v>
      </c>
      <c r="L49" s="49">
        <v>5160.4799999999996</v>
      </c>
      <c r="M49" s="464">
        <f>SUM(M5:M40)</f>
        <v>1964337.8699999999</v>
      </c>
      <c r="N49" s="464">
        <f>SUM(N5:N40)</f>
        <v>1314937</v>
      </c>
      <c r="P49" s="111">
        <f>SUM(P5:P40)</f>
        <v>3956557.8699999996</v>
      </c>
      <c r="Q49" s="476">
        <f>SUM(Q5:Q40)</f>
        <v>-996.13000000000466</v>
      </c>
      <c r="R49" s="46">
        <v>0</v>
      </c>
    </row>
    <row r="50" spans="1:18" ht="18" thickBot="1" x14ac:dyDescent="0.35">
      <c r="A50" s="31"/>
      <c r="B50" s="32">
        <v>44987</v>
      </c>
      <c r="C50" s="93">
        <v>121132.8</v>
      </c>
      <c r="D50" s="109" t="s">
        <v>232</v>
      </c>
      <c r="E50" s="104"/>
      <c r="F50" s="110"/>
      <c r="G50" s="37"/>
      <c r="H50" s="106"/>
      <c r="I50" s="103"/>
      <c r="J50" s="87">
        <v>44966</v>
      </c>
      <c r="K50" s="343" t="s">
        <v>336</v>
      </c>
      <c r="L50" s="89">
        <v>4412</v>
      </c>
      <c r="M50" s="465"/>
      <c r="N50" s="465"/>
      <c r="P50" s="44"/>
      <c r="Q50" s="477"/>
      <c r="R50" s="112">
        <f>SUM(R5:R49)</f>
        <v>16567</v>
      </c>
    </row>
    <row r="51" spans="1:18" ht="18" thickBot="1" x14ac:dyDescent="0.35">
      <c r="A51" s="31"/>
      <c r="B51" s="32">
        <v>44966</v>
      </c>
      <c r="C51" s="93">
        <v>8308</v>
      </c>
      <c r="D51" s="109" t="s">
        <v>338</v>
      </c>
      <c r="E51" s="104"/>
      <c r="F51" s="110"/>
      <c r="G51" s="37"/>
      <c r="H51" s="106"/>
      <c r="I51" s="103"/>
      <c r="J51" s="74">
        <v>44967</v>
      </c>
      <c r="K51" s="85" t="s">
        <v>231</v>
      </c>
      <c r="L51" s="49">
        <v>1856</v>
      </c>
      <c r="M51" s="113"/>
      <c r="N51" s="113"/>
      <c r="P51" s="44"/>
      <c r="Q51" s="19"/>
    </row>
    <row r="52" spans="1:18" ht="18" thickBot="1" x14ac:dyDescent="0.35">
      <c r="A52" s="31"/>
      <c r="B52" s="32">
        <v>44966</v>
      </c>
      <c r="C52" s="93">
        <v>2469</v>
      </c>
      <c r="D52" s="109" t="s">
        <v>338</v>
      </c>
      <c r="E52" s="104"/>
      <c r="F52" s="110"/>
      <c r="G52" s="37"/>
      <c r="H52" s="106"/>
      <c r="I52" s="103"/>
      <c r="J52" s="74">
        <v>44970</v>
      </c>
      <c r="K52" s="121" t="s">
        <v>343</v>
      </c>
      <c r="L52" s="49">
        <v>14476.75</v>
      </c>
      <c r="M52" s="113"/>
      <c r="N52" s="113"/>
      <c r="P52" s="44"/>
      <c r="Q52" s="19"/>
    </row>
    <row r="53" spans="1:18" ht="18" thickBot="1" x14ac:dyDescent="0.35">
      <c r="A53" s="31"/>
      <c r="B53" s="32">
        <v>44966</v>
      </c>
      <c r="C53" s="93">
        <v>4544</v>
      </c>
      <c r="D53" s="109" t="s">
        <v>338</v>
      </c>
      <c r="E53" s="104"/>
      <c r="F53" s="110"/>
      <c r="G53" s="37"/>
      <c r="H53" s="106"/>
      <c r="I53" s="103"/>
      <c r="J53" s="74">
        <v>44971</v>
      </c>
      <c r="K53" s="85" t="s">
        <v>233</v>
      </c>
      <c r="L53" s="49">
        <v>4698</v>
      </c>
      <c r="M53" s="478">
        <f>M49+N49</f>
        <v>3279274.87</v>
      </c>
      <c r="N53" s="479"/>
      <c r="P53" s="44"/>
      <c r="Q53" s="19"/>
    </row>
    <row r="54" spans="1:18" ht="18" thickBot="1" x14ac:dyDescent="0.35">
      <c r="A54" s="31"/>
      <c r="B54" s="32">
        <v>44966</v>
      </c>
      <c r="C54" s="93">
        <v>10246</v>
      </c>
      <c r="D54" s="114" t="s">
        <v>337</v>
      </c>
      <c r="E54" s="104"/>
      <c r="F54" s="110"/>
      <c r="G54" s="37"/>
      <c r="H54" s="106"/>
      <c r="I54" s="103" t="s">
        <v>345</v>
      </c>
      <c r="J54" s="74">
        <v>44971</v>
      </c>
      <c r="K54" s="121" t="s">
        <v>344</v>
      </c>
      <c r="L54" s="49">
        <v>75864</v>
      </c>
      <c r="M54" s="113"/>
      <c r="N54" s="113"/>
      <c r="P54" s="44"/>
      <c r="Q54" s="19"/>
    </row>
    <row r="55" spans="1:18" ht="18" thickBot="1" x14ac:dyDescent="0.35">
      <c r="A55" s="31"/>
      <c r="B55" s="32">
        <v>44966</v>
      </c>
      <c r="C55" s="93">
        <v>17650</v>
      </c>
      <c r="D55" s="114" t="s">
        <v>339</v>
      </c>
      <c r="E55" s="104"/>
      <c r="F55" s="110"/>
      <c r="G55" s="37"/>
      <c r="H55" s="106"/>
      <c r="I55" s="103"/>
      <c r="J55" s="74">
        <v>44973</v>
      </c>
      <c r="K55" s="123" t="s">
        <v>343</v>
      </c>
      <c r="L55" s="49">
        <v>5070.82</v>
      </c>
      <c r="M55" s="113"/>
      <c r="N55" s="113"/>
      <c r="P55" s="44"/>
      <c r="Q55" s="19"/>
    </row>
    <row r="56" spans="1:18" ht="18" thickBot="1" x14ac:dyDescent="0.35">
      <c r="A56" s="31"/>
      <c r="B56" s="32">
        <v>44966</v>
      </c>
      <c r="C56" s="93">
        <v>2613.8000000000002</v>
      </c>
      <c r="D56" s="114" t="s">
        <v>340</v>
      </c>
      <c r="E56" s="104"/>
      <c r="F56" s="110"/>
      <c r="G56" s="37"/>
      <c r="H56" s="106"/>
      <c r="I56" s="103"/>
      <c r="J56" s="120">
        <v>44974</v>
      </c>
      <c r="K56" s="85" t="s">
        <v>221</v>
      </c>
      <c r="L56" s="84">
        <v>28000</v>
      </c>
      <c r="M56" s="113"/>
      <c r="N56" s="113"/>
      <c r="P56" s="44"/>
      <c r="Q56" s="19"/>
    </row>
    <row r="57" spans="1:18" ht="18" thickBot="1" x14ac:dyDescent="0.35">
      <c r="A57" s="31"/>
      <c r="B57" s="32">
        <v>44967</v>
      </c>
      <c r="C57" s="93">
        <v>2656.6</v>
      </c>
      <c r="D57" s="114" t="s">
        <v>341</v>
      </c>
      <c r="E57" s="104"/>
      <c r="F57" s="110"/>
      <c r="G57" s="37"/>
      <c r="H57" s="106"/>
      <c r="I57" s="103"/>
      <c r="J57" s="120">
        <v>44977</v>
      </c>
      <c r="K57" s="48" t="s">
        <v>235</v>
      </c>
      <c r="L57" s="84">
        <v>8178</v>
      </c>
      <c r="M57" s="113"/>
      <c r="N57" s="113"/>
      <c r="P57" s="44"/>
      <c r="Q57" s="19"/>
    </row>
    <row r="58" spans="1:18" ht="18" thickBot="1" x14ac:dyDescent="0.35">
      <c r="A58" s="31"/>
      <c r="B58" s="32">
        <v>44967</v>
      </c>
      <c r="C58" s="93">
        <v>1727.2</v>
      </c>
      <c r="D58" s="114" t="s">
        <v>342</v>
      </c>
      <c r="E58" s="104"/>
      <c r="F58" s="110"/>
      <c r="G58" s="37"/>
      <c r="H58" s="106"/>
      <c r="I58" s="103"/>
      <c r="J58" s="120">
        <v>44977</v>
      </c>
      <c r="K58" s="121" t="s">
        <v>233</v>
      </c>
      <c r="L58" s="84">
        <v>3340</v>
      </c>
      <c r="M58" s="113"/>
      <c r="N58" s="113"/>
      <c r="P58" s="44"/>
      <c r="Q58" s="19"/>
    </row>
    <row r="59" spans="1:18" ht="18" thickBot="1" x14ac:dyDescent="0.35">
      <c r="A59" s="31"/>
      <c r="B59" s="32">
        <v>44973</v>
      </c>
      <c r="C59" s="93">
        <v>32450</v>
      </c>
      <c r="D59" s="114" t="s">
        <v>346</v>
      </c>
      <c r="E59" s="104"/>
      <c r="F59" s="110"/>
      <c r="G59" s="37"/>
      <c r="H59" s="106"/>
      <c r="I59" s="103"/>
      <c r="J59" s="120">
        <v>44980</v>
      </c>
      <c r="K59" s="121" t="s">
        <v>228</v>
      </c>
      <c r="L59" s="84">
        <v>1381.27</v>
      </c>
      <c r="M59" s="113"/>
      <c r="N59" s="113"/>
      <c r="P59" s="44"/>
      <c r="Q59" s="19"/>
    </row>
    <row r="60" spans="1:18" ht="18" thickBot="1" x14ac:dyDescent="0.35">
      <c r="A60" s="31"/>
      <c r="B60" s="32">
        <v>44977</v>
      </c>
      <c r="C60" s="93">
        <v>32450</v>
      </c>
      <c r="D60" s="114" t="s">
        <v>346</v>
      </c>
      <c r="E60" s="104"/>
      <c r="F60" s="110"/>
      <c r="G60" s="37"/>
      <c r="H60" s="106"/>
      <c r="I60" s="103"/>
      <c r="J60" s="120">
        <v>44980</v>
      </c>
      <c r="K60" s="121" t="s">
        <v>349</v>
      </c>
      <c r="L60" s="84">
        <v>15767.99</v>
      </c>
      <c r="M60" s="113"/>
      <c r="N60" s="113"/>
      <c r="P60" s="44"/>
      <c r="Q60" s="19"/>
    </row>
    <row r="61" spans="1:18" ht="18" thickBot="1" x14ac:dyDescent="0.35">
      <c r="A61" s="31"/>
      <c r="B61" s="32">
        <v>44979</v>
      </c>
      <c r="C61" s="93">
        <v>9900.3799999999992</v>
      </c>
      <c r="D61" s="114" t="s">
        <v>347</v>
      </c>
      <c r="E61" s="104"/>
      <c r="F61" s="110"/>
      <c r="G61" s="37"/>
      <c r="H61" s="106"/>
      <c r="I61" s="103"/>
      <c r="J61" s="120">
        <v>44981</v>
      </c>
      <c r="K61" s="123" t="s">
        <v>350</v>
      </c>
      <c r="L61" s="84">
        <v>3906.88</v>
      </c>
      <c r="M61" s="113"/>
      <c r="N61" s="113"/>
      <c r="P61" s="44"/>
      <c r="Q61" s="19"/>
    </row>
    <row r="62" spans="1:18" ht="18" thickBot="1" x14ac:dyDescent="0.35">
      <c r="A62" s="31"/>
      <c r="B62" s="32">
        <v>44980</v>
      </c>
      <c r="C62" s="122">
        <v>4795.68</v>
      </c>
      <c r="D62" s="114" t="s">
        <v>348</v>
      </c>
      <c r="E62" s="104"/>
      <c r="F62" s="110"/>
      <c r="G62" s="37"/>
      <c r="H62" s="106"/>
      <c r="I62" s="103"/>
      <c r="J62" s="120">
        <v>44984</v>
      </c>
      <c r="K62" s="121" t="s">
        <v>227</v>
      </c>
      <c r="L62" s="84">
        <v>2320</v>
      </c>
      <c r="M62" s="113"/>
      <c r="N62" s="113"/>
      <c r="P62" s="44"/>
      <c r="Q62" s="19"/>
    </row>
    <row r="63" spans="1:18" ht="18.75" thickTop="1" thickBot="1" x14ac:dyDescent="0.35">
      <c r="A63" s="31"/>
      <c r="B63" s="32">
        <v>44987</v>
      </c>
      <c r="C63" s="124">
        <v>27214</v>
      </c>
      <c r="D63" s="114" t="s">
        <v>352</v>
      </c>
      <c r="E63" s="104"/>
      <c r="F63" s="110"/>
      <c r="G63" s="37"/>
      <c r="H63" s="106"/>
      <c r="I63" s="103"/>
      <c r="J63" s="120">
        <v>44984</v>
      </c>
      <c r="K63" s="121" t="s">
        <v>351</v>
      </c>
      <c r="L63" s="84">
        <v>2542.5100000000002</v>
      </c>
      <c r="M63" s="113"/>
      <c r="N63" s="113"/>
      <c r="P63" s="44"/>
      <c r="Q63" s="19"/>
    </row>
    <row r="64" spans="1:18" ht="18" thickBot="1" x14ac:dyDescent="0.35">
      <c r="A64" s="31"/>
      <c r="B64" s="32"/>
      <c r="C64" s="33"/>
      <c r="D64" s="114"/>
      <c r="E64" s="104"/>
      <c r="F64" s="110"/>
      <c r="G64" s="37"/>
      <c r="H64" s="106"/>
      <c r="I64" s="103"/>
      <c r="J64" s="118">
        <v>44985</v>
      </c>
      <c r="K64" s="336" t="s">
        <v>237</v>
      </c>
      <c r="L64" s="68">
        <v>5104</v>
      </c>
      <c r="M64" s="113"/>
      <c r="N64" s="113"/>
      <c r="P64" s="44"/>
      <c r="Q64" s="19"/>
    </row>
    <row r="65" spans="1:17" ht="18" thickBot="1" x14ac:dyDescent="0.35">
      <c r="A65" s="31"/>
      <c r="B65" s="32"/>
      <c r="C65" s="33"/>
      <c r="D65" s="114"/>
      <c r="E65" s="104"/>
      <c r="F65" s="110"/>
      <c r="G65" s="37"/>
      <c r="H65" s="106"/>
      <c r="I65" s="103"/>
      <c r="J65" s="120">
        <v>44988</v>
      </c>
      <c r="K65" s="121" t="s">
        <v>239</v>
      </c>
      <c r="L65" s="84">
        <v>48121.13</v>
      </c>
      <c r="M65" s="113"/>
      <c r="N65" s="113"/>
      <c r="P65" s="44"/>
      <c r="Q65" s="19"/>
    </row>
    <row r="66" spans="1:17" ht="18" thickBot="1" x14ac:dyDescent="0.35">
      <c r="A66" s="31"/>
      <c r="B66" s="32"/>
      <c r="C66" s="33"/>
      <c r="D66" s="114"/>
      <c r="E66" s="104"/>
      <c r="F66" s="110"/>
      <c r="G66" s="37"/>
      <c r="H66" s="106"/>
      <c r="I66" s="103"/>
      <c r="J66" s="120"/>
      <c r="K66" s="121"/>
      <c r="L66" s="84"/>
      <c r="M66" s="113"/>
      <c r="N66" s="113"/>
      <c r="P66" s="44"/>
      <c r="Q66" s="19"/>
    </row>
    <row r="67" spans="1:17" ht="18" thickBot="1" x14ac:dyDescent="0.35">
      <c r="A67" s="31"/>
      <c r="B67" s="32"/>
      <c r="C67" s="33"/>
      <c r="D67" s="114"/>
      <c r="E67" s="104"/>
      <c r="F67" s="110"/>
      <c r="G67" s="37"/>
      <c r="H67" s="106"/>
      <c r="I67" s="103"/>
      <c r="J67" s="120"/>
      <c r="K67" s="125"/>
      <c r="L67" s="84"/>
      <c r="M67" s="113"/>
      <c r="N67" s="113"/>
      <c r="P67" s="44"/>
      <c r="Q67" s="19"/>
    </row>
    <row r="68" spans="1:17" ht="16.5" thickBot="1" x14ac:dyDescent="0.3">
      <c r="A68" s="31"/>
      <c r="B68" s="32"/>
      <c r="C68" s="33"/>
      <c r="D68" s="126"/>
      <c r="E68" s="104"/>
      <c r="F68" s="127"/>
      <c r="G68" s="37"/>
      <c r="H68" s="128"/>
      <c r="I68" s="103"/>
      <c r="J68" s="129"/>
      <c r="K68" s="73"/>
      <c r="L68" s="84"/>
      <c r="M68" s="44"/>
      <c r="N68" s="44"/>
      <c r="P68" s="44"/>
      <c r="Q68" s="19"/>
    </row>
    <row r="69" spans="1:17" ht="16.5" thickBot="1" x14ac:dyDescent="0.3">
      <c r="A69" s="31"/>
      <c r="B69" s="130"/>
      <c r="C69" s="131"/>
      <c r="D69" s="126"/>
      <c r="E69" s="132"/>
      <c r="F69" s="44"/>
      <c r="G69" s="37"/>
      <c r="H69" s="106"/>
      <c r="I69" s="44"/>
      <c r="J69" s="133"/>
      <c r="K69" s="125"/>
      <c r="L69" s="84"/>
      <c r="M69" s="44"/>
      <c r="N69" s="44"/>
      <c r="P69" s="44"/>
      <c r="Q69" s="19"/>
    </row>
    <row r="70" spans="1:17" ht="16.5" hidden="1" thickBot="1" x14ac:dyDescent="0.3">
      <c r="A70" s="31"/>
      <c r="B70" s="134"/>
      <c r="C70" s="131"/>
      <c r="D70" s="135"/>
      <c r="E70" s="136"/>
      <c r="F70" s="44"/>
      <c r="H70" s="137"/>
      <c r="I70" s="44"/>
      <c r="J70" s="133"/>
      <c r="K70" s="125"/>
      <c r="L70" s="84"/>
      <c r="M70" s="44"/>
      <c r="N70" s="44"/>
      <c r="P70" s="44"/>
      <c r="Q70" s="19"/>
    </row>
    <row r="71" spans="1:17" ht="16.5" hidden="1" thickBot="1" x14ac:dyDescent="0.3">
      <c r="A71" s="31"/>
      <c r="B71" s="134"/>
      <c r="C71" s="131"/>
      <c r="D71" s="135"/>
      <c r="E71" s="136"/>
      <c r="F71" s="44"/>
      <c r="H71" s="137"/>
      <c r="I71" s="44"/>
      <c r="J71" s="133"/>
      <c r="K71" s="125"/>
      <c r="L71" s="84"/>
      <c r="M71" s="44"/>
      <c r="N71" s="44"/>
      <c r="P71" s="44"/>
      <c r="Q71" s="19"/>
    </row>
    <row r="72" spans="1:17" ht="16.5" hidden="1" thickBot="1" x14ac:dyDescent="0.3">
      <c r="A72" s="31"/>
      <c r="B72" s="134"/>
      <c r="C72" s="131"/>
      <c r="D72" s="135"/>
      <c r="E72" s="136"/>
      <c r="F72" s="44"/>
      <c r="H72" s="137"/>
      <c r="I72" s="44"/>
      <c r="J72" s="133"/>
      <c r="K72" s="125"/>
      <c r="L72" s="84"/>
      <c r="M72" s="44"/>
      <c r="N72" s="44"/>
      <c r="P72" s="44"/>
      <c r="Q72" s="19"/>
    </row>
    <row r="73" spans="1:17" ht="16.5" hidden="1" thickBot="1" x14ac:dyDescent="0.3">
      <c r="A73" s="31"/>
      <c r="B73" s="134"/>
      <c r="C73" s="131"/>
      <c r="D73" s="135"/>
      <c r="E73" s="136"/>
      <c r="F73" s="44"/>
      <c r="H73" s="137"/>
      <c r="I73" s="44"/>
      <c r="J73" s="133"/>
      <c r="K73" s="125"/>
      <c r="L73" s="84"/>
      <c r="M73" s="44"/>
      <c r="N73" s="44"/>
      <c r="P73" s="44"/>
      <c r="Q73" s="19"/>
    </row>
    <row r="74" spans="1:17" ht="16.5" thickBot="1" x14ac:dyDescent="0.3">
      <c r="A74" s="31"/>
      <c r="B74" s="134"/>
      <c r="C74" s="131"/>
      <c r="D74" s="135"/>
      <c r="E74" s="136"/>
      <c r="F74" s="44"/>
      <c r="H74" s="137"/>
      <c r="I74" s="44"/>
      <c r="J74" s="138"/>
      <c r="K74" s="139"/>
      <c r="L74" s="13"/>
      <c r="M74" s="44"/>
      <c r="N74" s="44"/>
      <c r="P74" s="44"/>
      <c r="Q74" s="19"/>
    </row>
    <row r="75" spans="1:17" ht="16.5" thickBot="1" x14ac:dyDescent="0.3">
      <c r="B75" s="140" t="s">
        <v>12</v>
      </c>
      <c r="C75" s="141">
        <f>SUM(C5:C68)</f>
        <v>1474424.76</v>
      </c>
      <c r="D75" s="142"/>
      <c r="E75" s="143" t="s">
        <v>12</v>
      </c>
      <c r="F75" s="144">
        <f>SUM(F5:F68)</f>
        <v>3940787</v>
      </c>
      <c r="G75" s="145"/>
      <c r="H75" s="143" t="s">
        <v>13</v>
      </c>
      <c r="I75" s="146">
        <f>SUM(I5:I68)</f>
        <v>75875.5</v>
      </c>
      <c r="J75" s="147"/>
      <c r="K75" s="148" t="s">
        <v>14</v>
      </c>
      <c r="L75" s="149">
        <f>SUM(L5:L73)-L26</f>
        <v>451105.14000000007</v>
      </c>
      <c r="M75" s="150"/>
      <c r="N75" s="150"/>
      <c r="P75" s="44"/>
      <c r="Q75" s="19"/>
    </row>
    <row r="76" spans="1:17" ht="16.5" thickTop="1" x14ac:dyDescent="0.25">
      <c r="C76" s="5" t="s">
        <v>10</v>
      </c>
      <c r="P76" s="44"/>
      <c r="Q76" s="19"/>
    </row>
    <row r="77" spans="1:17" ht="18.75" x14ac:dyDescent="0.25">
      <c r="A77" s="152"/>
      <c r="B77" s="153"/>
      <c r="C77" s="1"/>
      <c r="H77" s="472" t="s">
        <v>15</v>
      </c>
      <c r="I77" s="473"/>
      <c r="J77" s="154"/>
      <c r="K77" s="474">
        <f>I75+L75</f>
        <v>526980.64000000013</v>
      </c>
      <c r="L77" s="475"/>
      <c r="M77" s="155"/>
      <c r="N77" s="155"/>
      <c r="P77" s="44"/>
      <c r="Q77" s="19"/>
    </row>
    <row r="78" spans="1:17" x14ac:dyDescent="0.25">
      <c r="D78" s="466" t="s">
        <v>16</v>
      </c>
      <c r="E78" s="466"/>
      <c r="F78" s="156">
        <f>F75-K77-C75</f>
        <v>1939381.5999999999</v>
      </c>
      <c r="I78" s="157"/>
      <c r="J78" s="158"/>
    </row>
    <row r="79" spans="1:17" ht="18.75" x14ac:dyDescent="0.3">
      <c r="D79" s="467" t="s">
        <v>17</v>
      </c>
      <c r="E79" s="467"/>
      <c r="F79" s="101">
        <v>-1830849.67</v>
      </c>
      <c r="I79" s="468" t="s">
        <v>18</v>
      </c>
      <c r="J79" s="469"/>
      <c r="K79" s="470">
        <f>F81+F82+F83</f>
        <v>3946521.55</v>
      </c>
      <c r="L79" s="470"/>
      <c r="M79" s="159"/>
      <c r="N79" s="159"/>
      <c r="O79" s="160"/>
      <c r="P79" s="159"/>
      <c r="Q79" s="159"/>
    </row>
    <row r="80" spans="1:17" ht="19.5" thickBot="1" x14ac:dyDescent="0.35">
      <c r="D80" s="161" t="s">
        <v>19</v>
      </c>
      <c r="E80" s="162"/>
      <c r="F80" s="163">
        <v>-111122</v>
      </c>
      <c r="I80" s="164"/>
      <c r="J80" s="165"/>
      <c r="K80" s="166"/>
      <c r="L80" s="167"/>
      <c r="M80" s="159"/>
      <c r="N80" s="159"/>
      <c r="O80" s="160"/>
      <c r="P80" s="159"/>
      <c r="Q80" s="159"/>
    </row>
    <row r="81" spans="2:14" ht="19.5" thickTop="1" x14ac:dyDescent="0.3">
      <c r="C81" s="7" t="s">
        <v>10</v>
      </c>
      <c r="E81" s="152" t="s">
        <v>20</v>
      </c>
      <c r="F81" s="150">
        <f>SUM(F78:F80)</f>
        <v>-2590.0700000000652</v>
      </c>
      <c r="H81" s="168"/>
      <c r="I81" s="169" t="s">
        <v>21</v>
      </c>
      <c r="J81" s="170"/>
      <c r="K81" s="471">
        <f>-C4</f>
        <v>-3504178.07</v>
      </c>
      <c r="L81" s="470"/>
    </row>
    <row r="82" spans="2:14" ht="16.5" thickBot="1" x14ac:dyDescent="0.3">
      <c r="D82" s="171" t="s">
        <v>22</v>
      </c>
      <c r="E82" s="152" t="s">
        <v>23</v>
      </c>
      <c r="F82" s="101">
        <v>228537</v>
      </c>
    </row>
    <row r="83" spans="2:14" ht="20.25" thickTop="1" thickBot="1" x14ac:dyDescent="0.35">
      <c r="C83" s="172">
        <v>44988</v>
      </c>
      <c r="D83" s="459" t="s">
        <v>24</v>
      </c>
      <c r="E83" s="460"/>
      <c r="F83" s="173">
        <v>3720574.62</v>
      </c>
      <c r="I83" s="504" t="s">
        <v>25</v>
      </c>
      <c r="J83" s="505"/>
      <c r="K83" s="506">
        <f>K79+K81</f>
        <v>442343.48</v>
      </c>
      <c r="L83" s="506"/>
    </row>
    <row r="84" spans="2:14" ht="17.25" x14ac:dyDescent="0.3">
      <c r="C84" s="174"/>
      <c r="D84" s="175"/>
      <c r="E84" s="152"/>
      <c r="F84" s="176"/>
      <c r="J84" s="177"/>
    </row>
    <row r="85" spans="2:14" ht="20.25" customHeight="1" x14ac:dyDescent="0.25">
      <c r="I85" s="178"/>
      <c r="J85" s="178"/>
      <c r="K85" s="179"/>
      <c r="L85" s="180"/>
    </row>
    <row r="86" spans="2:14" ht="16.5" customHeight="1" x14ac:dyDescent="0.25">
      <c r="B86" s="181"/>
      <c r="C86" s="182"/>
      <c r="D86" s="183"/>
      <c r="E86" s="44"/>
      <c r="I86" s="178"/>
      <c r="J86" s="178"/>
      <c r="K86" s="179"/>
      <c r="L86" s="180"/>
      <c r="M86" s="184"/>
      <c r="N86" s="152"/>
    </row>
    <row r="87" spans="2:14" x14ac:dyDescent="0.25">
      <c r="B87" s="181"/>
      <c r="C87" s="185"/>
      <c r="E87" s="44"/>
      <c r="M87" s="184"/>
      <c r="N87" s="152"/>
    </row>
    <row r="88" spans="2:14" x14ac:dyDescent="0.25">
      <c r="B88" s="181"/>
      <c r="C88" s="185"/>
      <c r="E88" s="44"/>
      <c r="F88" s="186"/>
      <c r="L88" s="187"/>
      <c r="M88" s="1"/>
    </row>
    <row r="89" spans="2:14" x14ac:dyDescent="0.25">
      <c r="B89" s="181"/>
      <c r="C89" s="185"/>
      <c r="E89" s="44"/>
      <c r="M89" s="1"/>
    </row>
    <row r="90" spans="2:14" x14ac:dyDescent="0.25">
      <c r="B90" s="181"/>
      <c r="C90" s="185"/>
      <c r="D90" s="188"/>
      <c r="E90" s="44"/>
      <c r="F90" s="189"/>
      <c r="M90" s="1"/>
    </row>
    <row r="91" spans="2:14" x14ac:dyDescent="0.25">
      <c r="D91" s="188"/>
      <c r="E91" s="190"/>
      <c r="F91" s="44"/>
      <c r="M91" s="1"/>
    </row>
    <row r="92" spans="2:14" x14ac:dyDescent="0.25">
      <c r="D92" s="188"/>
      <c r="E92" s="190"/>
      <c r="F92" s="44"/>
      <c r="M92" s="1"/>
    </row>
    <row r="93" spans="2:14" x14ac:dyDescent="0.25">
      <c r="D93" s="188"/>
      <c r="E93" s="190"/>
      <c r="F93" s="44"/>
      <c r="M93" s="1"/>
    </row>
    <row r="94" spans="2:14" x14ac:dyDescent="0.25">
      <c r="D94" s="188"/>
      <c r="E94" s="190"/>
      <c r="F94" s="44"/>
      <c r="M94" s="1"/>
    </row>
    <row r="95" spans="2:14" x14ac:dyDescent="0.25">
      <c r="D95" s="188"/>
      <c r="E95" s="190"/>
      <c r="F95" s="44"/>
      <c r="M95" s="1"/>
    </row>
    <row r="96" spans="2:14" x14ac:dyDescent="0.25">
      <c r="D96" s="188"/>
      <c r="E96" s="190"/>
      <c r="F96" s="44"/>
      <c r="M96" s="1"/>
    </row>
    <row r="97" spans="4:13" x14ac:dyDescent="0.25">
      <c r="D97" s="188"/>
      <c r="E97" s="190"/>
      <c r="F97" s="44"/>
      <c r="M97" s="1"/>
    </row>
    <row r="98" spans="4:13" x14ac:dyDescent="0.25">
      <c r="D98" s="188"/>
      <c r="E98" s="190"/>
      <c r="F98" s="44"/>
      <c r="M98" s="1"/>
    </row>
    <row r="99" spans="4:13" x14ac:dyDescent="0.25">
      <c r="D99" s="188"/>
      <c r="E99" s="190"/>
      <c r="F99" s="44"/>
      <c r="M99" s="1"/>
    </row>
    <row r="100" spans="4:13" x14ac:dyDescent="0.25">
      <c r="D100" s="188"/>
      <c r="E100" s="190"/>
      <c r="F100" s="44"/>
      <c r="M100" s="1"/>
    </row>
    <row r="101" spans="4:13" x14ac:dyDescent="0.25">
      <c r="D101" s="188"/>
      <c r="E101" s="190"/>
      <c r="F101" s="44"/>
      <c r="M101" s="1"/>
    </row>
    <row r="102" spans="4:13" x14ac:dyDescent="0.25">
      <c r="D102" s="188"/>
      <c r="E102" s="190"/>
      <c r="F102" s="44"/>
    </row>
    <row r="103" spans="4:13" x14ac:dyDescent="0.25">
      <c r="D103" s="188"/>
      <c r="E103" s="191"/>
      <c r="F103" s="189"/>
    </row>
    <row r="104" spans="4:13" x14ac:dyDescent="0.25">
      <c r="D104" s="188"/>
      <c r="E104" s="191"/>
      <c r="F104" s="189"/>
    </row>
    <row r="105" spans="4:13" x14ac:dyDescent="0.25">
      <c r="D105" s="188"/>
      <c r="E105" s="191"/>
      <c r="F105" s="189"/>
    </row>
  </sheetData>
  <sortState ref="I46:L65">
    <sortCondition ref="J46:J65"/>
  </sortState>
  <mergeCells count="22">
    <mergeCell ref="R3:R4"/>
    <mergeCell ref="E4:F4"/>
    <mergeCell ref="H4:I4"/>
    <mergeCell ref="D83:E83"/>
    <mergeCell ref="I83:J83"/>
    <mergeCell ref="K83:L83"/>
    <mergeCell ref="M49:M50"/>
    <mergeCell ref="N49:N50"/>
    <mergeCell ref="D78:E78"/>
    <mergeCell ref="D79:E79"/>
    <mergeCell ref="I79:J79"/>
    <mergeCell ref="K79:L79"/>
    <mergeCell ref="K81:L81"/>
    <mergeCell ref="H77:I77"/>
    <mergeCell ref="K77:L77"/>
    <mergeCell ref="Q49:Q50"/>
    <mergeCell ref="M53:N53"/>
    <mergeCell ref="P3:P4"/>
    <mergeCell ref="B1:B2"/>
    <mergeCell ref="C1:M1"/>
    <mergeCell ref="B3:C3"/>
    <mergeCell ref="H3:I3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T123"/>
  <sheetViews>
    <sheetView topLeftCell="F39" zoomScale="115" zoomScaleNormal="115" workbookViewId="0">
      <selection activeCell="I72" sqref="I72:K76"/>
    </sheetView>
  </sheetViews>
  <sheetFormatPr baseColWidth="10" defaultRowHeight="15" x14ac:dyDescent="0.25"/>
  <cols>
    <col min="1" max="1" width="3.85546875" customWidth="1"/>
    <col min="2" max="2" width="13.42578125" style="258" bestFit="1" customWidth="1"/>
    <col min="3" max="3" width="14.7109375" style="280" customWidth="1"/>
    <col min="4" max="4" width="17.5703125" style="7" bestFit="1" customWidth="1"/>
    <col min="5" max="5" width="12.42578125" style="274" bestFit="1" customWidth="1"/>
    <col min="6" max="6" width="15.5703125" style="7" bestFit="1" customWidth="1"/>
    <col min="7" max="7" width="19.5703125" style="5" bestFit="1" customWidth="1"/>
    <col min="8" max="8" width="8.42578125" customWidth="1"/>
    <col min="9" max="9" width="14.5703125" style="152" customWidth="1"/>
    <col min="10" max="10" width="13.28515625" style="271" customWidth="1"/>
    <col min="11" max="11" width="19.7109375" style="7" bestFit="1" customWidth="1"/>
    <col min="12" max="12" width="12.42578125" style="274" bestFit="1" customWidth="1"/>
    <col min="13" max="13" width="15.140625" style="7" bestFit="1" customWidth="1"/>
    <col min="14" max="14" width="19.5703125" style="5" bestFit="1" customWidth="1"/>
    <col min="20" max="20" width="12.28515625" bestFit="1" customWidth="1"/>
  </cols>
  <sheetData>
    <row r="1" spans="2:14" ht="43.5" thickTop="1" thickBot="1" x14ac:dyDescent="0.3">
      <c r="B1" s="194" t="s">
        <v>37</v>
      </c>
      <c r="C1" s="195"/>
      <c r="D1" s="196"/>
      <c r="E1" s="197"/>
      <c r="F1" s="196"/>
      <c r="G1" s="198" t="s">
        <v>27</v>
      </c>
      <c r="I1" s="199" t="s">
        <v>38</v>
      </c>
      <c r="J1" s="200"/>
      <c r="K1" s="201"/>
      <c r="L1" s="202"/>
      <c r="M1" s="201"/>
      <c r="N1" s="203" t="s">
        <v>27</v>
      </c>
    </row>
    <row r="2" spans="2:14" ht="21.75" customHeight="1" thickTop="1" thickBot="1" x14ac:dyDescent="0.35">
      <c r="B2" s="204" t="s">
        <v>28</v>
      </c>
      <c r="C2" s="205" t="s">
        <v>29</v>
      </c>
      <c r="D2" s="206" t="s">
        <v>30</v>
      </c>
      <c r="E2" s="207" t="s">
        <v>31</v>
      </c>
      <c r="F2" s="208" t="s">
        <v>32</v>
      </c>
      <c r="G2" s="209" t="s">
        <v>33</v>
      </c>
      <c r="I2" s="210" t="s">
        <v>28</v>
      </c>
      <c r="J2" s="211" t="s">
        <v>34</v>
      </c>
      <c r="K2" s="212" t="s">
        <v>30</v>
      </c>
      <c r="L2" s="213" t="s">
        <v>31</v>
      </c>
      <c r="M2" s="212" t="s">
        <v>32</v>
      </c>
      <c r="N2" s="214" t="s">
        <v>33</v>
      </c>
    </row>
    <row r="3" spans="2:14" ht="24" customHeight="1" thickTop="1" x14ac:dyDescent="0.25">
      <c r="B3" s="215">
        <v>44956</v>
      </c>
      <c r="C3" s="216" t="s">
        <v>165</v>
      </c>
      <c r="D3" s="217">
        <v>93517.24</v>
      </c>
      <c r="E3" s="218">
        <v>45000</v>
      </c>
      <c r="F3" s="217">
        <v>93517.24</v>
      </c>
      <c r="G3" s="219">
        <f>D3-F3</f>
        <v>0</v>
      </c>
      <c r="I3" s="235" t="s">
        <v>118</v>
      </c>
      <c r="J3" s="290">
        <v>11442</v>
      </c>
      <c r="K3" s="237">
        <v>9707.2000000000007</v>
      </c>
      <c r="L3" s="409">
        <v>45005</v>
      </c>
      <c r="M3" s="410">
        <v>9707.2000000000007</v>
      </c>
      <c r="N3" s="221">
        <f>K3-M3</f>
        <v>0</v>
      </c>
    </row>
    <row r="4" spans="2:14" ht="18.75" x14ac:dyDescent="0.3">
      <c r="B4" s="222">
        <v>44957</v>
      </c>
      <c r="C4" s="223" t="s">
        <v>166</v>
      </c>
      <c r="D4" s="101">
        <v>13098.5</v>
      </c>
      <c r="E4" s="224">
        <v>45000</v>
      </c>
      <c r="F4" s="101">
        <v>13098.5</v>
      </c>
      <c r="G4" s="225">
        <f t="shared" ref="G4:G65" si="0">D4-F4</f>
        <v>0</v>
      </c>
      <c r="H4" s="226"/>
      <c r="I4" s="287" t="s">
        <v>119</v>
      </c>
      <c r="J4" s="288">
        <v>11455</v>
      </c>
      <c r="K4" s="289">
        <v>480</v>
      </c>
      <c r="L4" s="409">
        <v>45005</v>
      </c>
      <c r="M4" s="410">
        <v>480</v>
      </c>
      <c r="N4" s="227">
        <f>N3+K4-M4</f>
        <v>0</v>
      </c>
    </row>
    <row r="5" spans="2:14" ht="31.5" x14ac:dyDescent="0.25">
      <c r="B5" s="222">
        <v>44958</v>
      </c>
      <c r="C5" s="223" t="s">
        <v>167</v>
      </c>
      <c r="D5" s="101">
        <v>63500.3</v>
      </c>
      <c r="E5" s="332" t="s">
        <v>422</v>
      </c>
      <c r="F5" s="101">
        <f>58042.58+5457.72</f>
        <v>63500.3</v>
      </c>
      <c r="G5" s="225">
        <f t="shared" si="0"/>
        <v>0</v>
      </c>
      <c r="I5" s="352" t="s">
        <v>267</v>
      </c>
      <c r="J5" s="310">
        <v>11457</v>
      </c>
      <c r="K5" s="220">
        <v>480</v>
      </c>
      <c r="L5" s="409">
        <v>45005</v>
      </c>
      <c r="M5" s="411">
        <v>480</v>
      </c>
      <c r="N5" s="227">
        <f t="shared" ref="N5:N65" si="1">N4+K5-M5</f>
        <v>0</v>
      </c>
    </row>
    <row r="6" spans="2:14" ht="15.75" x14ac:dyDescent="0.25">
      <c r="B6" s="222">
        <v>44959</v>
      </c>
      <c r="C6" s="223" t="s">
        <v>168</v>
      </c>
      <c r="D6" s="101">
        <v>97811.32</v>
      </c>
      <c r="E6" s="224">
        <v>45008</v>
      </c>
      <c r="F6" s="101">
        <v>97811.32</v>
      </c>
      <c r="G6" s="225">
        <f t="shared" si="0"/>
        <v>0</v>
      </c>
      <c r="I6" s="352" t="s">
        <v>268</v>
      </c>
      <c r="J6" s="310">
        <v>11469</v>
      </c>
      <c r="K6" s="220">
        <v>360</v>
      </c>
      <c r="L6" s="409">
        <v>45005</v>
      </c>
      <c r="M6" s="411">
        <v>360</v>
      </c>
      <c r="N6" s="227">
        <f t="shared" si="1"/>
        <v>0</v>
      </c>
    </row>
    <row r="7" spans="2:14" ht="15.75" x14ac:dyDescent="0.25">
      <c r="B7" s="222">
        <v>44960</v>
      </c>
      <c r="C7" s="223" t="s">
        <v>169</v>
      </c>
      <c r="D7" s="101">
        <v>23821.599999999999</v>
      </c>
      <c r="E7" s="224">
        <v>45008</v>
      </c>
      <c r="F7" s="101">
        <v>23821.599999999999</v>
      </c>
      <c r="G7" s="225">
        <f t="shared" si="0"/>
        <v>0</v>
      </c>
      <c r="I7" s="352" t="s">
        <v>269</v>
      </c>
      <c r="J7" s="310">
        <v>11483</v>
      </c>
      <c r="K7" s="220">
        <v>3880</v>
      </c>
      <c r="L7" s="409">
        <v>45005</v>
      </c>
      <c r="M7" s="411">
        <v>3880</v>
      </c>
      <c r="N7" s="227">
        <f t="shared" si="1"/>
        <v>0</v>
      </c>
    </row>
    <row r="8" spans="2:14" ht="15.75" x14ac:dyDescent="0.25">
      <c r="B8" s="222">
        <v>44960</v>
      </c>
      <c r="C8" s="223" t="s">
        <v>170</v>
      </c>
      <c r="D8" s="101">
        <v>28550.54</v>
      </c>
      <c r="E8" s="224">
        <v>45008</v>
      </c>
      <c r="F8" s="101">
        <v>28550.54</v>
      </c>
      <c r="G8" s="225">
        <f t="shared" si="0"/>
        <v>0</v>
      </c>
      <c r="I8" s="352" t="s">
        <v>270</v>
      </c>
      <c r="J8" s="310">
        <v>11496</v>
      </c>
      <c r="K8" s="220">
        <v>9763.2000000000007</v>
      </c>
      <c r="L8" s="409">
        <v>45005</v>
      </c>
      <c r="M8" s="411">
        <v>9763.2000000000007</v>
      </c>
      <c r="N8" s="227">
        <f t="shared" si="1"/>
        <v>0</v>
      </c>
    </row>
    <row r="9" spans="2:14" ht="15.75" x14ac:dyDescent="0.25">
      <c r="B9" s="222">
        <v>44961</v>
      </c>
      <c r="C9" s="223" t="s">
        <v>171</v>
      </c>
      <c r="D9" s="101">
        <v>54776.1</v>
      </c>
      <c r="E9" s="224">
        <v>45008</v>
      </c>
      <c r="F9" s="101">
        <v>54776.1</v>
      </c>
      <c r="G9" s="225">
        <f t="shared" si="0"/>
        <v>0</v>
      </c>
      <c r="I9" s="352" t="s">
        <v>271</v>
      </c>
      <c r="J9" s="310">
        <v>11506</v>
      </c>
      <c r="K9" s="220">
        <v>600</v>
      </c>
      <c r="L9" s="409">
        <v>45005</v>
      </c>
      <c r="M9" s="411">
        <v>600</v>
      </c>
      <c r="N9" s="227">
        <f t="shared" si="1"/>
        <v>0</v>
      </c>
    </row>
    <row r="10" spans="2:14" ht="18.75" x14ac:dyDescent="0.3">
      <c r="B10" s="222">
        <v>44963</v>
      </c>
      <c r="C10" s="223" t="s">
        <v>172</v>
      </c>
      <c r="D10" s="101">
        <v>6216</v>
      </c>
      <c r="E10" s="224">
        <v>45008</v>
      </c>
      <c r="F10" s="101">
        <v>6216</v>
      </c>
      <c r="G10" s="225">
        <f t="shared" si="0"/>
        <v>0</v>
      </c>
      <c r="H10" s="226"/>
      <c r="I10" s="352" t="s">
        <v>272</v>
      </c>
      <c r="J10" s="310">
        <v>11517</v>
      </c>
      <c r="K10" s="220">
        <v>9568</v>
      </c>
      <c r="L10" s="409">
        <v>45005</v>
      </c>
      <c r="M10" s="411">
        <v>9568</v>
      </c>
      <c r="N10" s="227">
        <f t="shared" si="1"/>
        <v>0</v>
      </c>
    </row>
    <row r="11" spans="2:14" ht="15.75" x14ac:dyDescent="0.25">
      <c r="B11" s="222">
        <v>44963</v>
      </c>
      <c r="C11" s="223" t="s">
        <v>173</v>
      </c>
      <c r="D11" s="101">
        <v>89707.48</v>
      </c>
      <c r="E11" s="224">
        <v>45008</v>
      </c>
      <c r="F11" s="101">
        <v>89707.48</v>
      </c>
      <c r="G11" s="225">
        <f t="shared" si="0"/>
        <v>0</v>
      </c>
      <c r="I11" s="352" t="s">
        <v>273</v>
      </c>
      <c r="J11" s="310">
        <v>11519</v>
      </c>
      <c r="K11" s="220">
        <v>360</v>
      </c>
      <c r="L11" s="409">
        <v>45005</v>
      </c>
      <c r="M11" s="411">
        <v>360</v>
      </c>
      <c r="N11" s="227">
        <f t="shared" si="1"/>
        <v>0</v>
      </c>
    </row>
    <row r="12" spans="2:14" ht="31.5" x14ac:dyDescent="0.25">
      <c r="B12" s="222">
        <v>44964</v>
      </c>
      <c r="C12" s="223" t="s">
        <v>174</v>
      </c>
      <c r="D12" s="101">
        <v>44780.82</v>
      </c>
      <c r="E12" s="393" t="s">
        <v>423</v>
      </c>
      <c r="F12" s="394">
        <f>15559.74+29221.08</f>
        <v>44780.82</v>
      </c>
      <c r="G12" s="225">
        <f t="shared" si="0"/>
        <v>0</v>
      </c>
      <c r="I12" s="352" t="s">
        <v>274</v>
      </c>
      <c r="J12" s="310">
        <v>11550</v>
      </c>
      <c r="K12" s="220">
        <v>17701.599999999999</v>
      </c>
      <c r="L12" s="409">
        <v>45005</v>
      </c>
      <c r="M12" s="411">
        <v>17701.599999999999</v>
      </c>
      <c r="N12" s="227">
        <f t="shared" si="1"/>
        <v>0</v>
      </c>
    </row>
    <row r="13" spans="2:14" ht="15.75" x14ac:dyDescent="0.25">
      <c r="B13" s="222">
        <v>44965</v>
      </c>
      <c r="C13" s="223" t="s">
        <v>175</v>
      </c>
      <c r="D13" s="101">
        <v>21573</v>
      </c>
      <c r="E13" s="224">
        <v>45013</v>
      </c>
      <c r="F13" s="101">
        <v>21573</v>
      </c>
      <c r="G13" s="225">
        <f t="shared" si="0"/>
        <v>0</v>
      </c>
      <c r="I13" s="352" t="s">
        <v>275</v>
      </c>
      <c r="J13" s="310">
        <v>11554</v>
      </c>
      <c r="K13" s="220">
        <v>600</v>
      </c>
      <c r="L13" s="409">
        <v>45005</v>
      </c>
      <c r="M13" s="411">
        <v>600</v>
      </c>
      <c r="N13" s="227">
        <f t="shared" si="1"/>
        <v>0</v>
      </c>
    </row>
    <row r="14" spans="2:14" ht="15.75" x14ac:dyDescent="0.25">
      <c r="B14" s="222">
        <v>44966</v>
      </c>
      <c r="C14" s="223" t="s">
        <v>176</v>
      </c>
      <c r="D14" s="101">
        <v>30244.83</v>
      </c>
      <c r="E14" s="224">
        <v>45013</v>
      </c>
      <c r="F14" s="101">
        <v>30244.83</v>
      </c>
      <c r="G14" s="225">
        <f t="shared" si="0"/>
        <v>0</v>
      </c>
      <c r="I14" s="352" t="s">
        <v>275</v>
      </c>
      <c r="J14" s="310">
        <v>11559</v>
      </c>
      <c r="K14" s="220">
        <v>600</v>
      </c>
      <c r="L14" s="409">
        <v>45005</v>
      </c>
      <c r="M14" s="411">
        <v>600</v>
      </c>
      <c r="N14" s="227">
        <f t="shared" si="1"/>
        <v>0</v>
      </c>
    </row>
    <row r="15" spans="2:14" ht="15.75" x14ac:dyDescent="0.25">
      <c r="B15" s="222">
        <v>44967</v>
      </c>
      <c r="C15" s="223" t="s">
        <v>177</v>
      </c>
      <c r="D15" s="101">
        <v>10627.4</v>
      </c>
      <c r="E15" s="224">
        <v>45013</v>
      </c>
      <c r="F15" s="101">
        <v>10627.4</v>
      </c>
      <c r="G15" s="225">
        <f t="shared" si="0"/>
        <v>0</v>
      </c>
      <c r="I15" s="352" t="s">
        <v>276</v>
      </c>
      <c r="J15" s="310">
        <v>11572</v>
      </c>
      <c r="K15" s="220">
        <v>15001</v>
      </c>
      <c r="L15" s="409">
        <v>45005</v>
      </c>
      <c r="M15" s="411">
        <v>15001</v>
      </c>
      <c r="N15" s="227">
        <f t="shared" si="1"/>
        <v>0</v>
      </c>
    </row>
    <row r="16" spans="2:14" ht="31.5" x14ac:dyDescent="0.25">
      <c r="B16" s="222">
        <v>44968</v>
      </c>
      <c r="C16" s="223" t="s">
        <v>178</v>
      </c>
      <c r="D16" s="101">
        <v>106320.8</v>
      </c>
      <c r="E16" s="332" t="s">
        <v>424</v>
      </c>
      <c r="F16" s="101">
        <f>19669.27+86651.53</f>
        <v>106320.8</v>
      </c>
      <c r="G16" s="225">
        <f t="shared" si="0"/>
        <v>0</v>
      </c>
      <c r="I16" s="352" t="s">
        <v>277</v>
      </c>
      <c r="J16" s="310">
        <v>11577</v>
      </c>
      <c r="K16" s="220">
        <v>360</v>
      </c>
      <c r="L16" s="409">
        <v>45005</v>
      </c>
      <c r="M16" s="411">
        <v>360</v>
      </c>
      <c r="N16" s="227">
        <f t="shared" si="1"/>
        <v>0</v>
      </c>
    </row>
    <row r="17" spans="1:20" ht="15.75" x14ac:dyDescent="0.25">
      <c r="B17" s="222">
        <v>44970</v>
      </c>
      <c r="C17" s="223" t="s">
        <v>179</v>
      </c>
      <c r="D17" s="101">
        <v>15558.9</v>
      </c>
      <c r="E17" s="224">
        <v>45014</v>
      </c>
      <c r="F17" s="101">
        <v>15558.9</v>
      </c>
      <c r="G17" s="225">
        <f t="shared" si="0"/>
        <v>0</v>
      </c>
      <c r="I17" s="352" t="s">
        <v>277</v>
      </c>
      <c r="J17" s="310">
        <v>11582</v>
      </c>
      <c r="K17" s="220">
        <v>6566.4</v>
      </c>
      <c r="L17" s="409">
        <v>45005</v>
      </c>
      <c r="M17" s="411">
        <v>6566.4</v>
      </c>
      <c r="N17" s="227">
        <f t="shared" si="1"/>
        <v>0</v>
      </c>
    </row>
    <row r="18" spans="1:20" ht="15.75" x14ac:dyDescent="0.25">
      <c r="B18" s="222">
        <v>44971</v>
      </c>
      <c r="C18" s="223" t="s">
        <v>180</v>
      </c>
      <c r="D18" s="101">
        <v>38966</v>
      </c>
      <c r="E18" s="224">
        <v>45014</v>
      </c>
      <c r="F18" s="101">
        <v>38966</v>
      </c>
      <c r="G18" s="225">
        <f t="shared" si="0"/>
        <v>0</v>
      </c>
      <c r="I18" s="352" t="s">
        <v>278</v>
      </c>
      <c r="J18" s="310">
        <v>11587</v>
      </c>
      <c r="K18" s="220">
        <v>600</v>
      </c>
      <c r="L18" s="409">
        <v>45005</v>
      </c>
      <c r="M18" s="411">
        <v>600</v>
      </c>
      <c r="N18" s="227">
        <f t="shared" si="1"/>
        <v>0</v>
      </c>
    </row>
    <row r="19" spans="1:20" ht="15.75" x14ac:dyDescent="0.25">
      <c r="B19" s="222">
        <v>44972</v>
      </c>
      <c r="C19" s="223" t="s">
        <v>181</v>
      </c>
      <c r="D19" s="101">
        <v>22837.8</v>
      </c>
      <c r="E19" s="224">
        <v>45014</v>
      </c>
      <c r="F19" s="101">
        <v>22837.8</v>
      </c>
      <c r="G19" s="225">
        <f t="shared" si="0"/>
        <v>0</v>
      </c>
      <c r="I19" s="352" t="s">
        <v>279</v>
      </c>
      <c r="J19" s="310">
        <v>11615</v>
      </c>
      <c r="K19" s="220">
        <v>360</v>
      </c>
      <c r="L19" s="409">
        <v>45005</v>
      </c>
      <c r="M19" s="411">
        <v>360</v>
      </c>
      <c r="N19" s="227">
        <f t="shared" si="1"/>
        <v>0</v>
      </c>
    </row>
    <row r="20" spans="1:20" ht="15.75" x14ac:dyDescent="0.25">
      <c r="B20" s="222">
        <v>44972</v>
      </c>
      <c r="C20" s="223" t="s">
        <v>182</v>
      </c>
      <c r="D20" s="101">
        <v>3940.89</v>
      </c>
      <c r="E20" s="224">
        <v>45014</v>
      </c>
      <c r="F20" s="101">
        <v>3940.89</v>
      </c>
      <c r="G20" s="225">
        <f t="shared" si="0"/>
        <v>0</v>
      </c>
      <c r="I20" s="352" t="s">
        <v>280</v>
      </c>
      <c r="J20" s="310">
        <v>11637</v>
      </c>
      <c r="K20" s="220">
        <v>9180</v>
      </c>
      <c r="L20" s="409">
        <v>45005</v>
      </c>
      <c r="M20" s="411">
        <v>9180</v>
      </c>
      <c r="N20" s="227">
        <f t="shared" si="1"/>
        <v>0</v>
      </c>
    </row>
    <row r="21" spans="1:20" ht="31.5" x14ac:dyDescent="0.25">
      <c r="B21" s="222">
        <v>44973</v>
      </c>
      <c r="C21" s="223" t="s">
        <v>183</v>
      </c>
      <c r="D21" s="101">
        <v>91161.2</v>
      </c>
      <c r="E21" s="332" t="s">
        <v>425</v>
      </c>
      <c r="F21" s="101">
        <f>27775.38+63385.82</f>
        <v>91161.2</v>
      </c>
      <c r="G21" s="225">
        <f t="shared" si="0"/>
        <v>0</v>
      </c>
      <c r="I21" s="352" t="s">
        <v>281</v>
      </c>
      <c r="J21" s="310">
        <v>11643</v>
      </c>
      <c r="K21" s="220">
        <v>360</v>
      </c>
      <c r="L21" s="409">
        <v>45005</v>
      </c>
      <c r="M21" s="411">
        <v>360</v>
      </c>
      <c r="N21" s="227">
        <f t="shared" si="1"/>
        <v>0</v>
      </c>
    </row>
    <row r="22" spans="1:20" ht="18.75" x14ac:dyDescent="0.3">
      <c r="B22" s="222">
        <v>44974</v>
      </c>
      <c r="C22" s="223" t="s">
        <v>184</v>
      </c>
      <c r="D22" s="101">
        <v>7864.6</v>
      </c>
      <c r="E22" s="224">
        <v>45020</v>
      </c>
      <c r="F22" s="101">
        <v>7864.6</v>
      </c>
      <c r="G22" s="225">
        <f t="shared" si="0"/>
        <v>0</v>
      </c>
      <c r="H22" s="232"/>
      <c r="I22" s="352" t="s">
        <v>282</v>
      </c>
      <c r="J22" s="310">
        <v>11656</v>
      </c>
      <c r="K22" s="220">
        <v>360</v>
      </c>
      <c r="L22" s="409">
        <v>45005</v>
      </c>
      <c r="M22" s="411">
        <v>360</v>
      </c>
      <c r="N22" s="227">
        <f t="shared" si="1"/>
        <v>0</v>
      </c>
    </row>
    <row r="23" spans="1:20" ht="15.75" x14ac:dyDescent="0.25">
      <c r="B23" s="222">
        <v>44974</v>
      </c>
      <c r="C23" s="223" t="s">
        <v>185</v>
      </c>
      <c r="D23" s="101">
        <v>56418.54</v>
      </c>
      <c r="E23" s="224">
        <v>45020</v>
      </c>
      <c r="F23" s="101">
        <v>56418.54</v>
      </c>
      <c r="G23" s="225">
        <f t="shared" si="0"/>
        <v>0</v>
      </c>
      <c r="H23" s="233"/>
      <c r="I23" s="352" t="s">
        <v>283</v>
      </c>
      <c r="J23" s="310">
        <v>11683</v>
      </c>
      <c r="K23" s="220">
        <v>360</v>
      </c>
      <c r="L23" s="409">
        <v>45005</v>
      </c>
      <c r="M23" s="411">
        <v>360</v>
      </c>
      <c r="N23" s="227">
        <f t="shared" si="1"/>
        <v>0</v>
      </c>
    </row>
    <row r="24" spans="1:20" ht="21" customHeight="1" x14ac:dyDescent="0.25">
      <c r="B24" s="222">
        <v>44975</v>
      </c>
      <c r="C24" s="223" t="s">
        <v>186</v>
      </c>
      <c r="D24" s="101">
        <v>255285.95</v>
      </c>
      <c r="E24" s="224">
        <v>45020</v>
      </c>
      <c r="F24" s="101">
        <v>255285.95</v>
      </c>
      <c r="G24" s="225">
        <f t="shared" si="0"/>
        <v>0</v>
      </c>
      <c r="H24" s="233"/>
      <c r="I24" s="352" t="s">
        <v>284</v>
      </c>
      <c r="J24" s="310">
        <v>11694</v>
      </c>
      <c r="K24" s="220">
        <v>11071.8</v>
      </c>
      <c r="L24" s="409">
        <v>45005</v>
      </c>
      <c r="M24" s="411">
        <v>11071.8</v>
      </c>
      <c r="N24" s="227">
        <f t="shared" si="1"/>
        <v>0</v>
      </c>
    </row>
    <row r="25" spans="1:20" ht="15.75" x14ac:dyDescent="0.25">
      <c r="B25" s="222">
        <v>44975</v>
      </c>
      <c r="C25" s="223" t="s">
        <v>187</v>
      </c>
      <c r="D25" s="101">
        <v>7950</v>
      </c>
      <c r="E25" s="224">
        <v>45020</v>
      </c>
      <c r="F25" s="101">
        <v>7950</v>
      </c>
      <c r="G25" s="225">
        <f t="shared" si="0"/>
        <v>0</v>
      </c>
      <c r="H25" s="234"/>
      <c r="I25" s="352" t="s">
        <v>285</v>
      </c>
      <c r="J25" s="310">
        <v>11710</v>
      </c>
      <c r="K25" s="220">
        <v>360</v>
      </c>
      <c r="L25" s="409">
        <v>45005</v>
      </c>
      <c r="M25" s="411">
        <v>360</v>
      </c>
      <c r="N25" s="227">
        <f t="shared" si="1"/>
        <v>0</v>
      </c>
    </row>
    <row r="26" spans="1:20" ht="15.75" x14ac:dyDescent="0.25">
      <c r="B26" s="222">
        <v>44977</v>
      </c>
      <c r="C26" s="223" t="s">
        <v>188</v>
      </c>
      <c r="D26" s="101">
        <v>48571.5</v>
      </c>
      <c r="E26" s="224">
        <v>45020</v>
      </c>
      <c r="F26" s="101">
        <v>48571.5</v>
      </c>
      <c r="G26" s="225">
        <f t="shared" si="0"/>
        <v>0</v>
      </c>
      <c r="H26" s="234"/>
      <c r="I26" s="352" t="s">
        <v>286</v>
      </c>
      <c r="J26" s="310">
        <v>11715</v>
      </c>
      <c r="K26" s="220">
        <v>600</v>
      </c>
      <c r="L26" s="409">
        <v>45005</v>
      </c>
      <c r="M26" s="411">
        <v>600</v>
      </c>
      <c r="N26" s="227">
        <f t="shared" si="1"/>
        <v>0</v>
      </c>
      <c r="Q26" s="277"/>
      <c r="R26" s="278"/>
      <c r="S26" s="382"/>
      <c r="T26" s="279"/>
    </row>
    <row r="27" spans="1:20" ht="15.75" x14ac:dyDescent="0.25">
      <c r="B27" s="222">
        <v>44978</v>
      </c>
      <c r="C27" s="223" t="s">
        <v>189</v>
      </c>
      <c r="D27" s="101">
        <v>22975.1</v>
      </c>
      <c r="E27" s="224">
        <v>45020</v>
      </c>
      <c r="F27" s="101">
        <v>22975.1</v>
      </c>
      <c r="G27" s="225">
        <f t="shared" si="0"/>
        <v>0</v>
      </c>
      <c r="H27" s="234"/>
      <c r="I27" s="381">
        <v>44986</v>
      </c>
      <c r="J27" s="310">
        <v>11727</v>
      </c>
      <c r="K27" s="220">
        <v>360</v>
      </c>
      <c r="L27" s="409">
        <v>45005</v>
      </c>
      <c r="M27" s="411">
        <v>360</v>
      </c>
      <c r="N27" s="227">
        <f t="shared" si="1"/>
        <v>0</v>
      </c>
      <c r="Q27" s="277"/>
      <c r="R27" s="278"/>
      <c r="S27" s="382"/>
      <c r="T27" s="279"/>
    </row>
    <row r="28" spans="1:20" ht="15.75" x14ac:dyDescent="0.25">
      <c r="B28" s="222">
        <v>44978</v>
      </c>
      <c r="C28" s="223" t="s">
        <v>190</v>
      </c>
      <c r="D28" s="101">
        <v>6000</v>
      </c>
      <c r="E28" s="224">
        <v>45020</v>
      </c>
      <c r="F28" s="101">
        <v>6000</v>
      </c>
      <c r="G28" s="225">
        <f t="shared" si="0"/>
        <v>0</v>
      </c>
      <c r="H28" s="234"/>
      <c r="I28" s="381">
        <v>44987</v>
      </c>
      <c r="J28" s="310">
        <v>11740</v>
      </c>
      <c r="K28" s="220">
        <v>11482.8</v>
      </c>
      <c r="L28" s="409">
        <v>45005</v>
      </c>
      <c r="M28" s="411">
        <v>11482.8</v>
      </c>
      <c r="N28" s="227">
        <f t="shared" si="1"/>
        <v>0</v>
      </c>
      <c r="Q28" s="233"/>
      <c r="R28" s="233"/>
      <c r="S28" s="233"/>
      <c r="T28" s="233"/>
    </row>
    <row r="29" spans="1:20" ht="15.75" x14ac:dyDescent="0.25">
      <c r="B29" s="222">
        <v>44979</v>
      </c>
      <c r="C29" s="223" t="s">
        <v>191</v>
      </c>
      <c r="D29" s="101">
        <v>5547</v>
      </c>
      <c r="E29" s="224">
        <v>45020</v>
      </c>
      <c r="F29" s="101">
        <v>5547</v>
      </c>
      <c r="G29" s="225">
        <f t="shared" si="0"/>
        <v>0</v>
      </c>
      <c r="H29" s="234"/>
      <c r="I29" s="381">
        <v>44988</v>
      </c>
      <c r="J29" s="310">
        <v>0</v>
      </c>
      <c r="K29" s="220">
        <v>0</v>
      </c>
      <c r="L29" s="224"/>
      <c r="M29" s="101"/>
      <c r="N29" s="227">
        <f t="shared" si="1"/>
        <v>0</v>
      </c>
    </row>
    <row r="30" spans="1:20" ht="15.75" x14ac:dyDescent="0.25">
      <c r="A30" s="31"/>
      <c r="B30" s="222">
        <v>44980</v>
      </c>
      <c r="C30" s="223" t="s">
        <v>192</v>
      </c>
      <c r="D30" s="101">
        <v>89040.4</v>
      </c>
      <c r="E30" s="224">
        <v>45020</v>
      </c>
      <c r="F30" s="101">
        <v>89040.4</v>
      </c>
      <c r="G30" s="225">
        <f t="shared" si="0"/>
        <v>0</v>
      </c>
      <c r="H30" s="234"/>
      <c r="I30" s="354"/>
      <c r="J30" s="281"/>
      <c r="K30" s="237"/>
      <c r="L30" s="224"/>
      <c r="M30" s="101"/>
      <c r="N30" s="227">
        <f t="shared" si="1"/>
        <v>0</v>
      </c>
    </row>
    <row r="31" spans="1:20" ht="15.75" x14ac:dyDescent="0.25">
      <c r="B31" s="222">
        <v>44981</v>
      </c>
      <c r="C31" s="223" t="s">
        <v>193</v>
      </c>
      <c r="D31" s="101">
        <v>119560.24</v>
      </c>
      <c r="E31" s="224">
        <v>45020</v>
      </c>
      <c r="F31" s="101">
        <v>119560.24</v>
      </c>
      <c r="G31" s="225">
        <f t="shared" si="0"/>
        <v>0</v>
      </c>
      <c r="H31" s="233"/>
      <c r="I31" s="274"/>
      <c r="J31"/>
      <c r="K31" s="5">
        <v>0</v>
      </c>
      <c r="L31" s="224"/>
      <c r="M31" s="101"/>
      <c r="N31" s="227">
        <f t="shared" si="1"/>
        <v>0</v>
      </c>
    </row>
    <row r="32" spans="1:20" ht="15.75" x14ac:dyDescent="0.25">
      <c r="B32" s="222">
        <v>44982</v>
      </c>
      <c r="C32" s="223" t="s">
        <v>194</v>
      </c>
      <c r="D32" s="101">
        <v>84723.4</v>
      </c>
      <c r="E32" s="224">
        <v>45020</v>
      </c>
      <c r="F32" s="101">
        <v>84723.4</v>
      </c>
      <c r="G32" s="225">
        <f t="shared" si="0"/>
        <v>0</v>
      </c>
      <c r="H32" s="233"/>
      <c r="I32" s="274"/>
      <c r="J32"/>
      <c r="K32" s="5">
        <v>0</v>
      </c>
      <c r="L32" s="224"/>
      <c r="M32" s="101"/>
      <c r="N32" s="227">
        <f t="shared" si="1"/>
        <v>0</v>
      </c>
    </row>
    <row r="33" spans="2:14" ht="15.75" x14ac:dyDescent="0.25">
      <c r="B33" s="222">
        <v>44984</v>
      </c>
      <c r="C33" s="223" t="s">
        <v>195</v>
      </c>
      <c r="D33" s="101">
        <v>50119.18</v>
      </c>
      <c r="E33" s="224">
        <v>45020</v>
      </c>
      <c r="F33" s="101">
        <v>50119.18</v>
      </c>
      <c r="G33" s="225">
        <f t="shared" si="0"/>
        <v>0</v>
      </c>
      <c r="I33" s="274"/>
      <c r="J33"/>
      <c r="K33" s="5">
        <v>0</v>
      </c>
      <c r="L33" s="224"/>
      <c r="M33" s="101"/>
      <c r="N33" s="227">
        <f t="shared" si="1"/>
        <v>0</v>
      </c>
    </row>
    <row r="34" spans="2:14" ht="18.75" x14ac:dyDescent="0.3">
      <c r="B34" s="222">
        <v>44985</v>
      </c>
      <c r="C34" s="223" t="s">
        <v>196</v>
      </c>
      <c r="D34" s="101">
        <v>13491.2</v>
      </c>
      <c r="E34" s="224">
        <v>45020</v>
      </c>
      <c r="F34" s="101">
        <v>13491.2</v>
      </c>
      <c r="G34" s="225">
        <f t="shared" si="0"/>
        <v>0</v>
      </c>
      <c r="I34" s="274"/>
      <c r="J34"/>
      <c r="K34" s="167"/>
      <c r="L34" s="224"/>
      <c r="M34" s="101"/>
      <c r="N34" s="227">
        <f t="shared" si="1"/>
        <v>0</v>
      </c>
    </row>
    <row r="35" spans="2:14" ht="30" x14ac:dyDescent="0.25">
      <c r="B35" s="222">
        <v>44987</v>
      </c>
      <c r="C35" s="223" t="s">
        <v>197</v>
      </c>
      <c r="D35" s="101">
        <v>137215.21</v>
      </c>
      <c r="E35" s="398" t="s">
        <v>426</v>
      </c>
      <c r="F35" s="101">
        <f>110917.07+26298.14</f>
        <v>137215.21000000002</v>
      </c>
      <c r="G35" s="225">
        <f t="shared" si="0"/>
        <v>0</v>
      </c>
      <c r="I35" s="235"/>
      <c r="J35" s="236"/>
      <c r="K35" s="237"/>
      <c r="L35" s="224"/>
      <c r="M35" s="101"/>
      <c r="N35" s="227">
        <f t="shared" si="1"/>
        <v>0</v>
      </c>
    </row>
    <row r="36" spans="2:14" ht="15.75" x14ac:dyDescent="0.25">
      <c r="B36" s="222">
        <v>44987</v>
      </c>
      <c r="C36" s="223" t="s">
        <v>198</v>
      </c>
      <c r="D36" s="101">
        <v>11208</v>
      </c>
      <c r="E36" s="224">
        <v>45026</v>
      </c>
      <c r="F36" s="101">
        <v>11208</v>
      </c>
      <c r="G36" s="225">
        <f t="shared" si="0"/>
        <v>0</v>
      </c>
      <c r="I36" s="489"/>
      <c r="J36" s="490"/>
      <c r="K36" s="490"/>
      <c r="L36" s="491"/>
      <c r="M36" s="101"/>
      <c r="N36" s="227">
        <f t="shared" si="1"/>
        <v>0</v>
      </c>
    </row>
    <row r="37" spans="2:14" ht="15.75" x14ac:dyDescent="0.25">
      <c r="B37" s="222">
        <v>44987</v>
      </c>
      <c r="C37" s="223" t="s">
        <v>199</v>
      </c>
      <c r="D37" s="101">
        <v>4184.6000000000004</v>
      </c>
      <c r="E37" s="224">
        <v>45026</v>
      </c>
      <c r="F37" s="101">
        <v>4184.6000000000004</v>
      </c>
      <c r="G37" s="225">
        <f t="shared" si="0"/>
        <v>0</v>
      </c>
      <c r="I37" s="489"/>
      <c r="J37" s="490"/>
      <c r="K37" s="490"/>
      <c r="L37" s="491"/>
      <c r="M37" s="101"/>
      <c r="N37" s="227">
        <f t="shared" si="1"/>
        <v>0</v>
      </c>
    </row>
    <row r="38" spans="2:14" ht="15.75" x14ac:dyDescent="0.25">
      <c r="B38" s="222">
        <v>44988</v>
      </c>
      <c r="C38" s="223" t="s">
        <v>200</v>
      </c>
      <c r="D38" s="101">
        <v>53684.03</v>
      </c>
      <c r="E38" s="224">
        <v>45026</v>
      </c>
      <c r="F38" s="101">
        <v>53684.03</v>
      </c>
      <c r="G38" s="225">
        <f t="shared" si="0"/>
        <v>0</v>
      </c>
      <c r="I38" s="228"/>
      <c r="J38" s="229"/>
      <c r="K38" s="230"/>
      <c r="L38" s="224"/>
      <c r="M38" s="101"/>
      <c r="N38" s="227">
        <f t="shared" si="1"/>
        <v>0</v>
      </c>
    </row>
    <row r="39" spans="2:14" ht="15.75" x14ac:dyDescent="0.25">
      <c r="B39" s="222"/>
      <c r="C39" s="223"/>
      <c r="D39" s="101"/>
      <c r="E39" s="238"/>
      <c r="F39" s="84"/>
      <c r="G39" s="101">
        <f t="shared" si="0"/>
        <v>0</v>
      </c>
      <c r="I39" s="239"/>
      <c r="J39" s="240"/>
      <c r="K39" s="84"/>
      <c r="L39" s="238"/>
      <c r="M39" s="84"/>
      <c r="N39" s="227">
        <f t="shared" si="1"/>
        <v>0</v>
      </c>
    </row>
    <row r="40" spans="2:14" ht="15.75" x14ac:dyDescent="0.25">
      <c r="B40" s="222"/>
      <c r="C40" s="223"/>
      <c r="D40" s="101"/>
      <c r="E40" s="238"/>
      <c r="F40" s="84"/>
      <c r="G40" s="101">
        <f t="shared" si="0"/>
        <v>0</v>
      </c>
      <c r="I40" s="492" t="s">
        <v>35</v>
      </c>
      <c r="J40" s="493"/>
      <c r="K40" s="84"/>
      <c r="L40" s="238"/>
      <c r="M40" s="84"/>
      <c r="N40" s="227">
        <f t="shared" si="1"/>
        <v>0</v>
      </c>
    </row>
    <row r="41" spans="2:14" ht="15.75" x14ac:dyDescent="0.25">
      <c r="B41" s="241"/>
      <c r="C41" s="242"/>
      <c r="D41" s="243"/>
      <c r="E41" s="238"/>
      <c r="F41" s="84"/>
      <c r="G41" s="101">
        <f t="shared" si="0"/>
        <v>0</v>
      </c>
      <c r="I41" s="494"/>
      <c r="J41" s="495"/>
      <c r="K41" s="84"/>
      <c r="L41" s="238"/>
      <c r="M41" s="84"/>
      <c r="N41" s="227">
        <f t="shared" si="1"/>
        <v>0</v>
      </c>
    </row>
    <row r="42" spans="2:14" ht="15.75" x14ac:dyDescent="0.25">
      <c r="B42" s="241"/>
      <c r="C42" s="242"/>
      <c r="D42" s="243"/>
      <c r="E42" s="238"/>
      <c r="F42" s="84"/>
      <c r="G42" s="101">
        <f t="shared" si="0"/>
        <v>0</v>
      </c>
      <c r="I42" s="496"/>
      <c r="J42" s="497"/>
      <c r="K42" s="84"/>
      <c r="L42" s="238"/>
      <c r="M42" s="84"/>
      <c r="N42" s="227">
        <f t="shared" si="1"/>
        <v>0</v>
      </c>
    </row>
    <row r="43" spans="2:14" ht="15.75" x14ac:dyDescent="0.25">
      <c r="B43" s="244"/>
      <c r="C43" s="245"/>
      <c r="D43" s="101"/>
      <c r="E43" s="238"/>
      <c r="F43" s="84"/>
      <c r="G43" s="101">
        <f t="shared" si="0"/>
        <v>0</v>
      </c>
      <c r="I43" s="239"/>
      <c r="J43" s="240"/>
      <c r="K43" s="84"/>
      <c r="L43" s="238"/>
      <c r="M43" s="84"/>
      <c r="N43" s="227">
        <f t="shared" si="1"/>
        <v>0</v>
      </c>
    </row>
    <row r="44" spans="2:14" ht="15.75" x14ac:dyDescent="0.25">
      <c r="B44" s="246"/>
      <c r="C44" s="245"/>
      <c r="D44" s="101"/>
      <c r="E44" s="238"/>
      <c r="F44" s="84"/>
      <c r="G44" s="101">
        <f t="shared" si="0"/>
        <v>0</v>
      </c>
      <c r="I44" s="239"/>
      <c r="J44" s="240"/>
      <c r="K44" s="84"/>
      <c r="L44" s="238"/>
      <c r="M44" s="84"/>
      <c r="N44" s="227">
        <f t="shared" si="1"/>
        <v>0</v>
      </c>
    </row>
    <row r="45" spans="2:14" ht="15.75" x14ac:dyDescent="0.25">
      <c r="B45" s="246"/>
      <c r="C45" s="245"/>
      <c r="D45" s="101"/>
      <c r="E45" s="238"/>
      <c r="F45" s="84"/>
      <c r="G45" s="101">
        <f t="shared" si="0"/>
        <v>0</v>
      </c>
      <c r="I45" s="239"/>
      <c r="J45" s="240"/>
      <c r="K45" s="84"/>
      <c r="L45" s="238"/>
      <c r="M45" s="84"/>
      <c r="N45" s="227">
        <f t="shared" si="1"/>
        <v>0</v>
      </c>
    </row>
    <row r="46" spans="2:14" ht="15.75" x14ac:dyDescent="0.25">
      <c r="B46" s="247"/>
      <c r="C46" s="248"/>
      <c r="D46" s="84"/>
      <c r="E46" s="238"/>
      <c r="F46" s="84"/>
      <c r="G46" s="101">
        <f t="shared" si="0"/>
        <v>0</v>
      </c>
      <c r="I46" s="239"/>
      <c r="J46" s="240"/>
      <c r="K46" s="84"/>
      <c r="L46" s="238"/>
      <c r="M46" s="84"/>
      <c r="N46" s="227">
        <f t="shared" si="1"/>
        <v>0</v>
      </c>
    </row>
    <row r="47" spans="2:14" ht="15.75" x14ac:dyDescent="0.25">
      <c r="B47" s="239"/>
      <c r="C47" s="248"/>
      <c r="D47" s="84"/>
      <c r="E47" s="238"/>
      <c r="F47" s="84"/>
      <c r="G47" s="101">
        <f t="shared" si="0"/>
        <v>0</v>
      </c>
      <c r="I47" s="239"/>
      <c r="J47" s="240"/>
      <c r="K47" s="84"/>
      <c r="L47" s="238"/>
      <c r="M47" s="84"/>
      <c r="N47" s="227">
        <f t="shared" si="1"/>
        <v>0</v>
      </c>
    </row>
    <row r="48" spans="2:14" ht="15.75" x14ac:dyDescent="0.25">
      <c r="B48" s="239"/>
      <c r="C48" s="248"/>
      <c r="D48" s="84"/>
      <c r="E48" s="238"/>
      <c r="F48" s="84"/>
      <c r="G48" s="101">
        <f t="shared" si="0"/>
        <v>0</v>
      </c>
      <c r="I48" s="239"/>
      <c r="J48" s="240"/>
      <c r="K48" s="84"/>
      <c r="L48" s="238"/>
      <c r="M48" s="84"/>
      <c r="N48" s="227">
        <f t="shared" si="1"/>
        <v>0</v>
      </c>
    </row>
    <row r="49" spans="2:14" ht="15.75" hidden="1" x14ac:dyDescent="0.25">
      <c r="B49" s="239"/>
      <c r="C49" s="249"/>
      <c r="D49" s="84"/>
      <c r="E49" s="238"/>
      <c r="F49" s="84"/>
      <c r="G49" s="101">
        <f t="shared" si="0"/>
        <v>0</v>
      </c>
      <c r="I49" s="239"/>
      <c r="J49" s="240"/>
      <c r="K49" s="84"/>
      <c r="L49" s="238"/>
      <c r="M49" s="84"/>
      <c r="N49" s="227">
        <f t="shared" si="1"/>
        <v>0</v>
      </c>
    </row>
    <row r="50" spans="2:14" ht="15.75" hidden="1" x14ac:dyDescent="0.25">
      <c r="B50" s="239"/>
      <c r="C50" s="240"/>
      <c r="D50" s="84"/>
      <c r="E50" s="250"/>
      <c r="F50" s="84"/>
      <c r="G50" s="101">
        <f t="shared" si="0"/>
        <v>0</v>
      </c>
      <c r="I50" s="251"/>
      <c r="J50" s="252"/>
      <c r="K50" s="44"/>
      <c r="L50" s="177"/>
      <c r="M50" s="44"/>
      <c r="N50" s="227">
        <f t="shared" si="1"/>
        <v>0</v>
      </c>
    </row>
    <row r="51" spans="2:14" ht="15.75" hidden="1" x14ac:dyDescent="0.25">
      <c r="B51" s="239"/>
      <c r="C51" s="240"/>
      <c r="D51" s="84"/>
      <c r="E51" s="250"/>
      <c r="F51" s="84"/>
      <c r="G51" s="101">
        <f t="shared" si="0"/>
        <v>0</v>
      </c>
      <c r="I51" s="251"/>
      <c r="J51" s="252"/>
      <c r="K51" s="44"/>
      <c r="L51" s="177"/>
      <c r="M51" s="44"/>
      <c r="N51" s="227">
        <f t="shared" si="1"/>
        <v>0</v>
      </c>
    </row>
    <row r="52" spans="2:14" ht="15.75" hidden="1" x14ac:dyDescent="0.25">
      <c r="B52" s="239"/>
      <c r="C52" s="240"/>
      <c r="D52" s="84"/>
      <c r="E52" s="250"/>
      <c r="F52" s="84"/>
      <c r="G52" s="101">
        <f t="shared" si="0"/>
        <v>0</v>
      </c>
      <c r="I52" s="251"/>
      <c r="J52" s="252"/>
      <c r="K52" s="44"/>
      <c r="L52" s="177"/>
      <c r="M52" s="44"/>
      <c r="N52" s="227">
        <f t="shared" si="1"/>
        <v>0</v>
      </c>
    </row>
    <row r="53" spans="2:14" ht="15.75" hidden="1" x14ac:dyDescent="0.25">
      <c r="B53" s="239"/>
      <c r="C53" s="240"/>
      <c r="D53" s="84"/>
      <c r="E53" s="250"/>
      <c r="F53" s="84"/>
      <c r="G53" s="101">
        <f t="shared" si="0"/>
        <v>0</v>
      </c>
      <c r="I53" s="251"/>
      <c r="J53" s="252"/>
      <c r="K53" s="44"/>
      <c r="L53" s="177"/>
      <c r="M53" s="44"/>
      <c r="N53" s="227">
        <f t="shared" si="1"/>
        <v>0</v>
      </c>
    </row>
    <row r="54" spans="2:14" ht="15.75" hidden="1" x14ac:dyDescent="0.25">
      <c r="B54" s="239"/>
      <c r="C54" s="240"/>
      <c r="D54" s="84"/>
      <c r="E54" s="250"/>
      <c r="F54" s="84"/>
      <c r="G54" s="101">
        <f t="shared" si="0"/>
        <v>0</v>
      </c>
      <c r="I54" s="251"/>
      <c r="J54" s="252"/>
      <c r="K54" s="44"/>
      <c r="L54" s="177"/>
      <c r="M54" s="44"/>
      <c r="N54" s="227">
        <f t="shared" si="1"/>
        <v>0</v>
      </c>
    </row>
    <row r="55" spans="2:14" ht="15.75" hidden="1" x14ac:dyDescent="0.25">
      <c r="B55" s="251"/>
      <c r="C55" s="252"/>
      <c r="D55" s="44"/>
      <c r="E55" s="177"/>
      <c r="F55" s="44"/>
      <c r="G55" s="101">
        <f t="shared" si="0"/>
        <v>0</v>
      </c>
      <c r="I55" s="251"/>
      <c r="J55" s="252"/>
      <c r="K55" s="44"/>
      <c r="L55" s="177"/>
      <c r="M55" s="44"/>
      <c r="N55" s="227">
        <f t="shared" si="1"/>
        <v>0</v>
      </c>
    </row>
    <row r="56" spans="2:14" ht="15.75" hidden="1" x14ac:dyDescent="0.25">
      <c r="B56" s="239"/>
      <c r="C56" s="240"/>
      <c r="D56" s="84"/>
      <c r="E56" s="250"/>
      <c r="F56" s="84"/>
      <c r="G56" s="101">
        <f t="shared" si="0"/>
        <v>0</v>
      </c>
      <c r="I56" s="239"/>
      <c r="J56" s="240"/>
      <c r="K56" s="84"/>
      <c r="L56" s="250"/>
      <c r="M56" s="84"/>
      <c r="N56" s="227">
        <f t="shared" si="1"/>
        <v>0</v>
      </c>
    </row>
    <row r="57" spans="2:14" ht="15.75" hidden="1" x14ac:dyDescent="0.25">
      <c r="B57" s="239"/>
      <c r="C57" s="240"/>
      <c r="D57" s="84"/>
      <c r="E57" s="250"/>
      <c r="F57" s="84"/>
      <c r="G57" s="101">
        <f t="shared" si="0"/>
        <v>0</v>
      </c>
      <c r="I57" s="239"/>
      <c r="J57" s="240"/>
      <c r="K57" s="84"/>
      <c r="L57" s="250"/>
      <c r="M57" s="84"/>
      <c r="N57" s="227">
        <f t="shared" si="1"/>
        <v>0</v>
      </c>
    </row>
    <row r="58" spans="2:14" ht="15.75" hidden="1" x14ac:dyDescent="0.25">
      <c r="B58" s="239"/>
      <c r="C58" s="240"/>
      <c r="D58" s="84"/>
      <c r="E58" s="250"/>
      <c r="F58" s="84"/>
      <c r="G58" s="101">
        <f t="shared" si="0"/>
        <v>0</v>
      </c>
      <c r="I58" s="239"/>
      <c r="J58" s="240"/>
      <c r="K58" s="84"/>
      <c r="L58" s="250"/>
      <c r="M58" s="84"/>
      <c r="N58" s="227">
        <f t="shared" si="1"/>
        <v>0</v>
      </c>
    </row>
    <row r="59" spans="2:14" ht="15.75" hidden="1" x14ac:dyDescent="0.25">
      <c r="B59" s="239"/>
      <c r="C59" s="240"/>
      <c r="D59" s="84"/>
      <c r="E59" s="250"/>
      <c r="F59" s="84"/>
      <c r="G59" s="101">
        <f t="shared" si="0"/>
        <v>0</v>
      </c>
      <c r="I59" s="239"/>
      <c r="J59" s="240"/>
      <c r="K59" s="84"/>
      <c r="L59" s="250"/>
      <c r="M59" s="84"/>
      <c r="N59" s="227">
        <f t="shared" si="1"/>
        <v>0</v>
      </c>
    </row>
    <row r="60" spans="2:14" ht="15.75" hidden="1" x14ac:dyDescent="0.25">
      <c r="B60" s="239"/>
      <c r="C60" s="240"/>
      <c r="D60" s="84"/>
      <c r="E60" s="250"/>
      <c r="F60" s="84"/>
      <c r="G60" s="101">
        <f t="shared" si="0"/>
        <v>0</v>
      </c>
      <c r="I60" s="239"/>
      <c r="J60" s="240"/>
      <c r="K60" s="84"/>
      <c r="L60" s="250"/>
      <c r="M60" s="84"/>
      <c r="N60" s="227">
        <f t="shared" si="1"/>
        <v>0</v>
      </c>
    </row>
    <row r="61" spans="2:14" ht="15.75" hidden="1" x14ac:dyDescent="0.25">
      <c r="B61" s="239"/>
      <c r="C61" s="240"/>
      <c r="D61" s="84"/>
      <c r="E61" s="250"/>
      <c r="F61" s="84"/>
      <c r="G61" s="101">
        <f t="shared" si="0"/>
        <v>0</v>
      </c>
      <c r="I61" s="239"/>
      <c r="J61" s="240"/>
      <c r="K61" s="84"/>
      <c r="L61" s="250"/>
      <c r="M61" s="84"/>
      <c r="N61" s="227">
        <f t="shared" si="1"/>
        <v>0</v>
      </c>
    </row>
    <row r="62" spans="2:14" ht="15.75" hidden="1" x14ac:dyDescent="0.25">
      <c r="B62" s="239"/>
      <c r="C62" s="240"/>
      <c r="D62" s="84"/>
      <c r="E62" s="250"/>
      <c r="F62" s="84"/>
      <c r="G62" s="101">
        <f t="shared" si="0"/>
        <v>0</v>
      </c>
      <c r="I62" s="239"/>
      <c r="J62" s="240"/>
      <c r="K62" s="84"/>
      <c r="L62" s="250"/>
      <c r="M62" s="84"/>
      <c r="N62" s="227">
        <f t="shared" si="1"/>
        <v>0</v>
      </c>
    </row>
    <row r="63" spans="2:14" ht="15.75" hidden="1" x14ac:dyDescent="0.25">
      <c r="B63" s="239"/>
      <c r="C63" s="240"/>
      <c r="D63" s="84"/>
      <c r="E63" s="250"/>
      <c r="F63" s="84"/>
      <c r="G63" s="101">
        <f t="shared" si="0"/>
        <v>0</v>
      </c>
      <c r="I63" s="239"/>
      <c r="J63" s="240"/>
      <c r="K63" s="84"/>
      <c r="L63" s="250"/>
      <c r="M63" s="84"/>
      <c r="N63" s="227">
        <f t="shared" si="1"/>
        <v>0</v>
      </c>
    </row>
    <row r="64" spans="2:14" ht="15.75" hidden="1" x14ac:dyDescent="0.25">
      <c r="B64" s="239"/>
      <c r="C64" s="240"/>
      <c r="D64" s="84"/>
      <c r="E64" s="250"/>
      <c r="F64" s="84"/>
      <c r="G64" s="101">
        <f t="shared" si="0"/>
        <v>0</v>
      </c>
      <c r="I64" s="239"/>
      <c r="J64" s="240"/>
      <c r="K64" s="84"/>
      <c r="L64" s="250"/>
      <c r="M64" s="84"/>
      <c r="N64" s="227">
        <f t="shared" si="1"/>
        <v>0</v>
      </c>
    </row>
    <row r="65" spans="2:14" ht="15.75" hidden="1" x14ac:dyDescent="0.25">
      <c r="B65" s="239"/>
      <c r="C65" s="240"/>
      <c r="D65" s="84"/>
      <c r="E65" s="250"/>
      <c r="F65" s="84"/>
      <c r="G65" s="101">
        <f t="shared" si="0"/>
        <v>0</v>
      </c>
      <c r="I65" s="239"/>
      <c r="J65" s="240"/>
      <c r="K65" s="84"/>
      <c r="L65" s="250"/>
      <c r="M65" s="84"/>
      <c r="N65" s="227">
        <f t="shared" si="1"/>
        <v>0</v>
      </c>
    </row>
    <row r="66" spans="2:14" ht="16.5" thickBot="1" x14ac:dyDescent="0.3">
      <c r="B66" s="253"/>
      <c r="C66" s="254"/>
      <c r="D66" s="44">
        <v>0</v>
      </c>
      <c r="E66" s="255"/>
      <c r="F66" s="256"/>
      <c r="G66" s="227">
        <v>0</v>
      </c>
      <c r="I66" s="253"/>
      <c r="J66" s="257"/>
      <c r="K66" s="256">
        <v>0</v>
      </c>
      <c r="L66" s="255"/>
      <c r="M66" s="256"/>
      <c r="N66" s="227"/>
    </row>
    <row r="67" spans="2:14" ht="21.75" thickTop="1" x14ac:dyDescent="0.35">
      <c r="C67" s="259"/>
      <c r="D67" s="260">
        <f>SUM(D3:D66)</f>
        <v>1830849.67</v>
      </c>
      <c r="E67" s="261"/>
      <c r="F67" s="262">
        <f>SUM(F3:F66)</f>
        <v>1830849.67</v>
      </c>
      <c r="G67" s="263">
        <f>SUM(G3:G66)</f>
        <v>0</v>
      </c>
      <c r="I67" s="498" t="s">
        <v>35</v>
      </c>
      <c r="J67" s="499"/>
      <c r="K67" s="264">
        <f>SUM(K3:K66)</f>
        <v>111122</v>
      </c>
      <c r="L67" s="265"/>
      <c r="M67" s="266">
        <f>SUM(M3:M66)</f>
        <v>111122</v>
      </c>
      <c r="N67" s="263">
        <f>N66</f>
        <v>0</v>
      </c>
    </row>
    <row r="68" spans="2:14" ht="15.75" thickBot="1" x14ac:dyDescent="0.3">
      <c r="C68" s="267"/>
      <c r="D68" s="268"/>
      <c r="E68" s="269"/>
      <c r="F68" s="5"/>
      <c r="G68" s="502" t="s">
        <v>36</v>
      </c>
      <c r="I68" s="507"/>
      <c r="J68" s="508"/>
      <c r="K68" s="1"/>
      <c r="L68" s="269"/>
      <c r="M68" s="5"/>
      <c r="N68" s="1"/>
    </row>
    <row r="69" spans="2:14" x14ac:dyDescent="0.25">
      <c r="C69" s="270"/>
      <c r="D69" s="1"/>
      <c r="E69" s="269"/>
      <c r="F69" s="5"/>
      <c r="G69" s="503"/>
      <c r="I69" s="293"/>
      <c r="J69" s="294"/>
      <c r="K69" s="295"/>
      <c r="L69" s="296"/>
      <c r="M69" s="187"/>
      <c r="N69" s="1"/>
    </row>
    <row r="70" spans="2:14" ht="15.75" x14ac:dyDescent="0.25">
      <c r="B70" s="272"/>
      <c r="C70" s="273"/>
      <c r="D70" s="108"/>
      <c r="F70"/>
      <c r="I70" s="293"/>
      <c r="J70" s="297"/>
      <c r="K70" s="186"/>
      <c r="L70" s="298"/>
      <c r="M70" s="299"/>
    </row>
    <row r="71" spans="2:14" ht="16.5" thickBot="1" x14ac:dyDescent="0.3">
      <c r="B71" s="272"/>
      <c r="C71" s="273"/>
      <c r="D71" s="108"/>
      <c r="F71"/>
      <c r="H71" s="233"/>
      <c r="I71" s="300"/>
      <c r="J71" s="301"/>
      <c r="K71" s="189"/>
      <c r="L71" s="302"/>
      <c r="M71" s="299"/>
    </row>
    <row r="72" spans="2:14" ht="15" customHeight="1" x14ac:dyDescent="0.3">
      <c r="C72" s="275"/>
      <c r="E72" s="276"/>
      <c r="F72"/>
      <c r="H72" s="233"/>
      <c r="I72" s="417" t="s">
        <v>485</v>
      </c>
      <c r="J72" s="418"/>
      <c r="K72" s="419">
        <v>315303.5</v>
      </c>
      <c r="L72" s="304"/>
      <c r="M72" s="299"/>
      <c r="N72"/>
    </row>
    <row r="73" spans="2:14" ht="15.75" customHeight="1" x14ac:dyDescent="0.3">
      <c r="C73" s="275"/>
      <c r="E73" s="276"/>
      <c r="F73"/>
      <c r="H73" s="233"/>
      <c r="I73" s="427" t="s">
        <v>486</v>
      </c>
      <c r="J73" s="414"/>
      <c r="K73" s="421">
        <v>157518</v>
      </c>
      <c r="L73" s="304"/>
      <c r="M73" s="299"/>
      <c r="N73"/>
    </row>
    <row r="74" spans="2:14" ht="19.5" thickBot="1" x14ac:dyDescent="0.35">
      <c r="C74" s="275"/>
      <c r="D74" s="189"/>
      <c r="E74" s="276"/>
      <c r="F74"/>
      <c r="H74" s="233"/>
      <c r="I74" s="420"/>
      <c r="J74" s="414"/>
      <c r="K74" s="426">
        <v>0</v>
      </c>
      <c r="L74" s="304"/>
      <c r="M74" s="299"/>
      <c r="N74"/>
    </row>
    <row r="75" spans="2:14" ht="19.5" thickTop="1" x14ac:dyDescent="0.3">
      <c r="C75" s="275"/>
      <c r="D75" s="108"/>
      <c r="E75" s="276"/>
      <c r="H75" s="233"/>
      <c r="I75" s="422"/>
      <c r="J75" s="415"/>
      <c r="K75" s="428">
        <f>SUM(K72:K74)</f>
        <v>472821.5</v>
      </c>
      <c r="L75" s="302"/>
      <c r="M75" s="299"/>
      <c r="N75"/>
    </row>
    <row r="76" spans="2:14" ht="19.5" thickBot="1" x14ac:dyDescent="0.35">
      <c r="C76" s="275"/>
      <c r="D76" s="101"/>
      <c r="E76" s="276"/>
      <c r="H76" s="233"/>
      <c r="I76" s="423"/>
      <c r="J76" s="424"/>
      <c r="K76" s="425"/>
      <c r="L76" s="302"/>
      <c r="M76" s="299"/>
      <c r="N76"/>
    </row>
    <row r="77" spans="2:14" ht="15.75" x14ac:dyDescent="0.25">
      <c r="C77" s="275"/>
      <c r="D77" s="101"/>
      <c r="E77" s="276"/>
      <c r="I77" s="299"/>
      <c r="J77" s="416"/>
      <c r="K77" s="299"/>
      <c r="L77" s="298"/>
      <c r="M77" s="299"/>
      <c r="N77"/>
    </row>
    <row r="78" spans="2:14" ht="15.75" x14ac:dyDescent="0.25">
      <c r="C78" s="275"/>
      <c r="D78" s="101"/>
      <c r="E78" s="276"/>
      <c r="I78" s="299"/>
      <c r="J78" s="237"/>
      <c r="K78" s="299"/>
      <c r="L78" s="298"/>
      <c r="M78" s="299"/>
      <c r="N78"/>
    </row>
    <row r="79" spans="2:14" ht="15.75" x14ac:dyDescent="0.25">
      <c r="C79" s="275"/>
      <c r="D79" s="101"/>
      <c r="E79" s="276"/>
      <c r="I79" s="299"/>
      <c r="J79" s="237"/>
      <c r="K79" s="299"/>
      <c r="L79" s="298"/>
      <c r="M79" s="299"/>
      <c r="N79"/>
    </row>
    <row r="80" spans="2:14" ht="15.75" x14ac:dyDescent="0.25">
      <c r="C80" s="275"/>
      <c r="D80" s="101"/>
      <c r="E80" s="276"/>
      <c r="I80"/>
      <c r="J80" s="237"/>
      <c r="K80"/>
      <c r="M80"/>
      <c r="N80"/>
    </row>
    <row r="81" spans="3:14" ht="15.75" x14ac:dyDescent="0.25">
      <c r="C81" s="271"/>
      <c r="D81" s="101"/>
      <c r="E81" s="276"/>
      <c r="I81"/>
      <c r="J81" s="237"/>
      <c r="K81"/>
      <c r="M81"/>
      <c r="N81"/>
    </row>
    <row r="82" spans="3:14" ht="15.75" x14ac:dyDescent="0.25">
      <c r="C82" s="271"/>
      <c r="D82" s="108">
        <v>0</v>
      </c>
      <c r="E82" s="276"/>
      <c r="I82"/>
      <c r="J82" s="237"/>
      <c r="K82"/>
      <c r="M82"/>
      <c r="N82"/>
    </row>
    <row r="83" spans="3:14" ht="15.75" x14ac:dyDescent="0.25">
      <c r="C83" s="271"/>
      <c r="D83" s="108">
        <v>0</v>
      </c>
      <c r="E83" s="276"/>
      <c r="I83"/>
      <c r="J83" s="108"/>
      <c r="K83"/>
      <c r="M83"/>
      <c r="N83"/>
    </row>
    <row r="84" spans="3:14" ht="15.75" x14ac:dyDescent="0.25">
      <c r="C84" s="271"/>
      <c r="D84" s="108">
        <v>0</v>
      </c>
      <c r="E84" s="276"/>
      <c r="I84"/>
      <c r="J84" s="413"/>
      <c r="K84"/>
      <c r="M84"/>
      <c r="N84"/>
    </row>
    <row r="85" spans="3:14" ht="15.75" x14ac:dyDescent="0.25">
      <c r="C85" s="271"/>
      <c r="D85" s="108">
        <v>-321900.5</v>
      </c>
      <c r="E85" s="276"/>
      <c r="I85"/>
      <c r="J85"/>
      <c r="K85"/>
      <c r="M85"/>
      <c r="N85"/>
    </row>
    <row r="86" spans="3:14" ht="15.75" x14ac:dyDescent="0.25">
      <c r="C86" s="271"/>
      <c r="D86" s="108">
        <v>0</v>
      </c>
      <c r="E86" s="276"/>
      <c r="I86"/>
      <c r="J86"/>
      <c r="K86"/>
      <c r="M86"/>
      <c r="N86"/>
    </row>
    <row r="87" spans="3:14" ht="15.75" x14ac:dyDescent="0.25">
      <c r="C87" s="271"/>
      <c r="D87" s="108">
        <f>SUM(D75:D86)</f>
        <v>-321900.5</v>
      </c>
      <c r="E87" s="276"/>
      <c r="I87"/>
      <c r="J87"/>
      <c r="K87"/>
      <c r="M87"/>
      <c r="N87"/>
    </row>
    <row r="88" spans="3:14" ht="15.75" x14ac:dyDescent="0.25">
      <c r="C88" s="271"/>
      <c r="D88" s="108"/>
      <c r="E88" s="276"/>
      <c r="I88"/>
      <c r="J88"/>
      <c r="K88"/>
      <c r="M88"/>
      <c r="N88"/>
    </row>
    <row r="89" spans="3:14" ht="15.75" x14ac:dyDescent="0.25">
      <c r="C89" s="271"/>
      <c r="D89" s="108"/>
      <c r="E89" s="276"/>
      <c r="I89"/>
      <c r="J89"/>
      <c r="K89"/>
      <c r="M89"/>
      <c r="N89"/>
    </row>
    <row r="90" spans="3:14" ht="15.75" x14ac:dyDescent="0.25">
      <c r="C90" s="271"/>
      <c r="D90" s="108"/>
      <c r="E90" s="276"/>
      <c r="I90"/>
      <c r="J90"/>
      <c r="K90"/>
      <c r="M90"/>
      <c r="N90"/>
    </row>
    <row r="91" spans="3:14" ht="15.75" x14ac:dyDescent="0.25">
      <c r="C91" s="271"/>
      <c r="D91" s="108"/>
      <c r="E91" s="276"/>
      <c r="I91"/>
      <c r="J91"/>
      <c r="K91"/>
      <c r="M91"/>
      <c r="N91"/>
    </row>
    <row r="92" spans="3:14" ht="15.75" x14ac:dyDescent="0.25">
      <c r="C92" s="271"/>
      <c r="D92" s="108"/>
      <c r="E92" s="276"/>
      <c r="I92"/>
      <c r="J92"/>
      <c r="K92"/>
      <c r="M92"/>
      <c r="N92"/>
    </row>
    <row r="93" spans="3:14" ht="15.75" x14ac:dyDescent="0.25">
      <c r="C93" s="271"/>
      <c r="D93" s="108"/>
      <c r="E93" s="276"/>
      <c r="I93"/>
      <c r="J93"/>
      <c r="K93"/>
      <c r="M93"/>
      <c r="N93"/>
    </row>
    <row r="94" spans="3:14" ht="15.75" x14ac:dyDescent="0.25">
      <c r="C94" s="271"/>
      <c r="D94" s="108"/>
      <c r="E94" s="276"/>
      <c r="I94"/>
      <c r="J94"/>
      <c r="K94"/>
      <c r="M94"/>
      <c r="N94"/>
    </row>
    <row r="95" spans="3:14" ht="15.75" x14ac:dyDescent="0.25">
      <c r="C95" s="271"/>
      <c r="D95" s="108"/>
      <c r="E95" s="276"/>
      <c r="I95"/>
      <c r="J95"/>
      <c r="K95"/>
      <c r="M95"/>
      <c r="N95"/>
    </row>
    <row r="96" spans="3:14" ht="15.75" x14ac:dyDescent="0.25">
      <c r="C96" s="271"/>
      <c r="D96" s="108"/>
      <c r="E96" s="276"/>
      <c r="I96"/>
      <c r="J96"/>
      <c r="K96"/>
      <c r="M96"/>
      <c r="N96"/>
    </row>
    <row r="97" spans="3:14" x14ac:dyDescent="0.25">
      <c r="C97" s="271"/>
      <c r="D97" s="189"/>
      <c r="E97" s="276"/>
      <c r="I97"/>
      <c r="J97"/>
      <c r="K97"/>
      <c r="M97"/>
      <c r="N97"/>
    </row>
    <row r="98" spans="3:14" x14ac:dyDescent="0.25">
      <c r="C98" s="271"/>
      <c r="D98" s="189"/>
      <c r="E98" s="276"/>
      <c r="I98"/>
      <c r="J98"/>
      <c r="K98"/>
      <c r="M98"/>
      <c r="N98"/>
    </row>
    <row r="99" spans="3:14" x14ac:dyDescent="0.25">
      <c r="C99" s="271"/>
      <c r="D99" s="189"/>
      <c r="E99" s="276"/>
      <c r="I99"/>
      <c r="J99"/>
      <c r="K99"/>
      <c r="M99"/>
      <c r="N99"/>
    </row>
    <row r="100" spans="3:14" x14ac:dyDescent="0.25">
      <c r="C100" s="271"/>
      <c r="D100" s="189"/>
      <c r="E100" s="276"/>
      <c r="I100"/>
      <c r="J100"/>
      <c r="K100"/>
      <c r="M100"/>
      <c r="N100"/>
    </row>
    <row r="101" spans="3:14" x14ac:dyDescent="0.25">
      <c r="C101" s="271"/>
      <c r="D101" s="189"/>
      <c r="E101" s="276"/>
      <c r="I101"/>
      <c r="J101"/>
      <c r="K101"/>
      <c r="M101"/>
      <c r="N101"/>
    </row>
    <row r="102" spans="3:14" x14ac:dyDescent="0.25">
      <c r="C102" s="271"/>
      <c r="E102" s="276"/>
      <c r="I102"/>
      <c r="J102"/>
      <c r="K102"/>
      <c r="M102"/>
      <c r="N102"/>
    </row>
    <row r="103" spans="3:14" x14ac:dyDescent="0.25">
      <c r="C103" s="271"/>
      <c r="E103" s="276"/>
      <c r="I103"/>
      <c r="J103"/>
      <c r="K103"/>
      <c r="M103"/>
      <c r="N103"/>
    </row>
    <row r="104" spans="3:14" x14ac:dyDescent="0.25">
      <c r="C104" s="271"/>
      <c r="E104" s="276"/>
      <c r="I104"/>
      <c r="J104"/>
      <c r="K104"/>
      <c r="M104"/>
      <c r="N104"/>
    </row>
    <row r="105" spans="3:14" x14ac:dyDescent="0.25">
      <c r="C105" s="271"/>
      <c r="E105" s="276"/>
      <c r="I105"/>
      <c r="J105"/>
      <c r="K105"/>
      <c r="M105"/>
      <c r="N105"/>
    </row>
    <row r="106" spans="3:14" x14ac:dyDescent="0.25">
      <c r="C106" s="271"/>
      <c r="E106" s="276"/>
      <c r="I106"/>
      <c r="J106"/>
      <c r="K106"/>
      <c r="M106"/>
      <c r="N106"/>
    </row>
    <row r="107" spans="3:14" x14ac:dyDescent="0.25">
      <c r="C107" s="271"/>
      <c r="E107" s="276"/>
      <c r="I107"/>
      <c r="J107"/>
      <c r="K107"/>
      <c r="M107"/>
      <c r="N107"/>
    </row>
    <row r="108" spans="3:14" x14ac:dyDescent="0.25">
      <c r="C108" s="271"/>
      <c r="E108" s="276"/>
      <c r="I108"/>
      <c r="J108"/>
      <c r="K108"/>
      <c r="M108"/>
      <c r="N108"/>
    </row>
    <row r="109" spans="3:14" x14ac:dyDescent="0.25">
      <c r="C109" s="271"/>
      <c r="E109" s="276"/>
      <c r="I109"/>
      <c r="J109"/>
      <c r="K109"/>
      <c r="M109"/>
      <c r="N109"/>
    </row>
    <row r="110" spans="3:14" x14ac:dyDescent="0.25">
      <c r="C110" s="271"/>
      <c r="E110" s="276"/>
      <c r="I110"/>
      <c r="J110"/>
      <c r="K110"/>
      <c r="M110"/>
      <c r="N110"/>
    </row>
    <row r="111" spans="3:14" x14ac:dyDescent="0.25">
      <c r="C111" s="271"/>
      <c r="E111" s="276"/>
      <c r="I111"/>
      <c r="J111"/>
      <c r="K111"/>
      <c r="M111"/>
      <c r="N111"/>
    </row>
    <row r="112" spans="3:14" x14ac:dyDescent="0.25">
      <c r="C112" s="271"/>
      <c r="E112" s="276"/>
      <c r="I112"/>
      <c r="J112"/>
      <c r="K112"/>
      <c r="M112"/>
      <c r="N112"/>
    </row>
    <row r="113" spans="3:14" x14ac:dyDescent="0.25">
      <c r="C113" s="271"/>
      <c r="E113" s="276"/>
      <c r="I113"/>
      <c r="J113"/>
      <c r="K113"/>
      <c r="M113"/>
      <c r="N113"/>
    </row>
    <row r="114" spans="3:14" x14ac:dyDescent="0.25">
      <c r="C114" s="271"/>
      <c r="E114" s="276"/>
      <c r="I114"/>
      <c r="J114"/>
      <c r="K114"/>
      <c r="M114"/>
      <c r="N114"/>
    </row>
    <row r="115" spans="3:14" x14ac:dyDescent="0.25">
      <c r="C115" s="271"/>
      <c r="E115" s="276"/>
      <c r="I115"/>
      <c r="J115"/>
      <c r="K115"/>
      <c r="M115"/>
      <c r="N115"/>
    </row>
    <row r="116" spans="3:14" x14ac:dyDescent="0.25">
      <c r="C116" s="271"/>
      <c r="E116" s="276"/>
      <c r="I116"/>
      <c r="J116"/>
      <c r="K116"/>
      <c r="M116"/>
      <c r="N116"/>
    </row>
    <row r="117" spans="3:14" x14ac:dyDescent="0.25">
      <c r="C117" s="271"/>
      <c r="E117" s="276"/>
      <c r="I117"/>
      <c r="J117"/>
      <c r="K117"/>
      <c r="M117"/>
      <c r="N117"/>
    </row>
    <row r="118" spans="3:14" x14ac:dyDescent="0.25">
      <c r="C118" s="271"/>
      <c r="E118" s="276"/>
      <c r="I118"/>
      <c r="J118"/>
      <c r="K118"/>
      <c r="M118"/>
      <c r="N118"/>
    </row>
    <row r="119" spans="3:14" x14ac:dyDescent="0.25">
      <c r="C119" s="271"/>
      <c r="E119" s="276"/>
      <c r="I119"/>
      <c r="J119"/>
      <c r="K119"/>
      <c r="M119"/>
      <c r="N119"/>
    </row>
    <row r="120" spans="3:14" x14ac:dyDescent="0.25">
      <c r="C120" s="271"/>
      <c r="E120" s="276"/>
      <c r="I120"/>
      <c r="J120"/>
      <c r="K120"/>
      <c r="M120"/>
      <c r="N120"/>
    </row>
    <row r="121" spans="3:14" x14ac:dyDescent="0.25">
      <c r="C121" s="271"/>
      <c r="E121" s="276"/>
      <c r="I121"/>
      <c r="J121"/>
      <c r="K121"/>
      <c r="M121"/>
      <c r="N121"/>
    </row>
    <row r="122" spans="3:14" x14ac:dyDescent="0.25">
      <c r="C122" s="271"/>
      <c r="E122" s="276"/>
      <c r="I122"/>
      <c r="J122"/>
      <c r="K122"/>
      <c r="M122"/>
      <c r="N122"/>
    </row>
    <row r="123" spans="3:14" x14ac:dyDescent="0.25">
      <c r="C123" s="271"/>
      <c r="E123" s="276"/>
      <c r="I123"/>
      <c r="J123"/>
      <c r="K123"/>
      <c r="M123"/>
      <c r="N123"/>
    </row>
  </sheetData>
  <mergeCells count="4">
    <mergeCell ref="I36:L37"/>
    <mergeCell ref="I40:J42"/>
    <mergeCell ref="I67:J68"/>
    <mergeCell ref="G68:G69"/>
  </mergeCells>
  <pageMargins left="0.43307086614173229" right="0.39370078740157483" top="0.35433070866141736" bottom="0.23622047244094491" header="0.31496062992125984" footer="0.31496062992125984"/>
  <pageSetup scale="85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FF"/>
  </sheetPr>
  <dimension ref="A1:S105"/>
  <sheetViews>
    <sheetView topLeftCell="A60" zoomScale="115" zoomScaleNormal="115" workbookViewId="0">
      <selection activeCell="F86" sqref="F86"/>
    </sheetView>
  </sheetViews>
  <sheetFormatPr baseColWidth="10" defaultRowHeight="15.75" x14ac:dyDescent="0.25"/>
  <cols>
    <col min="1" max="1" width="11" customWidth="1"/>
    <col min="2" max="2" width="12.42578125" style="151" customWidth="1"/>
    <col min="3" max="3" width="16.85546875" style="7" bestFit="1" customWidth="1"/>
    <col min="4" max="4" width="15.28515625" customWidth="1"/>
    <col min="5" max="5" width="11.42578125" style="6"/>
    <col min="6" max="6" width="16.140625" style="7" bestFit="1" customWidth="1"/>
    <col min="7" max="7" width="1.85546875" style="6" customWidth="1"/>
    <col min="8" max="8" width="11.85546875" style="6" customWidth="1"/>
    <col min="9" max="9" width="15.7109375" style="7" customWidth="1"/>
    <col min="10" max="10" width="11.7109375" style="17" customWidth="1"/>
    <col min="11" max="11" width="14.42578125" style="11" customWidth="1"/>
    <col min="12" max="12" width="14.5703125" style="5" customWidth="1"/>
    <col min="13" max="13" width="17.85546875" style="7" customWidth="1"/>
    <col min="14" max="14" width="17.5703125" style="1" bestFit="1" customWidth="1"/>
    <col min="15" max="15" width="8.85546875" style="2" bestFit="1" customWidth="1"/>
    <col min="16" max="16" width="16.85546875" customWidth="1"/>
    <col min="17" max="17" width="21.28515625" style="3" customWidth="1"/>
    <col min="18" max="18" width="15.28515625" style="4" customWidth="1"/>
  </cols>
  <sheetData>
    <row r="1" spans="1:18" ht="23.25" x14ac:dyDescent="0.35">
      <c r="B1" s="482"/>
      <c r="C1" s="484" t="s">
        <v>238</v>
      </c>
      <c r="D1" s="485"/>
      <c r="E1" s="485"/>
      <c r="F1" s="485"/>
      <c r="G1" s="485"/>
      <c r="H1" s="485"/>
      <c r="I1" s="485"/>
      <c r="J1" s="485"/>
      <c r="K1" s="485"/>
      <c r="L1" s="485"/>
      <c r="M1" s="485"/>
    </row>
    <row r="2" spans="1:18" ht="16.5" thickBot="1" x14ac:dyDescent="0.3">
      <c r="B2" s="483"/>
      <c r="C2" s="5"/>
      <c r="H2" s="8"/>
      <c r="I2" s="9"/>
      <c r="J2" s="10"/>
      <c r="L2" s="12"/>
      <c r="M2" s="9"/>
      <c r="N2" s="13"/>
    </row>
    <row r="3" spans="1:18" ht="21.75" thickBot="1" x14ac:dyDescent="0.35">
      <c r="B3" s="486" t="s">
        <v>0</v>
      </c>
      <c r="C3" s="487"/>
      <c r="D3" s="14"/>
      <c r="E3" s="15"/>
      <c r="F3" s="16"/>
      <c r="H3" s="488" t="s">
        <v>1</v>
      </c>
      <c r="I3" s="488"/>
      <c r="K3" s="18"/>
      <c r="L3" s="19"/>
      <c r="M3" s="20"/>
      <c r="P3" s="480" t="s">
        <v>2</v>
      </c>
      <c r="R3" s="509" t="s">
        <v>3</v>
      </c>
    </row>
    <row r="4" spans="1:18" ht="32.25" thickTop="1" thickBot="1" x14ac:dyDescent="0.35">
      <c r="A4" s="21" t="s">
        <v>4</v>
      </c>
      <c r="B4" s="22"/>
      <c r="C4" s="23">
        <v>3504178.07</v>
      </c>
      <c r="D4" s="24">
        <v>44955</v>
      </c>
      <c r="E4" s="455" t="s">
        <v>5</v>
      </c>
      <c r="F4" s="456"/>
      <c r="H4" s="457" t="s">
        <v>6</v>
      </c>
      <c r="I4" s="458"/>
      <c r="J4" s="25"/>
      <c r="K4" s="26"/>
      <c r="L4" s="27"/>
      <c r="M4" s="28" t="s">
        <v>7</v>
      </c>
      <c r="N4" s="29" t="s">
        <v>8</v>
      </c>
      <c r="P4" s="481"/>
      <c r="Q4" s="30" t="s">
        <v>9</v>
      </c>
      <c r="R4" s="510"/>
    </row>
    <row r="5" spans="1:18" ht="18" thickBot="1" x14ac:dyDescent="0.35">
      <c r="A5" s="31" t="s">
        <v>10</v>
      </c>
      <c r="B5" s="32">
        <v>44989</v>
      </c>
      <c r="C5" s="33">
        <v>10705</v>
      </c>
      <c r="D5" s="34" t="s">
        <v>287</v>
      </c>
      <c r="E5" s="35">
        <v>44989</v>
      </c>
      <c r="F5" s="36">
        <v>143262</v>
      </c>
      <c r="G5" s="37"/>
      <c r="H5" s="38">
        <v>44989</v>
      </c>
      <c r="I5" s="39">
        <v>2837</v>
      </c>
      <c r="J5" s="40">
        <v>44989</v>
      </c>
      <c r="K5" s="356" t="s">
        <v>288</v>
      </c>
      <c r="L5" s="13">
        <v>22031</v>
      </c>
      <c r="M5" s="42">
        <v>68366</v>
      </c>
      <c r="N5" s="43">
        <v>39573</v>
      </c>
      <c r="P5" s="44">
        <f t="shared" ref="P5:P10" si="0">N5+M5+L5+I5+C5</f>
        <v>143512</v>
      </c>
      <c r="Q5" s="45">
        <v>0</v>
      </c>
      <c r="R5" s="355">
        <v>250</v>
      </c>
    </row>
    <row r="6" spans="1:18" ht="18" thickBot="1" x14ac:dyDescent="0.35">
      <c r="A6" s="31"/>
      <c r="B6" s="32">
        <v>44990</v>
      </c>
      <c r="C6" s="33">
        <v>11999</v>
      </c>
      <c r="D6" s="47" t="s">
        <v>289</v>
      </c>
      <c r="E6" s="35">
        <v>44990</v>
      </c>
      <c r="F6" s="36">
        <v>92267</v>
      </c>
      <c r="G6" s="37"/>
      <c r="H6" s="38">
        <v>44990</v>
      </c>
      <c r="I6" s="39">
        <v>2652</v>
      </c>
      <c r="J6" s="40"/>
      <c r="K6" s="65"/>
      <c r="L6" s="49"/>
      <c r="M6" s="42">
        <v>39347</v>
      </c>
      <c r="N6" s="43">
        <v>38269</v>
      </c>
      <c r="P6" s="49">
        <f t="shared" si="0"/>
        <v>92267</v>
      </c>
      <c r="Q6" s="45">
        <f t="shared" ref="Q6:Q47" si="1">P6-F6</f>
        <v>0</v>
      </c>
      <c r="R6" s="46">
        <v>0</v>
      </c>
    </row>
    <row r="7" spans="1:18" ht="18" thickBot="1" x14ac:dyDescent="0.35">
      <c r="A7" s="31"/>
      <c r="B7" s="32">
        <v>44991</v>
      </c>
      <c r="C7" s="33">
        <v>28081.5</v>
      </c>
      <c r="D7" s="50" t="s">
        <v>290</v>
      </c>
      <c r="E7" s="35">
        <v>44991</v>
      </c>
      <c r="F7" s="36">
        <v>131688</v>
      </c>
      <c r="G7" s="37"/>
      <c r="H7" s="38">
        <v>44991</v>
      </c>
      <c r="I7" s="39">
        <v>6180</v>
      </c>
      <c r="J7" s="40"/>
      <c r="K7" s="65"/>
      <c r="L7" s="49"/>
      <c r="M7" s="42">
        <f>42674.5+7308</f>
        <v>49982.5</v>
      </c>
      <c r="N7" s="43">
        <v>47444</v>
      </c>
      <c r="P7" s="49">
        <f t="shared" si="0"/>
        <v>131688</v>
      </c>
      <c r="Q7" s="45">
        <v>0</v>
      </c>
      <c r="R7" s="46" t="s">
        <v>10</v>
      </c>
    </row>
    <row r="8" spans="1:18" ht="18" thickBot="1" x14ac:dyDescent="0.35">
      <c r="A8" s="31"/>
      <c r="B8" s="32">
        <v>44992</v>
      </c>
      <c r="C8" s="33">
        <v>23275</v>
      </c>
      <c r="D8" s="51" t="s">
        <v>291</v>
      </c>
      <c r="E8" s="35">
        <v>44992</v>
      </c>
      <c r="F8" s="36">
        <v>117095</v>
      </c>
      <c r="G8" s="37"/>
      <c r="H8" s="38">
        <v>44992</v>
      </c>
      <c r="I8" s="39">
        <v>2437.5</v>
      </c>
      <c r="J8" s="52"/>
      <c r="K8" s="65"/>
      <c r="L8" s="49"/>
      <c r="M8" s="42">
        <f>51615.5+654</f>
        <v>52269.5</v>
      </c>
      <c r="N8" s="43">
        <v>39113</v>
      </c>
      <c r="P8" s="49">
        <f t="shared" si="0"/>
        <v>117095</v>
      </c>
      <c r="Q8" s="45">
        <v>0</v>
      </c>
      <c r="R8" s="46">
        <v>0</v>
      </c>
    </row>
    <row r="9" spans="1:18" ht="18" thickBot="1" x14ac:dyDescent="0.35">
      <c r="A9" s="31"/>
      <c r="B9" s="32">
        <v>44993</v>
      </c>
      <c r="C9" s="33">
        <v>9439</v>
      </c>
      <c r="D9" s="51" t="s">
        <v>292</v>
      </c>
      <c r="E9" s="35">
        <v>44993</v>
      </c>
      <c r="F9" s="36">
        <v>92137</v>
      </c>
      <c r="G9" s="37"/>
      <c r="H9" s="38">
        <v>44993</v>
      </c>
      <c r="I9" s="39">
        <v>5788.5</v>
      </c>
      <c r="J9" s="40">
        <v>44993</v>
      </c>
      <c r="K9" s="348" t="s">
        <v>293</v>
      </c>
      <c r="L9" s="49">
        <v>4000</v>
      </c>
      <c r="M9" s="42">
        <f>36478.5+8026</f>
        <v>44504.5</v>
      </c>
      <c r="N9" s="43">
        <v>28405</v>
      </c>
      <c r="P9" s="49">
        <f t="shared" si="0"/>
        <v>92137</v>
      </c>
      <c r="Q9" s="45">
        <f t="shared" si="1"/>
        <v>0</v>
      </c>
      <c r="R9" s="46">
        <v>0</v>
      </c>
    </row>
    <row r="10" spans="1:18" ht="18" thickBot="1" x14ac:dyDescent="0.35">
      <c r="A10" s="31"/>
      <c r="B10" s="32">
        <v>44994</v>
      </c>
      <c r="C10" s="33">
        <v>9227</v>
      </c>
      <c r="D10" s="50" t="s">
        <v>294</v>
      </c>
      <c r="E10" s="35">
        <v>44994</v>
      </c>
      <c r="F10" s="36">
        <v>109968</v>
      </c>
      <c r="G10" s="37"/>
      <c r="H10" s="38">
        <v>44994</v>
      </c>
      <c r="I10" s="39">
        <v>1340</v>
      </c>
      <c r="J10" s="40"/>
      <c r="K10" s="54"/>
      <c r="L10" s="55"/>
      <c r="M10" s="42">
        <f>46519+6813.5</f>
        <v>53332.5</v>
      </c>
      <c r="N10" s="43">
        <v>46068</v>
      </c>
      <c r="P10" s="49">
        <f t="shared" si="0"/>
        <v>109967.5</v>
      </c>
      <c r="Q10" s="45">
        <f t="shared" si="1"/>
        <v>-0.5</v>
      </c>
      <c r="R10" s="46">
        <v>0</v>
      </c>
    </row>
    <row r="11" spans="1:18" ht="18" thickBot="1" x14ac:dyDescent="0.35">
      <c r="A11" s="31"/>
      <c r="B11" s="32">
        <v>44995</v>
      </c>
      <c r="C11" s="33">
        <v>9566</v>
      </c>
      <c r="D11" s="47" t="s">
        <v>295</v>
      </c>
      <c r="E11" s="35">
        <v>44995</v>
      </c>
      <c r="F11" s="36">
        <v>153849</v>
      </c>
      <c r="G11" s="37"/>
      <c r="H11" s="38">
        <v>44995</v>
      </c>
      <c r="I11" s="39">
        <v>1974</v>
      </c>
      <c r="J11" s="52"/>
      <c r="K11" s="58"/>
      <c r="L11" s="49"/>
      <c r="M11" s="42">
        <v>99973</v>
      </c>
      <c r="N11" s="43">
        <v>42336</v>
      </c>
      <c r="P11" s="49">
        <f t="shared" ref="P11:P30" si="2">N11+M11+L11+I11+C11</f>
        <v>153849</v>
      </c>
      <c r="Q11" s="45">
        <v>0</v>
      </c>
      <c r="R11" s="46">
        <v>0</v>
      </c>
    </row>
    <row r="12" spans="1:18" ht="18" thickBot="1" x14ac:dyDescent="0.35">
      <c r="A12" s="31"/>
      <c r="B12" s="32">
        <v>44996</v>
      </c>
      <c r="C12" s="33">
        <v>8365</v>
      </c>
      <c r="D12" s="47" t="s">
        <v>296</v>
      </c>
      <c r="E12" s="35">
        <v>44996</v>
      </c>
      <c r="F12" s="36">
        <v>152331</v>
      </c>
      <c r="G12" s="37"/>
      <c r="H12" s="38">
        <v>44996</v>
      </c>
      <c r="I12" s="39">
        <v>3688</v>
      </c>
      <c r="J12" s="40">
        <v>44996</v>
      </c>
      <c r="K12" s="342" t="s">
        <v>297</v>
      </c>
      <c r="L12" s="49">
        <v>18078</v>
      </c>
      <c r="M12" s="42">
        <f>52470+200+6053</f>
        <v>58723</v>
      </c>
      <c r="N12" s="43">
        <v>63477</v>
      </c>
      <c r="O12" s="192"/>
      <c r="P12" s="49">
        <f t="shared" si="2"/>
        <v>152331</v>
      </c>
      <c r="Q12" s="45">
        <f t="shared" si="1"/>
        <v>0</v>
      </c>
      <c r="R12" s="46">
        <v>0</v>
      </c>
    </row>
    <row r="13" spans="1:18" ht="18" thickBot="1" x14ac:dyDescent="0.35">
      <c r="A13" s="31"/>
      <c r="B13" s="32">
        <v>44997</v>
      </c>
      <c r="C13" s="33">
        <v>2000</v>
      </c>
      <c r="D13" s="51" t="s">
        <v>300</v>
      </c>
      <c r="E13" s="35">
        <v>44997</v>
      </c>
      <c r="F13" s="36">
        <v>153796</v>
      </c>
      <c r="G13" s="37"/>
      <c r="H13" s="38">
        <v>44997</v>
      </c>
      <c r="I13" s="39">
        <v>775</v>
      </c>
      <c r="J13" s="40"/>
      <c r="K13" s="343"/>
      <c r="L13" s="49"/>
      <c r="M13" s="42">
        <f>81064</f>
        <v>81064</v>
      </c>
      <c r="N13" s="43">
        <v>69957</v>
      </c>
      <c r="O13" s="192"/>
      <c r="P13" s="49">
        <f>N13+M13+L13+I13+C13</f>
        <v>153796</v>
      </c>
      <c r="Q13" s="45">
        <f t="shared" si="1"/>
        <v>0</v>
      </c>
      <c r="R13" s="46">
        <v>0</v>
      </c>
    </row>
    <row r="14" spans="1:18" ht="18" thickBot="1" x14ac:dyDescent="0.35">
      <c r="A14" s="31"/>
      <c r="B14" s="32">
        <v>44998</v>
      </c>
      <c r="C14" s="33">
        <v>40135</v>
      </c>
      <c r="D14" s="50" t="s">
        <v>301</v>
      </c>
      <c r="E14" s="35">
        <v>44998</v>
      </c>
      <c r="F14" s="36">
        <v>125011</v>
      </c>
      <c r="G14" s="37"/>
      <c r="H14" s="38">
        <v>44998</v>
      </c>
      <c r="I14" s="39">
        <v>2719</v>
      </c>
      <c r="J14" s="40"/>
      <c r="K14" s="65"/>
      <c r="L14" s="49"/>
      <c r="M14" s="42">
        <f>32521+12383</f>
        <v>44904</v>
      </c>
      <c r="N14" s="43">
        <v>37253</v>
      </c>
      <c r="O14" s="193"/>
      <c r="P14" s="49">
        <f t="shared" si="2"/>
        <v>125011</v>
      </c>
      <c r="Q14" s="45">
        <f t="shared" si="1"/>
        <v>0</v>
      </c>
      <c r="R14" s="46">
        <v>0</v>
      </c>
    </row>
    <row r="15" spans="1:18" ht="18" thickBot="1" x14ac:dyDescent="0.35">
      <c r="A15" s="31"/>
      <c r="B15" s="32">
        <v>44999</v>
      </c>
      <c r="C15" s="33">
        <v>13440.5</v>
      </c>
      <c r="D15" s="50" t="s">
        <v>302</v>
      </c>
      <c r="E15" s="35">
        <v>44999</v>
      </c>
      <c r="F15" s="36">
        <v>123404</v>
      </c>
      <c r="G15" s="37"/>
      <c r="H15" s="38">
        <v>44999</v>
      </c>
      <c r="I15" s="39">
        <v>2309</v>
      </c>
      <c r="J15" s="40"/>
      <c r="K15" s="65"/>
      <c r="L15" s="49"/>
      <c r="M15" s="42">
        <v>57589.5</v>
      </c>
      <c r="N15" s="43">
        <v>50065</v>
      </c>
      <c r="P15" s="49">
        <f t="shared" si="2"/>
        <v>123404</v>
      </c>
      <c r="Q15" s="45">
        <f t="shared" si="1"/>
        <v>0</v>
      </c>
      <c r="R15" s="46">
        <v>0</v>
      </c>
    </row>
    <row r="16" spans="1:18" ht="18" thickBot="1" x14ac:dyDescent="0.35">
      <c r="A16" s="31"/>
      <c r="B16" s="32">
        <v>45000</v>
      </c>
      <c r="C16" s="33">
        <v>19866</v>
      </c>
      <c r="D16" s="47" t="s">
        <v>312</v>
      </c>
      <c r="E16" s="35">
        <v>45000</v>
      </c>
      <c r="F16" s="36">
        <v>101693</v>
      </c>
      <c r="G16" s="37"/>
      <c r="H16" s="38">
        <v>45000</v>
      </c>
      <c r="I16" s="39">
        <v>3801.5</v>
      </c>
      <c r="J16" s="40">
        <v>45000</v>
      </c>
      <c r="K16" s="342" t="s">
        <v>313</v>
      </c>
      <c r="L16" s="13">
        <v>6766</v>
      </c>
      <c r="M16" s="42">
        <f>40900+5522</f>
        <v>46422</v>
      </c>
      <c r="N16" s="43">
        <v>24843</v>
      </c>
      <c r="P16" s="49">
        <f t="shared" si="2"/>
        <v>101698.5</v>
      </c>
      <c r="Q16" s="45">
        <f t="shared" si="1"/>
        <v>5.5</v>
      </c>
      <c r="R16" s="46">
        <v>0</v>
      </c>
    </row>
    <row r="17" spans="1:19" ht="18" thickBot="1" x14ac:dyDescent="0.35">
      <c r="A17" s="31"/>
      <c r="B17" s="32">
        <v>45001</v>
      </c>
      <c r="C17" s="33">
        <v>7295</v>
      </c>
      <c r="D17" s="51" t="s">
        <v>314</v>
      </c>
      <c r="E17" s="35">
        <v>45001</v>
      </c>
      <c r="F17" s="36">
        <v>172055</v>
      </c>
      <c r="G17" s="37"/>
      <c r="H17" s="38">
        <v>45001</v>
      </c>
      <c r="I17" s="39">
        <v>1987</v>
      </c>
      <c r="J17" s="40"/>
      <c r="K17" s="65"/>
      <c r="L17" s="55"/>
      <c r="M17" s="42">
        <f>63942+53400</f>
        <v>117342</v>
      </c>
      <c r="N17" s="43">
        <v>45433</v>
      </c>
      <c r="P17" s="49">
        <f t="shared" si="2"/>
        <v>172057</v>
      </c>
      <c r="Q17" s="45">
        <f t="shared" si="1"/>
        <v>2</v>
      </c>
      <c r="R17" s="46">
        <v>0</v>
      </c>
    </row>
    <row r="18" spans="1:19" ht="18" thickBot="1" x14ac:dyDescent="0.35">
      <c r="A18" s="31"/>
      <c r="B18" s="32">
        <v>45002</v>
      </c>
      <c r="C18" s="33">
        <v>5818</v>
      </c>
      <c r="D18" s="47" t="s">
        <v>88</v>
      </c>
      <c r="E18" s="35">
        <v>45002</v>
      </c>
      <c r="F18" s="36">
        <v>145995</v>
      </c>
      <c r="G18" s="37"/>
      <c r="H18" s="38">
        <v>45002</v>
      </c>
      <c r="I18" s="39">
        <v>2988.5</v>
      </c>
      <c r="J18" s="40"/>
      <c r="K18" s="58"/>
      <c r="L18" s="49"/>
      <c r="M18" s="42">
        <f>4942+85847.5</f>
        <v>90789.5</v>
      </c>
      <c r="N18" s="43">
        <v>46399</v>
      </c>
      <c r="P18" s="49">
        <f t="shared" si="2"/>
        <v>145995</v>
      </c>
      <c r="Q18" s="45">
        <v>0</v>
      </c>
      <c r="R18" s="46">
        <v>0</v>
      </c>
    </row>
    <row r="19" spans="1:19" ht="27.75" thickBot="1" x14ac:dyDescent="0.35">
      <c r="A19" s="31"/>
      <c r="B19" s="32">
        <v>45003</v>
      </c>
      <c r="C19" s="33">
        <v>15935</v>
      </c>
      <c r="D19" s="47" t="s">
        <v>315</v>
      </c>
      <c r="E19" s="35">
        <v>45003</v>
      </c>
      <c r="F19" s="36">
        <v>159079</v>
      </c>
      <c r="G19" s="37"/>
      <c r="H19" s="38">
        <v>45003</v>
      </c>
      <c r="I19" s="39">
        <v>3541</v>
      </c>
      <c r="J19" s="40">
        <v>45003</v>
      </c>
      <c r="K19" s="344" t="s">
        <v>316</v>
      </c>
      <c r="L19" s="59">
        <f>18993+4381</f>
        <v>23374</v>
      </c>
      <c r="M19" s="42">
        <f>48817.5+4092.48+4584+2048</f>
        <v>59541.98</v>
      </c>
      <c r="N19" s="43">
        <v>56688</v>
      </c>
      <c r="P19" s="49">
        <f t="shared" si="2"/>
        <v>159079.98000000001</v>
      </c>
      <c r="Q19" s="45">
        <f t="shared" si="1"/>
        <v>0.98000000001047738</v>
      </c>
      <c r="R19" s="46" t="s">
        <v>11</v>
      </c>
    </row>
    <row r="20" spans="1:19" ht="18" customHeight="1" thickBot="1" x14ac:dyDescent="0.35">
      <c r="A20" s="31"/>
      <c r="B20" s="32">
        <v>45004</v>
      </c>
      <c r="C20" s="33">
        <v>18926</v>
      </c>
      <c r="D20" s="47" t="s">
        <v>317</v>
      </c>
      <c r="E20" s="35">
        <v>45004</v>
      </c>
      <c r="F20" s="36">
        <v>99717</v>
      </c>
      <c r="G20" s="37"/>
      <c r="H20" s="38">
        <v>45004</v>
      </c>
      <c r="I20" s="39">
        <v>1486.5</v>
      </c>
      <c r="J20" s="40"/>
      <c r="K20" s="60"/>
      <c r="L20" s="55"/>
      <c r="M20" s="42">
        <v>45892.5</v>
      </c>
      <c r="N20" s="43">
        <v>33412</v>
      </c>
      <c r="P20" s="49">
        <f t="shared" si="2"/>
        <v>99717</v>
      </c>
      <c r="Q20" s="45">
        <f t="shared" si="1"/>
        <v>0</v>
      </c>
      <c r="R20" s="46">
        <v>0</v>
      </c>
    </row>
    <row r="21" spans="1:19" ht="18" thickBot="1" x14ac:dyDescent="0.35">
      <c r="A21" s="31"/>
      <c r="B21" s="32">
        <v>45005</v>
      </c>
      <c r="C21" s="33">
        <v>18054</v>
      </c>
      <c r="D21" s="47" t="s">
        <v>318</v>
      </c>
      <c r="E21" s="35">
        <v>45005</v>
      </c>
      <c r="F21" s="36">
        <v>232252</v>
      </c>
      <c r="G21" s="37"/>
      <c r="H21" s="38">
        <v>45005</v>
      </c>
      <c r="I21" s="39">
        <v>2635</v>
      </c>
      <c r="J21" s="40">
        <v>45005</v>
      </c>
      <c r="K21" s="357" t="s">
        <v>319</v>
      </c>
      <c r="L21" s="55">
        <v>157518</v>
      </c>
      <c r="M21" s="42">
        <f>315303.5+42101</f>
        <v>357404.5</v>
      </c>
      <c r="N21" s="43">
        <v>49563</v>
      </c>
      <c r="P21" s="49">
        <f t="shared" si="2"/>
        <v>585174.5</v>
      </c>
      <c r="Q21" s="45">
        <v>0</v>
      </c>
      <c r="R21" s="282">
        <v>352922.5</v>
      </c>
    </row>
    <row r="22" spans="1:19" ht="19.5" customHeight="1" thickBot="1" x14ac:dyDescent="0.35">
      <c r="A22" s="31"/>
      <c r="B22" s="32">
        <v>45006</v>
      </c>
      <c r="C22" s="33">
        <v>12441</v>
      </c>
      <c r="D22" s="47" t="s">
        <v>320</v>
      </c>
      <c r="E22" s="35">
        <v>45006</v>
      </c>
      <c r="F22" s="36">
        <v>125826</v>
      </c>
      <c r="G22" s="37"/>
      <c r="H22" s="38">
        <v>45006</v>
      </c>
      <c r="I22" s="359">
        <f>1122+5000</f>
        <v>6122</v>
      </c>
      <c r="J22" s="40">
        <v>45006</v>
      </c>
      <c r="K22" s="358" t="s">
        <v>321</v>
      </c>
      <c r="L22" s="62">
        <v>16750</v>
      </c>
      <c r="M22" s="42">
        <v>36544</v>
      </c>
      <c r="N22" s="43">
        <f>53199+770</f>
        <v>53969</v>
      </c>
      <c r="P22" s="49">
        <f t="shared" si="2"/>
        <v>125826</v>
      </c>
      <c r="Q22" s="45">
        <f t="shared" si="1"/>
        <v>0</v>
      </c>
      <c r="R22" s="46">
        <v>0</v>
      </c>
      <c r="S22" s="63"/>
    </row>
    <row r="23" spans="1:19" ht="18" customHeight="1" thickBot="1" x14ac:dyDescent="0.35">
      <c r="A23" s="31"/>
      <c r="B23" s="32">
        <v>45007</v>
      </c>
      <c r="C23" s="33">
        <v>17462</v>
      </c>
      <c r="D23" s="47" t="s">
        <v>322</v>
      </c>
      <c r="E23" s="35">
        <v>45007</v>
      </c>
      <c r="F23" s="36">
        <v>101497</v>
      </c>
      <c r="G23" s="37"/>
      <c r="H23" s="38">
        <v>45007</v>
      </c>
      <c r="I23" s="39">
        <v>1756</v>
      </c>
      <c r="J23" s="64"/>
      <c r="K23" s="65"/>
      <c r="L23" s="55"/>
      <c r="M23" s="42">
        <f>40915+6605</f>
        <v>47520</v>
      </c>
      <c r="N23" s="43">
        <v>34759</v>
      </c>
      <c r="P23" s="49">
        <f t="shared" si="2"/>
        <v>101497</v>
      </c>
      <c r="Q23" s="45">
        <f t="shared" si="1"/>
        <v>0</v>
      </c>
      <c r="R23" s="46">
        <v>0</v>
      </c>
    </row>
    <row r="24" spans="1:19" ht="18" customHeight="1" thickBot="1" x14ac:dyDescent="0.35">
      <c r="A24" s="31"/>
      <c r="B24" s="32">
        <v>45008</v>
      </c>
      <c r="C24" s="33">
        <v>27688</v>
      </c>
      <c r="D24" s="51" t="s">
        <v>323</v>
      </c>
      <c r="E24" s="35">
        <v>45008</v>
      </c>
      <c r="F24" s="36">
        <v>95455</v>
      </c>
      <c r="G24" s="37"/>
      <c r="H24" s="38">
        <v>45008</v>
      </c>
      <c r="I24" s="39">
        <v>2125</v>
      </c>
      <c r="J24" s="66"/>
      <c r="K24" s="65"/>
      <c r="L24" s="67"/>
      <c r="M24" s="42">
        <f>4655.5+29221.5+1131</f>
        <v>35008</v>
      </c>
      <c r="N24" s="43">
        <v>30634</v>
      </c>
      <c r="P24" s="49">
        <f>N24+M24+L24+I24+C24</f>
        <v>95455</v>
      </c>
      <c r="Q24" s="45">
        <f t="shared" si="1"/>
        <v>0</v>
      </c>
      <c r="R24" s="46" t="s">
        <v>149</v>
      </c>
    </row>
    <row r="25" spans="1:19" ht="18" thickBot="1" x14ac:dyDescent="0.35">
      <c r="A25" s="31"/>
      <c r="B25" s="32">
        <v>45009</v>
      </c>
      <c r="C25" s="33">
        <v>6094</v>
      </c>
      <c r="D25" s="47" t="s">
        <v>324</v>
      </c>
      <c r="E25" s="35">
        <v>45009</v>
      </c>
      <c r="F25" s="36">
        <v>153900</v>
      </c>
      <c r="G25" s="37"/>
      <c r="H25" s="38">
        <v>45009</v>
      </c>
      <c r="I25" s="39">
        <v>4678.5</v>
      </c>
      <c r="J25" s="64"/>
      <c r="K25" s="65"/>
      <c r="L25" s="68"/>
      <c r="M25" s="42">
        <f>84336.5+13436</f>
        <v>97772.5</v>
      </c>
      <c r="N25" s="43">
        <v>45355</v>
      </c>
      <c r="P25" s="69">
        <f t="shared" si="2"/>
        <v>153900</v>
      </c>
      <c r="Q25" s="45">
        <f t="shared" si="1"/>
        <v>0</v>
      </c>
      <c r="R25" s="46">
        <v>0</v>
      </c>
    </row>
    <row r="26" spans="1:19" ht="18" thickBot="1" x14ac:dyDescent="0.35">
      <c r="A26" s="31"/>
      <c r="B26" s="32">
        <v>45010</v>
      </c>
      <c r="C26" s="33">
        <v>13761.5</v>
      </c>
      <c r="D26" s="47" t="s">
        <v>325</v>
      </c>
      <c r="E26" s="35">
        <v>45010</v>
      </c>
      <c r="F26" s="36">
        <v>138127</v>
      </c>
      <c r="G26" s="37"/>
      <c r="H26" s="38">
        <v>45010</v>
      </c>
      <c r="I26" s="39">
        <v>5100</v>
      </c>
      <c r="J26" s="40">
        <v>45010</v>
      </c>
      <c r="K26" s="70" t="s">
        <v>326</v>
      </c>
      <c r="L26" s="71">
        <v>24469</v>
      </c>
      <c r="M26" s="42">
        <f>28684.5+6220</f>
        <v>34904.5</v>
      </c>
      <c r="N26" s="43">
        <v>59892</v>
      </c>
      <c r="P26" s="69">
        <f t="shared" si="2"/>
        <v>138127</v>
      </c>
      <c r="Q26" s="45">
        <f t="shared" si="1"/>
        <v>0</v>
      </c>
      <c r="R26" s="46">
        <v>0</v>
      </c>
      <c r="S26" t="s">
        <v>11</v>
      </c>
    </row>
    <row r="27" spans="1:19" ht="18" customHeight="1" thickBot="1" x14ac:dyDescent="0.35">
      <c r="A27" s="31"/>
      <c r="B27" s="32">
        <v>45011</v>
      </c>
      <c r="C27" s="33">
        <v>325</v>
      </c>
      <c r="D27" s="51" t="s">
        <v>91</v>
      </c>
      <c r="E27" s="35">
        <v>45011</v>
      </c>
      <c r="F27" s="36">
        <v>88838</v>
      </c>
      <c r="G27" s="37"/>
      <c r="H27" s="38">
        <v>45011</v>
      </c>
      <c r="I27" s="39">
        <v>1229</v>
      </c>
      <c r="J27" s="337"/>
      <c r="K27" s="345"/>
      <c r="L27" s="68"/>
      <c r="M27" s="42">
        <v>58608</v>
      </c>
      <c r="N27" s="43">
        <v>28676</v>
      </c>
      <c r="P27" s="69">
        <f t="shared" si="2"/>
        <v>88838</v>
      </c>
      <c r="Q27" s="45">
        <f t="shared" si="1"/>
        <v>0</v>
      </c>
      <c r="R27" s="46">
        <v>0</v>
      </c>
    </row>
    <row r="28" spans="1:19" ht="18" customHeight="1" thickBot="1" x14ac:dyDescent="0.35">
      <c r="A28" s="31"/>
      <c r="B28" s="32">
        <v>45012</v>
      </c>
      <c r="C28" s="33">
        <v>34835.5</v>
      </c>
      <c r="D28" s="51" t="s">
        <v>327</v>
      </c>
      <c r="E28" s="35">
        <v>45012</v>
      </c>
      <c r="F28" s="36">
        <v>117497</v>
      </c>
      <c r="G28" s="37"/>
      <c r="H28" s="38">
        <v>45012</v>
      </c>
      <c r="I28" s="39">
        <v>2206</v>
      </c>
      <c r="J28" s="338"/>
      <c r="K28" s="70"/>
      <c r="L28" s="68"/>
      <c r="M28" s="42">
        <f>24101.5+10438</f>
        <v>34539.5</v>
      </c>
      <c r="N28" s="43">
        <v>45916</v>
      </c>
      <c r="P28" s="69">
        <f t="shared" si="2"/>
        <v>117497</v>
      </c>
      <c r="Q28" s="45">
        <f t="shared" si="1"/>
        <v>0</v>
      </c>
      <c r="R28" s="46">
        <v>0</v>
      </c>
    </row>
    <row r="29" spans="1:19" ht="18" thickBot="1" x14ac:dyDescent="0.35">
      <c r="A29" s="31"/>
      <c r="B29" s="32">
        <v>45013</v>
      </c>
      <c r="C29" s="33">
        <v>12972</v>
      </c>
      <c r="D29" s="76" t="s">
        <v>328</v>
      </c>
      <c r="E29" s="35">
        <v>45013</v>
      </c>
      <c r="F29" s="36">
        <v>94090</v>
      </c>
      <c r="G29" s="37"/>
      <c r="H29" s="38">
        <v>45013</v>
      </c>
      <c r="I29" s="39">
        <v>2106</v>
      </c>
      <c r="J29" s="339"/>
      <c r="K29" s="346"/>
      <c r="L29" s="68"/>
      <c r="M29" s="42">
        <v>38138</v>
      </c>
      <c r="N29" s="43">
        <v>40874</v>
      </c>
      <c r="P29" s="69">
        <f t="shared" si="2"/>
        <v>94090</v>
      </c>
      <c r="Q29" s="45">
        <f t="shared" si="1"/>
        <v>0</v>
      </c>
      <c r="R29" s="46">
        <v>0</v>
      </c>
    </row>
    <row r="30" spans="1:19" ht="18" thickBot="1" x14ac:dyDescent="0.35">
      <c r="A30" s="31"/>
      <c r="B30" s="32">
        <v>45014</v>
      </c>
      <c r="C30" s="33">
        <v>17010.5</v>
      </c>
      <c r="D30" s="76" t="s">
        <v>329</v>
      </c>
      <c r="E30" s="35">
        <v>45014</v>
      </c>
      <c r="F30" s="36">
        <v>110786</v>
      </c>
      <c r="G30" s="37"/>
      <c r="H30" s="38">
        <v>45014</v>
      </c>
      <c r="I30" s="39">
        <v>1087</v>
      </c>
      <c r="J30" s="338"/>
      <c r="K30" s="65"/>
      <c r="L30" s="49"/>
      <c r="M30" s="42">
        <f>44992.5+5522+2023</f>
        <v>52537.5</v>
      </c>
      <c r="N30" s="43">
        <v>40151</v>
      </c>
      <c r="P30" s="69">
        <f t="shared" si="2"/>
        <v>110786</v>
      </c>
      <c r="Q30" s="45" t="s">
        <v>11</v>
      </c>
      <c r="R30" s="46">
        <v>0</v>
      </c>
    </row>
    <row r="31" spans="1:19" ht="18" thickBot="1" x14ac:dyDescent="0.35">
      <c r="A31" s="31"/>
      <c r="B31" s="32"/>
      <c r="C31" s="33"/>
      <c r="D31" s="79"/>
      <c r="E31" s="35"/>
      <c r="F31" s="36"/>
      <c r="G31" s="37"/>
      <c r="H31" s="38"/>
      <c r="I31" s="39"/>
      <c r="J31" s="338"/>
      <c r="K31" s="347"/>
      <c r="L31" s="68"/>
      <c r="M31" s="42">
        <v>0</v>
      </c>
      <c r="N31" s="43">
        <v>0</v>
      </c>
      <c r="P31" s="69">
        <v>0</v>
      </c>
      <c r="Q31" s="45">
        <f t="shared" si="1"/>
        <v>0</v>
      </c>
      <c r="R31" s="46">
        <v>0</v>
      </c>
    </row>
    <row r="32" spans="1:19" ht="18" thickBot="1" x14ac:dyDescent="0.35">
      <c r="A32" s="31"/>
      <c r="B32" s="32"/>
      <c r="C32" s="33"/>
      <c r="D32" s="305"/>
      <c r="E32" s="35"/>
      <c r="F32" s="36"/>
      <c r="G32" s="37"/>
      <c r="H32" s="38"/>
      <c r="I32" s="39"/>
      <c r="J32" s="367">
        <v>44989</v>
      </c>
      <c r="K32" s="368" t="s">
        <v>298</v>
      </c>
      <c r="L32" s="369">
        <v>21975</v>
      </c>
      <c r="M32" s="42">
        <v>0</v>
      </c>
      <c r="N32" s="43">
        <v>0</v>
      </c>
      <c r="P32" s="69">
        <v>0</v>
      </c>
      <c r="Q32" s="45">
        <f t="shared" si="1"/>
        <v>0</v>
      </c>
      <c r="R32" s="46">
        <v>0</v>
      </c>
    </row>
    <row r="33" spans="1:19" ht="18" thickBot="1" x14ac:dyDescent="0.35">
      <c r="A33" s="31"/>
      <c r="B33" s="32"/>
      <c r="C33" s="33"/>
      <c r="D33" s="83"/>
      <c r="E33" s="35"/>
      <c r="F33" s="36"/>
      <c r="G33" s="37"/>
      <c r="H33" s="38"/>
      <c r="I33" s="39"/>
      <c r="J33" s="370">
        <v>44996</v>
      </c>
      <c r="K33" s="371" t="s">
        <v>299</v>
      </c>
      <c r="L33" s="372">
        <v>24587.26</v>
      </c>
      <c r="M33" s="42">
        <v>0</v>
      </c>
      <c r="N33" s="43">
        <v>0</v>
      </c>
      <c r="P33" s="69">
        <v>0</v>
      </c>
      <c r="Q33" s="45">
        <f t="shared" si="1"/>
        <v>0</v>
      </c>
      <c r="R33" s="46">
        <v>0</v>
      </c>
    </row>
    <row r="34" spans="1:19" ht="18" thickBot="1" x14ac:dyDescent="0.35">
      <c r="A34" s="31"/>
      <c r="B34" s="32"/>
      <c r="C34" s="33"/>
      <c r="D34" s="83"/>
      <c r="E34" s="35"/>
      <c r="F34" s="36"/>
      <c r="G34" s="37"/>
      <c r="H34" s="38"/>
      <c r="I34" s="39"/>
      <c r="J34" s="370">
        <v>45003</v>
      </c>
      <c r="K34" s="373" t="s">
        <v>316</v>
      </c>
      <c r="L34" s="369">
        <f>27880</f>
        <v>27880</v>
      </c>
      <c r="M34" s="42">
        <v>0</v>
      </c>
      <c r="N34" s="43">
        <v>0</v>
      </c>
      <c r="P34" s="69">
        <v>0</v>
      </c>
      <c r="Q34" s="45">
        <f t="shared" si="1"/>
        <v>0</v>
      </c>
      <c r="R34" s="46">
        <v>0</v>
      </c>
      <c r="S34" t="s">
        <v>10</v>
      </c>
    </row>
    <row r="35" spans="1:19" ht="18" thickBot="1" x14ac:dyDescent="0.35">
      <c r="A35" s="31"/>
      <c r="B35" s="32"/>
      <c r="C35" s="86"/>
      <c r="D35" s="79"/>
      <c r="E35" s="35"/>
      <c r="F35" s="36"/>
      <c r="G35" s="37"/>
      <c r="H35" s="38"/>
      <c r="I35" s="39"/>
      <c r="J35" s="374">
        <v>45010</v>
      </c>
      <c r="K35" s="373" t="s">
        <v>326</v>
      </c>
      <c r="L35" s="375">
        <v>31677.3</v>
      </c>
      <c r="M35" s="42">
        <v>0</v>
      </c>
      <c r="N35" s="43">
        <v>0</v>
      </c>
      <c r="P35" s="69">
        <v>0</v>
      </c>
      <c r="Q35" s="45">
        <f t="shared" si="1"/>
        <v>0</v>
      </c>
      <c r="R35" s="46">
        <v>0</v>
      </c>
    </row>
    <row r="36" spans="1:19" ht="18" customHeight="1" thickTop="1" thickBot="1" x14ac:dyDescent="0.35">
      <c r="A36" s="31"/>
      <c r="B36" s="32">
        <v>44992</v>
      </c>
      <c r="C36" s="377">
        <v>90200</v>
      </c>
      <c r="D36" s="364" t="s">
        <v>355</v>
      </c>
      <c r="E36" s="35"/>
      <c r="F36" s="36"/>
      <c r="G36" s="92"/>
      <c r="H36" s="38"/>
      <c r="I36" s="39"/>
      <c r="J36" s="338"/>
      <c r="K36" s="88"/>
      <c r="L36" s="49"/>
      <c r="M36" s="42">
        <v>0</v>
      </c>
      <c r="N36" s="43">
        <v>0</v>
      </c>
      <c r="P36" s="69">
        <v>0</v>
      </c>
      <c r="Q36" s="45">
        <f t="shared" si="1"/>
        <v>0</v>
      </c>
      <c r="R36" s="46">
        <v>0</v>
      </c>
    </row>
    <row r="37" spans="1:19" ht="18" customHeight="1" thickBot="1" x14ac:dyDescent="0.35">
      <c r="A37" s="31"/>
      <c r="B37" s="32">
        <v>44993</v>
      </c>
      <c r="C37" s="366">
        <v>7881.25</v>
      </c>
      <c r="D37" s="364" t="s">
        <v>357</v>
      </c>
      <c r="E37" s="35"/>
      <c r="F37" s="36"/>
      <c r="G37" s="92"/>
      <c r="H37" s="38"/>
      <c r="I37" s="39"/>
      <c r="J37" s="338">
        <v>44991</v>
      </c>
      <c r="K37" s="350" t="s">
        <v>365</v>
      </c>
      <c r="L37" s="376">
        <v>8777.7800000000007</v>
      </c>
      <c r="M37" s="42">
        <v>0</v>
      </c>
      <c r="N37" s="43">
        <v>0</v>
      </c>
      <c r="P37" s="69">
        <v>0</v>
      </c>
      <c r="Q37" s="45">
        <f t="shared" si="1"/>
        <v>0</v>
      </c>
      <c r="R37" s="46">
        <v>0</v>
      </c>
    </row>
    <row r="38" spans="1:19" ht="18" thickBot="1" x14ac:dyDescent="0.35">
      <c r="A38" s="31"/>
      <c r="B38" s="32">
        <v>44995</v>
      </c>
      <c r="C38" s="366">
        <v>8424</v>
      </c>
      <c r="D38" s="91" t="s">
        <v>145</v>
      </c>
      <c r="E38" s="35"/>
      <c r="F38" s="36"/>
      <c r="G38" s="92"/>
      <c r="H38" s="38"/>
      <c r="I38" s="39"/>
      <c r="J38" s="338">
        <v>44991</v>
      </c>
      <c r="K38" s="343" t="s">
        <v>343</v>
      </c>
      <c r="L38" s="376">
        <v>7536.8</v>
      </c>
      <c r="M38" s="42">
        <v>0</v>
      </c>
      <c r="N38" s="43">
        <v>0</v>
      </c>
      <c r="P38" s="69">
        <v>0</v>
      </c>
      <c r="Q38" s="45">
        <f t="shared" si="1"/>
        <v>0</v>
      </c>
      <c r="R38" s="46">
        <v>0</v>
      </c>
    </row>
    <row r="39" spans="1:19" ht="18" thickBot="1" x14ac:dyDescent="0.35">
      <c r="A39" s="31"/>
      <c r="B39" s="32">
        <v>44995</v>
      </c>
      <c r="C39" s="366">
        <v>2679</v>
      </c>
      <c r="D39" s="94" t="s">
        <v>145</v>
      </c>
      <c r="E39" s="35"/>
      <c r="F39" s="97"/>
      <c r="G39" s="92"/>
      <c r="H39" s="38"/>
      <c r="I39" s="98"/>
      <c r="J39" s="338">
        <v>44991</v>
      </c>
      <c r="K39" s="343" t="s">
        <v>354</v>
      </c>
      <c r="L39" s="376">
        <v>3672</v>
      </c>
      <c r="M39" s="42">
        <v>0</v>
      </c>
      <c r="N39" s="43">
        <v>0</v>
      </c>
      <c r="P39" s="69">
        <v>0</v>
      </c>
      <c r="Q39" s="45">
        <f t="shared" si="1"/>
        <v>0</v>
      </c>
      <c r="R39" s="46">
        <v>0</v>
      </c>
    </row>
    <row r="40" spans="1:19" ht="18" thickBot="1" x14ac:dyDescent="0.35">
      <c r="A40" s="31"/>
      <c r="B40" s="32">
        <v>44999</v>
      </c>
      <c r="C40" s="366">
        <v>10746</v>
      </c>
      <c r="D40" s="94" t="s">
        <v>303</v>
      </c>
      <c r="E40" s="35"/>
      <c r="F40" s="97"/>
      <c r="G40" s="37"/>
      <c r="H40" s="38"/>
      <c r="I40" s="98"/>
      <c r="J40" s="338">
        <v>44992</v>
      </c>
      <c r="K40" s="343" t="s">
        <v>356</v>
      </c>
      <c r="L40" s="376">
        <v>13543</v>
      </c>
      <c r="M40" s="42">
        <v>0</v>
      </c>
      <c r="N40" s="43">
        <v>0</v>
      </c>
      <c r="P40" s="69">
        <v>0</v>
      </c>
      <c r="Q40" s="45">
        <f t="shared" si="1"/>
        <v>0</v>
      </c>
      <c r="R40" s="46">
        <v>0</v>
      </c>
    </row>
    <row r="41" spans="1:19" ht="18" thickBot="1" x14ac:dyDescent="0.35">
      <c r="A41" s="31"/>
      <c r="B41" s="32">
        <v>44999</v>
      </c>
      <c r="C41" s="366">
        <v>9892</v>
      </c>
      <c r="D41" s="365" t="s">
        <v>304</v>
      </c>
      <c r="E41" s="35"/>
      <c r="F41" s="97"/>
      <c r="G41" s="37"/>
      <c r="H41" s="38"/>
      <c r="I41" s="103"/>
      <c r="J41" s="338">
        <v>44995</v>
      </c>
      <c r="K41" s="347" t="s">
        <v>330</v>
      </c>
      <c r="L41" s="376">
        <v>28000</v>
      </c>
      <c r="M41" s="42">
        <v>0</v>
      </c>
      <c r="N41" s="43">
        <v>0</v>
      </c>
      <c r="P41" s="69">
        <v>0</v>
      </c>
      <c r="Q41" s="45">
        <f t="shared" si="1"/>
        <v>0</v>
      </c>
      <c r="R41" s="46">
        <v>0</v>
      </c>
    </row>
    <row r="42" spans="1:19" ht="18" thickBot="1" x14ac:dyDescent="0.35">
      <c r="A42" s="31"/>
      <c r="B42" s="32">
        <v>44999</v>
      </c>
      <c r="C42" s="366">
        <v>3962</v>
      </c>
      <c r="D42" s="102" t="s">
        <v>305</v>
      </c>
      <c r="E42" s="35"/>
      <c r="F42" s="97"/>
      <c r="G42" s="37"/>
      <c r="H42" s="38"/>
      <c r="I42" s="103"/>
      <c r="J42" s="340">
        <v>44998</v>
      </c>
      <c r="K42" s="347" t="s">
        <v>331</v>
      </c>
      <c r="L42" s="376">
        <v>1856</v>
      </c>
      <c r="M42" s="42">
        <v>0</v>
      </c>
      <c r="N42" s="43">
        <v>0</v>
      </c>
      <c r="P42" s="69">
        <v>0</v>
      </c>
      <c r="Q42" s="45">
        <f t="shared" si="1"/>
        <v>0</v>
      </c>
      <c r="R42" s="46">
        <v>0</v>
      </c>
    </row>
    <row r="43" spans="1:19" ht="18" thickBot="1" x14ac:dyDescent="0.35">
      <c r="A43" s="31"/>
      <c r="B43" s="32">
        <v>44999</v>
      </c>
      <c r="C43" s="366">
        <v>5264</v>
      </c>
      <c r="D43" s="102" t="s">
        <v>306</v>
      </c>
      <c r="E43" s="35"/>
      <c r="F43" s="97"/>
      <c r="G43" s="37"/>
      <c r="H43" s="38"/>
      <c r="I43" s="103"/>
      <c r="J43" s="338">
        <v>44998</v>
      </c>
      <c r="K43" s="343" t="s">
        <v>343</v>
      </c>
      <c r="L43" s="376">
        <v>6356.3</v>
      </c>
      <c r="M43" s="42">
        <v>0</v>
      </c>
      <c r="N43" s="43">
        <v>0</v>
      </c>
      <c r="P43" s="69">
        <v>0</v>
      </c>
      <c r="Q43" s="45">
        <f t="shared" si="1"/>
        <v>0</v>
      </c>
      <c r="R43" s="46">
        <v>0</v>
      </c>
    </row>
    <row r="44" spans="1:19" ht="18" thickBot="1" x14ac:dyDescent="0.35">
      <c r="A44" s="31"/>
      <c r="B44" s="32">
        <v>44999</v>
      </c>
      <c r="C44" s="366">
        <v>1880</v>
      </c>
      <c r="D44" s="102" t="s">
        <v>307</v>
      </c>
      <c r="E44" s="35"/>
      <c r="F44" s="97"/>
      <c r="G44" s="37"/>
      <c r="H44" s="38"/>
      <c r="I44" s="103"/>
      <c r="J44" s="338">
        <v>44998</v>
      </c>
      <c r="K44" s="343" t="s">
        <v>358</v>
      </c>
      <c r="L44" s="376">
        <v>10926.4</v>
      </c>
      <c r="M44" s="42">
        <v>0</v>
      </c>
      <c r="N44" s="43">
        <v>0</v>
      </c>
      <c r="P44" s="69">
        <v>0</v>
      </c>
      <c r="Q44" s="45">
        <f t="shared" si="1"/>
        <v>0</v>
      </c>
      <c r="R44" s="46">
        <v>0</v>
      </c>
    </row>
    <row r="45" spans="1:19" ht="18" thickBot="1" x14ac:dyDescent="0.35">
      <c r="A45" s="31"/>
      <c r="B45" s="32">
        <v>44999</v>
      </c>
      <c r="C45" s="366">
        <v>6448</v>
      </c>
      <c r="D45" s="102" t="s">
        <v>308</v>
      </c>
      <c r="E45" s="35"/>
      <c r="F45" s="97"/>
      <c r="G45" s="37"/>
      <c r="H45" s="38"/>
      <c r="I45" s="103"/>
      <c r="J45" s="338">
        <v>44999</v>
      </c>
      <c r="K45" s="343" t="s">
        <v>332</v>
      </c>
      <c r="L45" s="376">
        <v>6264</v>
      </c>
      <c r="M45" s="42">
        <v>0</v>
      </c>
      <c r="N45" s="43">
        <v>0</v>
      </c>
      <c r="P45" s="69">
        <v>0</v>
      </c>
      <c r="Q45" s="45">
        <f t="shared" si="1"/>
        <v>0</v>
      </c>
      <c r="R45" s="46">
        <v>0</v>
      </c>
    </row>
    <row r="46" spans="1:19" ht="18" thickBot="1" x14ac:dyDescent="0.35">
      <c r="A46" s="31"/>
      <c r="B46" s="32">
        <v>44999</v>
      </c>
      <c r="C46" s="366">
        <v>9864</v>
      </c>
      <c r="D46" s="102" t="s">
        <v>309</v>
      </c>
      <c r="E46" s="35"/>
      <c r="F46" s="97"/>
      <c r="G46" s="37"/>
      <c r="H46" s="38"/>
      <c r="I46" s="103"/>
      <c r="J46" s="338">
        <v>44999</v>
      </c>
      <c r="K46" s="343" t="s">
        <v>333</v>
      </c>
      <c r="L46" s="376">
        <v>17782.8</v>
      </c>
      <c r="M46" s="42">
        <v>0</v>
      </c>
      <c r="N46" s="43">
        <v>0</v>
      </c>
      <c r="P46" s="69">
        <v>0</v>
      </c>
      <c r="Q46" s="45">
        <f t="shared" si="1"/>
        <v>0</v>
      </c>
      <c r="R46" s="46">
        <v>0</v>
      </c>
    </row>
    <row r="47" spans="1:19" ht="18" thickBot="1" x14ac:dyDescent="0.35">
      <c r="A47" s="31"/>
      <c r="B47" s="32">
        <v>44999</v>
      </c>
      <c r="C47" s="366">
        <v>4235</v>
      </c>
      <c r="D47" s="102" t="s">
        <v>310</v>
      </c>
      <c r="E47" s="104"/>
      <c r="F47" s="105"/>
      <c r="G47" s="37"/>
      <c r="H47" s="106"/>
      <c r="I47" s="103"/>
      <c r="J47" s="338">
        <v>44999</v>
      </c>
      <c r="K47" s="343" t="s">
        <v>334</v>
      </c>
      <c r="L47" s="376">
        <v>5104</v>
      </c>
      <c r="M47" s="42">
        <v>0</v>
      </c>
      <c r="N47" s="100">
        <v>0</v>
      </c>
      <c r="P47" s="69">
        <v>0</v>
      </c>
      <c r="Q47" s="45">
        <f t="shared" si="1"/>
        <v>0</v>
      </c>
      <c r="R47" s="46">
        <v>0</v>
      </c>
    </row>
    <row r="48" spans="1:19" ht="18" thickBot="1" x14ac:dyDescent="0.35">
      <c r="A48" s="31"/>
      <c r="B48" s="32">
        <v>44999</v>
      </c>
      <c r="C48" s="366">
        <v>3900</v>
      </c>
      <c r="D48" s="102" t="s">
        <v>311</v>
      </c>
      <c r="E48" s="104"/>
      <c r="F48" s="105"/>
      <c r="G48" s="37"/>
      <c r="H48" s="106"/>
      <c r="I48" s="103"/>
      <c r="J48" s="338">
        <v>44999</v>
      </c>
      <c r="K48" s="343" t="s">
        <v>366</v>
      </c>
      <c r="L48" s="376">
        <v>2552</v>
      </c>
      <c r="M48" s="107"/>
      <c r="N48" s="44"/>
      <c r="P48" s="44">
        <v>0</v>
      </c>
      <c r="Q48" s="108">
        <v>0</v>
      </c>
      <c r="R48" s="46">
        <v>0</v>
      </c>
    </row>
    <row r="49" spans="1:18" ht="18" thickBot="1" x14ac:dyDescent="0.35">
      <c r="A49" s="31"/>
      <c r="B49" s="32">
        <v>44999</v>
      </c>
      <c r="C49" s="366">
        <v>8424</v>
      </c>
      <c r="D49" s="109" t="s">
        <v>145</v>
      </c>
      <c r="E49" s="104"/>
      <c r="F49" s="110"/>
      <c r="G49" s="37"/>
      <c r="H49" s="106"/>
      <c r="I49" s="103"/>
      <c r="J49" s="338">
        <v>45001</v>
      </c>
      <c r="K49" s="343" t="s">
        <v>343</v>
      </c>
      <c r="L49" s="376">
        <v>6074.64</v>
      </c>
      <c r="M49" s="464">
        <f>SUM(M5:M40)</f>
        <v>1803019.98</v>
      </c>
      <c r="N49" s="464">
        <f>SUM(N5:N40)</f>
        <v>1138524</v>
      </c>
      <c r="P49" s="111">
        <f>SUM(P5:P40)</f>
        <v>3684795.48</v>
      </c>
      <c r="Q49" s="476">
        <f>SUM(Q5:Q40)</f>
        <v>7.9800000000104774</v>
      </c>
      <c r="R49" s="46">
        <v>0</v>
      </c>
    </row>
    <row r="50" spans="1:18" ht="18" thickBot="1" x14ac:dyDescent="0.35">
      <c r="A50" s="31"/>
      <c r="B50" s="32">
        <v>44999</v>
      </c>
      <c r="C50" s="366">
        <v>2679</v>
      </c>
      <c r="D50" s="109" t="s">
        <v>145</v>
      </c>
      <c r="E50" s="104"/>
      <c r="F50" s="110"/>
      <c r="G50" s="37"/>
      <c r="H50" s="106"/>
      <c r="I50" s="103"/>
      <c r="J50" s="87">
        <v>45001</v>
      </c>
      <c r="K50" s="343" t="s">
        <v>336</v>
      </c>
      <c r="L50" s="378">
        <v>10278.9</v>
      </c>
      <c r="M50" s="465"/>
      <c r="N50" s="465"/>
      <c r="P50" s="44"/>
      <c r="Q50" s="477"/>
      <c r="R50" s="112">
        <f>SUM(R5:R49)</f>
        <v>353172.5</v>
      </c>
    </row>
    <row r="51" spans="1:18" ht="18" thickBot="1" x14ac:dyDescent="0.35">
      <c r="A51" s="31"/>
      <c r="B51" s="32">
        <v>45001</v>
      </c>
      <c r="C51" s="366">
        <v>675045.15</v>
      </c>
      <c r="D51" s="114" t="s">
        <v>359</v>
      </c>
      <c r="E51" s="104"/>
      <c r="F51" s="110"/>
      <c r="G51" s="37"/>
      <c r="H51" s="106"/>
      <c r="I51" s="103"/>
      <c r="J51" s="338">
        <v>45002</v>
      </c>
      <c r="K51" s="343" t="s">
        <v>360</v>
      </c>
      <c r="L51" s="376">
        <v>2282.65</v>
      </c>
      <c r="M51" s="113"/>
      <c r="N51" s="113"/>
      <c r="P51" s="44"/>
      <c r="Q51" s="19"/>
    </row>
    <row r="52" spans="1:18" ht="18" thickBot="1" x14ac:dyDescent="0.35">
      <c r="A52" s="31"/>
      <c r="B52" s="32">
        <v>45002</v>
      </c>
      <c r="C52" s="366">
        <v>200000</v>
      </c>
      <c r="D52" s="114" t="s">
        <v>232</v>
      </c>
      <c r="E52" s="104"/>
      <c r="F52" s="110"/>
      <c r="G52" s="37"/>
      <c r="H52" s="106"/>
      <c r="I52" s="103"/>
      <c r="J52" s="363">
        <v>45006</v>
      </c>
      <c r="K52" s="349" t="s">
        <v>361</v>
      </c>
      <c r="L52" s="379">
        <v>3410.57</v>
      </c>
      <c r="M52" s="113"/>
      <c r="N52" s="113"/>
      <c r="P52" s="44"/>
      <c r="Q52" s="19"/>
    </row>
    <row r="53" spans="1:18" ht="18" thickBot="1" x14ac:dyDescent="0.35">
      <c r="A53" s="31"/>
      <c r="B53" s="32">
        <v>45006</v>
      </c>
      <c r="C53" s="366">
        <v>120239.3</v>
      </c>
      <c r="D53" s="114" t="s">
        <v>232</v>
      </c>
      <c r="E53" s="104"/>
      <c r="F53" s="110"/>
      <c r="G53" s="37"/>
      <c r="H53" s="106"/>
      <c r="I53" s="103"/>
      <c r="J53" s="338">
        <v>45007</v>
      </c>
      <c r="K53" s="343" t="s">
        <v>330</v>
      </c>
      <c r="L53" s="376">
        <v>28000</v>
      </c>
      <c r="M53" s="478">
        <f>M49+N49</f>
        <v>2941543.98</v>
      </c>
      <c r="N53" s="479"/>
      <c r="P53" s="44"/>
      <c r="Q53" s="19"/>
    </row>
    <row r="54" spans="1:18" ht="18" thickBot="1" x14ac:dyDescent="0.35">
      <c r="A54" s="31"/>
      <c r="B54" s="32">
        <v>45014</v>
      </c>
      <c r="C54" s="366">
        <v>5885.8</v>
      </c>
      <c r="D54" s="114" t="s">
        <v>364</v>
      </c>
      <c r="E54" s="104"/>
      <c r="F54" s="110"/>
      <c r="G54" s="37"/>
      <c r="H54" s="106"/>
      <c r="I54" s="103"/>
      <c r="J54" s="338">
        <v>45007</v>
      </c>
      <c r="K54" s="349" t="s">
        <v>362</v>
      </c>
      <c r="L54" s="376">
        <v>5395.16</v>
      </c>
      <c r="M54" s="113"/>
      <c r="N54" s="113"/>
      <c r="P54" s="44"/>
      <c r="Q54" s="19"/>
    </row>
    <row r="55" spans="1:18" ht="18" thickBot="1" x14ac:dyDescent="0.35">
      <c r="A55" s="31"/>
      <c r="B55" s="32"/>
      <c r="C55" s="93"/>
      <c r="D55" s="114"/>
      <c r="E55" s="104"/>
      <c r="F55" s="110"/>
      <c r="G55" s="37"/>
      <c r="H55" s="106"/>
      <c r="I55" s="103"/>
      <c r="J55" s="338">
        <v>45007</v>
      </c>
      <c r="K55" s="349" t="s">
        <v>363</v>
      </c>
      <c r="L55" s="376">
        <v>6200</v>
      </c>
      <c r="M55" s="113"/>
      <c r="N55" s="113"/>
      <c r="P55" s="44"/>
      <c r="Q55" s="19"/>
    </row>
    <row r="56" spans="1:18" ht="18" thickBot="1" x14ac:dyDescent="0.35">
      <c r="A56" s="31"/>
      <c r="B56" s="32"/>
      <c r="C56" s="93"/>
      <c r="D56" s="114"/>
      <c r="E56" s="104"/>
      <c r="F56" s="110"/>
      <c r="G56" s="37"/>
      <c r="H56" s="106"/>
      <c r="I56" s="103"/>
      <c r="J56" s="341">
        <v>45008</v>
      </c>
      <c r="K56" s="343" t="s">
        <v>343</v>
      </c>
      <c r="L56" s="380">
        <v>3151.02</v>
      </c>
      <c r="M56" s="113"/>
      <c r="N56" s="113"/>
      <c r="P56" s="44"/>
      <c r="Q56" s="19"/>
    </row>
    <row r="57" spans="1:18" ht="18" thickBot="1" x14ac:dyDescent="0.35">
      <c r="A57" s="31"/>
      <c r="B57" s="32"/>
      <c r="C57" s="93"/>
      <c r="D57" s="114"/>
      <c r="E57" s="104"/>
      <c r="F57" s="110"/>
      <c r="G57" s="37"/>
      <c r="H57" s="106"/>
      <c r="I57" s="103"/>
      <c r="J57" s="341">
        <v>45009</v>
      </c>
      <c r="K57" s="343" t="s">
        <v>228</v>
      </c>
      <c r="L57" s="380">
        <v>1232.79</v>
      </c>
      <c r="M57" s="113"/>
      <c r="N57" s="113"/>
      <c r="P57" s="44"/>
      <c r="Q57" s="19"/>
    </row>
    <row r="58" spans="1:18" ht="18" thickBot="1" x14ac:dyDescent="0.35">
      <c r="A58" s="31"/>
      <c r="B58" s="32"/>
      <c r="C58" s="93"/>
      <c r="D58" s="114"/>
      <c r="E58" s="104"/>
      <c r="F58" s="110"/>
      <c r="G58" s="37"/>
      <c r="H58" s="106"/>
      <c r="I58" s="103"/>
      <c r="J58" s="341">
        <v>45012</v>
      </c>
      <c r="K58" s="343" t="s">
        <v>225</v>
      </c>
      <c r="L58" s="380">
        <v>1098</v>
      </c>
      <c r="M58" s="113"/>
      <c r="N58" s="113"/>
      <c r="P58" s="44"/>
      <c r="Q58" s="19"/>
    </row>
    <row r="59" spans="1:18" ht="18" thickBot="1" x14ac:dyDescent="0.35">
      <c r="A59" s="31"/>
      <c r="B59" s="32"/>
      <c r="C59" s="93"/>
      <c r="D59" s="114"/>
      <c r="E59" s="104"/>
      <c r="F59" s="110"/>
      <c r="G59" s="37"/>
      <c r="H59" s="106"/>
      <c r="I59" s="103"/>
      <c r="J59" s="341">
        <v>45013</v>
      </c>
      <c r="K59" s="343" t="s">
        <v>333</v>
      </c>
      <c r="L59" s="380">
        <v>3770</v>
      </c>
      <c r="M59" s="113"/>
      <c r="N59" s="113"/>
      <c r="P59" s="44"/>
      <c r="Q59" s="19"/>
    </row>
    <row r="60" spans="1:18" ht="18" thickBot="1" x14ac:dyDescent="0.35">
      <c r="A60" s="31"/>
      <c r="B60" s="32"/>
      <c r="C60" s="93"/>
      <c r="D60" s="114"/>
      <c r="E60" s="104"/>
      <c r="F60" s="110"/>
      <c r="G60" s="37"/>
      <c r="H60" s="106"/>
      <c r="I60" s="103"/>
      <c r="J60" s="341">
        <v>45014</v>
      </c>
      <c r="K60" s="343" t="s">
        <v>334</v>
      </c>
      <c r="L60" s="380">
        <v>3763.04</v>
      </c>
      <c r="M60" s="113"/>
      <c r="N60" s="113"/>
      <c r="P60" s="44"/>
      <c r="Q60" s="19"/>
    </row>
    <row r="61" spans="1:18" ht="18" thickBot="1" x14ac:dyDescent="0.35">
      <c r="A61" s="31"/>
      <c r="B61" s="32"/>
      <c r="C61" s="93"/>
      <c r="D61" s="114"/>
      <c r="E61" s="104"/>
      <c r="F61" s="110"/>
      <c r="G61" s="37"/>
      <c r="H61" s="106"/>
      <c r="I61" s="103"/>
      <c r="J61" s="341">
        <v>45014</v>
      </c>
      <c r="K61" s="383" t="s">
        <v>353</v>
      </c>
      <c r="L61" s="380">
        <v>28926.67</v>
      </c>
      <c r="M61" s="113"/>
      <c r="N61" s="113"/>
      <c r="P61" s="44"/>
      <c r="Q61" s="19"/>
    </row>
    <row r="62" spans="1:18" ht="18" thickBot="1" x14ac:dyDescent="0.35">
      <c r="A62" s="31"/>
      <c r="B62" s="32"/>
      <c r="C62" s="122"/>
      <c r="D62" s="114"/>
      <c r="E62" s="104"/>
      <c r="F62" s="110"/>
      <c r="G62" s="37"/>
      <c r="H62" s="106"/>
      <c r="I62" s="103"/>
      <c r="J62" s="341"/>
      <c r="K62" s="350"/>
      <c r="L62" s="84"/>
      <c r="M62" s="113"/>
      <c r="N62" s="113"/>
      <c r="P62" s="44"/>
      <c r="Q62" s="19"/>
    </row>
    <row r="63" spans="1:18" ht="18.75" thickTop="1" thickBot="1" x14ac:dyDescent="0.35">
      <c r="A63" s="31"/>
      <c r="B63" s="32"/>
      <c r="C63" s="124"/>
      <c r="D63" s="114"/>
      <c r="E63" s="104"/>
      <c r="F63" s="110"/>
      <c r="G63" s="37"/>
      <c r="H63" s="106"/>
      <c r="I63" s="103"/>
      <c r="J63" s="341"/>
      <c r="K63" s="343"/>
      <c r="L63" s="84"/>
      <c r="M63" s="113"/>
      <c r="N63" s="113"/>
      <c r="P63" s="44"/>
      <c r="Q63" s="19"/>
    </row>
    <row r="64" spans="1:18" ht="18" thickBot="1" x14ac:dyDescent="0.35">
      <c r="A64" s="31"/>
      <c r="B64" s="32"/>
      <c r="C64" s="33"/>
      <c r="D64" s="114"/>
      <c r="E64" s="104"/>
      <c r="F64" s="110"/>
      <c r="G64" s="37"/>
      <c r="H64" s="106"/>
      <c r="I64" s="103"/>
      <c r="J64" s="341"/>
      <c r="K64" s="350"/>
      <c r="L64" s="84"/>
      <c r="M64" s="113"/>
      <c r="N64" s="113"/>
      <c r="P64" s="44"/>
      <c r="Q64" s="19"/>
    </row>
    <row r="65" spans="1:17" ht="18" thickBot="1" x14ac:dyDescent="0.35">
      <c r="A65" s="31"/>
      <c r="B65" s="32"/>
      <c r="C65" s="33"/>
      <c r="D65" s="114"/>
      <c r="E65" s="104"/>
      <c r="F65" s="110"/>
      <c r="G65" s="37"/>
      <c r="H65" s="106"/>
      <c r="I65" s="103"/>
      <c r="J65" s="341"/>
      <c r="K65" s="343"/>
      <c r="L65" s="84"/>
      <c r="M65" s="113"/>
      <c r="N65" s="113"/>
      <c r="P65" s="44"/>
      <c r="Q65" s="19"/>
    </row>
    <row r="66" spans="1:17" ht="18" thickBot="1" x14ac:dyDescent="0.35">
      <c r="A66" s="31"/>
      <c r="B66" s="32"/>
      <c r="C66" s="33"/>
      <c r="D66" s="114"/>
      <c r="E66" s="104"/>
      <c r="F66" s="110"/>
      <c r="G66" s="37"/>
      <c r="H66" s="106"/>
      <c r="I66" s="103"/>
      <c r="J66" s="341"/>
      <c r="K66" s="343"/>
      <c r="L66" s="84"/>
      <c r="M66" s="113"/>
      <c r="N66" s="113"/>
      <c r="P66" s="44"/>
      <c r="Q66" s="19"/>
    </row>
    <row r="67" spans="1:17" ht="18" thickBot="1" x14ac:dyDescent="0.35">
      <c r="A67" s="31"/>
      <c r="B67" s="32"/>
      <c r="C67" s="33"/>
      <c r="D67" s="114"/>
      <c r="E67" s="104"/>
      <c r="F67" s="110"/>
      <c r="G67" s="37"/>
      <c r="H67" s="106"/>
      <c r="I67" s="103"/>
      <c r="J67" s="341"/>
      <c r="K67" s="351"/>
      <c r="L67" s="84"/>
      <c r="M67" s="113"/>
      <c r="N67" s="113"/>
      <c r="P67" s="44"/>
      <c r="Q67" s="19"/>
    </row>
    <row r="68" spans="1:17" ht="16.5" thickBot="1" x14ac:dyDescent="0.3">
      <c r="A68" s="31"/>
      <c r="B68" s="32"/>
      <c r="C68" s="33"/>
      <c r="D68" s="126"/>
      <c r="E68" s="104"/>
      <c r="F68" s="127"/>
      <c r="G68" s="37"/>
      <c r="H68" s="128"/>
      <c r="I68" s="103"/>
      <c r="J68" s="129"/>
      <c r="K68" s="73"/>
      <c r="L68" s="84"/>
      <c r="M68" s="44"/>
      <c r="N68" s="44"/>
      <c r="P68" s="44"/>
      <c r="Q68" s="19"/>
    </row>
    <row r="69" spans="1:17" ht="16.5" thickBot="1" x14ac:dyDescent="0.3">
      <c r="A69" s="31"/>
      <c r="B69" s="130"/>
      <c r="C69" s="131"/>
      <c r="D69" s="126"/>
      <c r="E69" s="132"/>
      <c r="F69" s="44"/>
      <c r="G69" s="37"/>
      <c r="H69" s="106"/>
      <c r="I69" s="44"/>
      <c r="J69" s="133"/>
      <c r="K69" s="125"/>
      <c r="L69" s="84"/>
      <c r="M69" s="44"/>
      <c r="N69" s="44"/>
      <c r="P69" s="44"/>
      <c r="Q69" s="19"/>
    </row>
    <row r="70" spans="1:17" ht="16.5" hidden="1" thickBot="1" x14ac:dyDescent="0.3">
      <c r="A70" s="31"/>
      <c r="B70" s="134"/>
      <c r="C70" s="131"/>
      <c r="D70" s="135"/>
      <c r="E70" s="136"/>
      <c r="F70" s="44"/>
      <c r="H70" s="137"/>
      <c r="I70" s="44"/>
      <c r="J70" s="133"/>
      <c r="K70" s="125"/>
      <c r="L70" s="84"/>
      <c r="M70" s="44"/>
      <c r="N70" s="44"/>
      <c r="P70" s="44"/>
      <c r="Q70" s="19"/>
    </row>
    <row r="71" spans="1:17" ht="16.5" hidden="1" thickBot="1" x14ac:dyDescent="0.3">
      <c r="A71" s="31"/>
      <c r="B71" s="134"/>
      <c r="C71" s="131"/>
      <c r="D71" s="135"/>
      <c r="E71" s="136"/>
      <c r="F71" s="44"/>
      <c r="H71" s="137"/>
      <c r="I71" s="44"/>
      <c r="J71" s="133"/>
      <c r="K71" s="125"/>
      <c r="L71" s="84"/>
      <c r="M71" s="44"/>
      <c r="N71" s="44"/>
      <c r="P71" s="44"/>
      <c r="Q71" s="19"/>
    </row>
    <row r="72" spans="1:17" ht="16.5" hidden="1" thickBot="1" x14ac:dyDescent="0.3">
      <c r="A72" s="31"/>
      <c r="B72" s="134"/>
      <c r="C72" s="131"/>
      <c r="D72" s="135"/>
      <c r="E72" s="136"/>
      <c r="F72" s="44"/>
      <c r="H72" s="137"/>
      <c r="I72" s="44"/>
      <c r="J72" s="133"/>
      <c r="K72" s="125"/>
      <c r="L72" s="84"/>
      <c r="M72" s="44"/>
      <c r="N72" s="44"/>
      <c r="P72" s="44"/>
      <c r="Q72" s="19"/>
    </row>
    <row r="73" spans="1:17" ht="16.5" hidden="1" thickBot="1" x14ac:dyDescent="0.3">
      <c r="A73" s="31"/>
      <c r="B73" s="134"/>
      <c r="C73" s="131"/>
      <c r="D73" s="135"/>
      <c r="E73" s="136"/>
      <c r="F73" s="44"/>
      <c r="H73" s="137"/>
      <c r="I73" s="44"/>
      <c r="J73" s="133"/>
      <c r="K73" s="125"/>
      <c r="L73" s="84"/>
      <c r="M73" s="44"/>
      <c r="N73" s="44"/>
      <c r="P73" s="44"/>
      <c r="Q73" s="19"/>
    </row>
    <row r="74" spans="1:17" ht="16.5" thickBot="1" x14ac:dyDescent="0.3">
      <c r="A74" s="31"/>
      <c r="B74" s="134"/>
      <c r="C74" s="131"/>
      <c r="D74" s="135"/>
      <c r="E74" s="136"/>
      <c r="F74" s="44"/>
      <c r="H74" s="137"/>
      <c r="I74" s="44"/>
      <c r="J74" s="138"/>
      <c r="K74" s="139"/>
      <c r="L74" s="13"/>
      <c r="M74" s="44"/>
      <c r="N74" s="44"/>
      <c r="P74" s="44"/>
      <c r="Q74" s="19"/>
    </row>
    <row r="75" spans="1:17" ht="16.5" thickBot="1" x14ac:dyDescent="0.3">
      <c r="B75" s="140" t="s">
        <v>12</v>
      </c>
      <c r="C75" s="141">
        <f>SUM(C5:C68)</f>
        <v>1572365</v>
      </c>
      <c r="D75" s="142"/>
      <c r="E75" s="143" t="s">
        <v>12</v>
      </c>
      <c r="F75" s="144">
        <f>SUM(F5:F68)</f>
        <v>3331615</v>
      </c>
      <c r="G75" s="145"/>
      <c r="H75" s="143" t="s">
        <v>13</v>
      </c>
      <c r="I75" s="146">
        <f>SUM(I5:I68)</f>
        <v>75549</v>
      </c>
      <c r="J75" s="147"/>
      <c r="K75" s="148" t="s">
        <v>14</v>
      </c>
      <c r="L75" s="149">
        <f>SUM(L5:L73)-L26</f>
        <v>570591.08000000031</v>
      </c>
      <c r="M75" s="150"/>
      <c r="N75" s="150"/>
      <c r="P75" s="44"/>
      <c r="Q75" s="19"/>
    </row>
    <row r="76" spans="1:17" ht="16.5" thickTop="1" x14ac:dyDescent="0.25">
      <c r="C76" s="5" t="s">
        <v>10</v>
      </c>
      <c r="P76" s="44"/>
      <c r="Q76" s="19"/>
    </row>
    <row r="77" spans="1:17" ht="18.75" x14ac:dyDescent="0.25">
      <c r="A77" s="152"/>
      <c r="B77" s="153"/>
      <c r="C77" s="1"/>
      <c r="H77" s="472" t="s">
        <v>15</v>
      </c>
      <c r="I77" s="473"/>
      <c r="J77" s="154"/>
      <c r="K77" s="474">
        <f>I75+L75</f>
        <v>646140.08000000031</v>
      </c>
      <c r="L77" s="475"/>
      <c r="M77" s="155"/>
      <c r="N77" s="155"/>
      <c r="P77" s="44"/>
      <c r="Q77" s="19"/>
    </row>
    <row r="78" spans="1:17" x14ac:dyDescent="0.25">
      <c r="D78" s="466" t="s">
        <v>16</v>
      </c>
      <c r="E78" s="466"/>
      <c r="F78" s="156">
        <f>F75-K77-C75</f>
        <v>1113109.92</v>
      </c>
      <c r="I78" s="157"/>
      <c r="J78" s="158"/>
    </row>
    <row r="79" spans="1:17" ht="18.75" x14ac:dyDescent="0.3">
      <c r="D79" s="467" t="s">
        <v>17</v>
      </c>
      <c r="E79" s="467"/>
      <c r="F79" s="101">
        <v>-1405309.97</v>
      </c>
      <c r="I79" s="468" t="s">
        <v>18</v>
      </c>
      <c r="J79" s="469"/>
      <c r="K79" s="470">
        <f>F81+F82+F83</f>
        <v>3400888.74</v>
      </c>
      <c r="L79" s="470"/>
      <c r="M79" s="159"/>
      <c r="N79" s="159"/>
      <c r="O79" s="160"/>
      <c r="P79" s="159"/>
      <c r="Q79" s="159"/>
    </row>
    <row r="80" spans="1:17" ht="19.5" thickBot="1" x14ac:dyDescent="0.35">
      <c r="D80" s="161" t="s">
        <v>19</v>
      </c>
      <c r="E80" s="162"/>
      <c r="F80" s="163">
        <v>-103441.83</v>
      </c>
      <c r="I80" s="164"/>
      <c r="J80" s="165"/>
      <c r="K80" s="166"/>
      <c r="L80" s="167"/>
      <c r="M80" s="159"/>
      <c r="N80" s="159"/>
      <c r="O80" s="160"/>
      <c r="P80" s="159"/>
      <c r="Q80" s="159"/>
    </row>
    <row r="81" spans="2:14" ht="19.5" thickTop="1" x14ac:dyDescent="0.3">
      <c r="C81" s="7" t="s">
        <v>10</v>
      </c>
      <c r="E81" s="152" t="s">
        <v>20</v>
      </c>
      <c r="F81" s="150">
        <f>SUM(F78:F80)</f>
        <v>-395641.88000000006</v>
      </c>
      <c r="H81" s="168"/>
      <c r="I81" s="169" t="s">
        <v>21</v>
      </c>
      <c r="J81" s="170"/>
      <c r="K81" s="471">
        <f>-C4</f>
        <v>-3504178.07</v>
      </c>
      <c r="L81" s="470"/>
    </row>
    <row r="82" spans="2:14" ht="16.5" thickBot="1" x14ac:dyDescent="0.3">
      <c r="D82" s="171" t="s">
        <v>22</v>
      </c>
      <c r="E82" s="152" t="s">
        <v>23</v>
      </c>
      <c r="F82" s="101">
        <v>228537</v>
      </c>
    </row>
    <row r="83" spans="2:14" ht="20.25" thickTop="1" thickBot="1" x14ac:dyDescent="0.35">
      <c r="C83" s="172">
        <v>45014</v>
      </c>
      <c r="D83" s="459" t="s">
        <v>24</v>
      </c>
      <c r="E83" s="460"/>
      <c r="F83" s="173">
        <v>3567993.62</v>
      </c>
      <c r="I83" s="461" t="s">
        <v>220</v>
      </c>
      <c r="J83" s="462"/>
      <c r="K83" s="463">
        <f>K79+K81</f>
        <v>-103289.32999999961</v>
      </c>
      <c r="L83" s="463"/>
    </row>
    <row r="84" spans="2:14" ht="17.25" x14ac:dyDescent="0.3">
      <c r="C84" s="174"/>
      <c r="D84" s="175"/>
      <c r="E84" s="152"/>
      <c r="F84" s="176"/>
      <c r="J84" s="177"/>
    </row>
    <row r="85" spans="2:14" ht="20.25" customHeight="1" x14ac:dyDescent="0.25">
      <c r="I85" s="178"/>
      <c r="J85" s="178"/>
      <c r="K85" s="179"/>
      <c r="L85" s="180"/>
    </row>
    <row r="86" spans="2:14" ht="16.5" customHeight="1" x14ac:dyDescent="0.25">
      <c r="B86" s="181"/>
      <c r="C86" s="182"/>
      <c r="D86" s="183"/>
      <c r="E86" s="44"/>
      <c r="I86" s="178"/>
      <c r="J86" s="178"/>
      <c r="K86" s="179"/>
      <c r="L86" s="180"/>
      <c r="M86" s="184"/>
      <c r="N86" s="152"/>
    </row>
    <row r="87" spans="2:14" x14ac:dyDescent="0.25">
      <c r="B87" s="181"/>
      <c r="C87" s="185"/>
      <c r="E87" s="44"/>
      <c r="M87" s="184"/>
      <c r="N87" s="152"/>
    </row>
    <row r="88" spans="2:14" x14ac:dyDescent="0.25">
      <c r="B88" s="181"/>
      <c r="C88" s="185"/>
      <c r="E88" s="44"/>
      <c r="F88" s="186"/>
      <c r="L88" s="187"/>
      <c r="M88" s="1"/>
    </row>
    <row r="89" spans="2:14" x14ac:dyDescent="0.25">
      <c r="B89" s="181"/>
      <c r="C89" s="185"/>
      <c r="E89" s="44"/>
      <c r="M89" s="1"/>
    </row>
    <row r="90" spans="2:14" x14ac:dyDescent="0.25">
      <c r="B90" s="181"/>
      <c r="C90" s="185"/>
      <c r="D90" s="188"/>
      <c r="E90" s="44"/>
      <c r="F90" s="189"/>
      <c r="M90" s="1"/>
    </row>
    <row r="91" spans="2:14" x14ac:dyDescent="0.25">
      <c r="D91" s="188"/>
      <c r="E91" s="190"/>
      <c r="F91" s="44"/>
      <c r="M91" s="1"/>
    </row>
    <row r="92" spans="2:14" x14ac:dyDescent="0.25">
      <c r="D92" s="188"/>
      <c r="E92" s="190"/>
      <c r="F92" s="44"/>
      <c r="M92" s="1"/>
    </row>
    <row r="93" spans="2:14" x14ac:dyDescent="0.25">
      <c r="D93" s="188"/>
      <c r="E93" s="190"/>
      <c r="F93" s="44"/>
      <c r="M93" s="1"/>
    </row>
    <row r="94" spans="2:14" x14ac:dyDescent="0.25">
      <c r="D94" s="188"/>
      <c r="E94" s="190"/>
      <c r="F94" s="44"/>
      <c r="M94" s="1"/>
    </row>
    <row r="95" spans="2:14" x14ac:dyDescent="0.25">
      <c r="D95" s="188"/>
      <c r="E95" s="190"/>
      <c r="F95" s="44"/>
      <c r="M95" s="1"/>
    </row>
    <row r="96" spans="2:14" x14ac:dyDescent="0.25">
      <c r="D96" s="188"/>
      <c r="E96" s="190"/>
      <c r="F96" s="44"/>
      <c r="M96" s="1"/>
    </row>
    <row r="97" spans="4:13" x14ac:dyDescent="0.25">
      <c r="D97" s="188"/>
      <c r="E97" s="190"/>
      <c r="F97" s="44"/>
      <c r="M97" s="1"/>
    </row>
    <row r="98" spans="4:13" x14ac:dyDescent="0.25">
      <c r="D98" s="188"/>
      <c r="E98" s="190"/>
      <c r="F98" s="44"/>
      <c r="M98" s="1"/>
    </row>
    <row r="99" spans="4:13" x14ac:dyDescent="0.25">
      <c r="D99" s="188"/>
      <c r="E99" s="190"/>
      <c r="F99" s="44"/>
      <c r="M99" s="1"/>
    </row>
    <row r="100" spans="4:13" x14ac:dyDescent="0.25">
      <c r="D100" s="188"/>
      <c r="E100" s="190"/>
      <c r="F100" s="44"/>
      <c r="M100" s="1"/>
    </row>
    <row r="101" spans="4:13" x14ac:dyDescent="0.25">
      <c r="D101" s="188"/>
      <c r="E101" s="190"/>
      <c r="F101" s="44"/>
      <c r="M101" s="1"/>
    </row>
    <row r="102" spans="4:13" x14ac:dyDescent="0.25">
      <c r="D102" s="188"/>
      <c r="E102" s="190"/>
      <c r="F102" s="44"/>
    </row>
    <row r="103" spans="4:13" x14ac:dyDescent="0.25">
      <c r="D103" s="188"/>
      <c r="E103" s="191"/>
      <c r="F103" s="189"/>
    </row>
    <row r="104" spans="4:13" x14ac:dyDescent="0.25">
      <c r="D104" s="188"/>
      <c r="E104" s="191"/>
      <c r="F104" s="189"/>
    </row>
    <row r="105" spans="4:13" x14ac:dyDescent="0.25">
      <c r="D105" s="188"/>
      <c r="E105" s="191"/>
      <c r="F105" s="189"/>
    </row>
  </sheetData>
  <sortState ref="J46:L60">
    <sortCondition ref="J46:J60"/>
  </sortState>
  <mergeCells count="22">
    <mergeCell ref="M53:N53"/>
    <mergeCell ref="P3:P4"/>
    <mergeCell ref="B1:B2"/>
    <mergeCell ref="C1:M1"/>
    <mergeCell ref="B3:C3"/>
    <mergeCell ref="H3:I3"/>
    <mergeCell ref="R3:R4"/>
    <mergeCell ref="E4:F4"/>
    <mergeCell ref="H4:I4"/>
    <mergeCell ref="D83:E83"/>
    <mergeCell ref="I83:J83"/>
    <mergeCell ref="K83:L83"/>
    <mergeCell ref="M49:M50"/>
    <mergeCell ref="N49:N50"/>
    <mergeCell ref="D78:E78"/>
    <mergeCell ref="D79:E79"/>
    <mergeCell ref="I79:J79"/>
    <mergeCell ref="K79:L79"/>
    <mergeCell ref="K81:L81"/>
    <mergeCell ref="H77:I77"/>
    <mergeCell ref="K77:L77"/>
    <mergeCell ref="Q49:Q50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N123"/>
  <sheetViews>
    <sheetView topLeftCell="A10" workbookViewId="0">
      <selection activeCell="F25" sqref="F25"/>
    </sheetView>
  </sheetViews>
  <sheetFormatPr baseColWidth="10" defaultRowHeight="15" x14ac:dyDescent="0.25"/>
  <cols>
    <col min="1" max="1" width="3.85546875" customWidth="1"/>
    <col min="2" max="2" width="13.42578125" style="258" bestFit="1" customWidth="1"/>
    <col min="3" max="3" width="14.7109375" style="280" customWidth="1"/>
    <col min="4" max="4" width="17.5703125" style="7" bestFit="1" customWidth="1"/>
    <col min="5" max="5" width="12.42578125" style="274" bestFit="1" customWidth="1"/>
    <col min="6" max="6" width="15.5703125" style="7" bestFit="1" customWidth="1"/>
    <col min="7" max="7" width="19.5703125" style="5" bestFit="1" customWidth="1"/>
    <col min="8" max="8" width="8.42578125" customWidth="1"/>
    <col min="9" max="9" width="18" style="152" customWidth="1"/>
    <col min="10" max="10" width="13.28515625" style="271" customWidth="1"/>
    <col min="11" max="11" width="18.85546875" style="7" bestFit="1" customWidth="1"/>
    <col min="12" max="12" width="12.42578125" style="274" bestFit="1" customWidth="1"/>
    <col min="13" max="13" width="15.85546875" style="7" bestFit="1" customWidth="1"/>
    <col min="14" max="14" width="19.5703125" style="5" bestFit="1" customWidth="1"/>
  </cols>
  <sheetData>
    <row r="1" spans="2:14" ht="43.5" thickTop="1" thickBot="1" x14ac:dyDescent="0.3">
      <c r="B1" s="194" t="s">
        <v>37</v>
      </c>
      <c r="C1" s="195"/>
      <c r="D1" s="196"/>
      <c r="E1" s="197"/>
      <c r="F1" s="196"/>
      <c r="G1" s="198" t="s">
        <v>27</v>
      </c>
      <c r="I1" s="199" t="s">
        <v>38</v>
      </c>
      <c r="J1" s="200"/>
      <c r="K1" s="201"/>
      <c r="L1" s="202"/>
      <c r="M1" s="201"/>
      <c r="N1" s="203" t="s">
        <v>27</v>
      </c>
    </row>
    <row r="2" spans="2:14" ht="21.75" customHeight="1" thickTop="1" thickBot="1" x14ac:dyDescent="0.35">
      <c r="B2" s="204" t="s">
        <v>28</v>
      </c>
      <c r="C2" s="205" t="s">
        <v>29</v>
      </c>
      <c r="D2" s="206" t="s">
        <v>30</v>
      </c>
      <c r="E2" s="207" t="s">
        <v>31</v>
      </c>
      <c r="F2" s="208" t="s">
        <v>32</v>
      </c>
      <c r="G2" s="209" t="s">
        <v>33</v>
      </c>
      <c r="I2" s="210" t="s">
        <v>28</v>
      </c>
      <c r="J2" s="211" t="s">
        <v>34</v>
      </c>
      <c r="K2" s="212" t="s">
        <v>30</v>
      </c>
      <c r="L2" s="213" t="s">
        <v>31</v>
      </c>
      <c r="M2" s="212" t="s">
        <v>32</v>
      </c>
      <c r="N2" s="214" t="s">
        <v>33</v>
      </c>
    </row>
    <row r="3" spans="2:14" ht="24" customHeight="1" thickTop="1" x14ac:dyDescent="0.3">
      <c r="B3" s="215">
        <v>44989</v>
      </c>
      <c r="C3" s="216" t="s">
        <v>241</v>
      </c>
      <c r="D3" s="217">
        <v>28031.5</v>
      </c>
      <c r="E3" s="218">
        <v>45026</v>
      </c>
      <c r="F3" s="217">
        <v>28031.5</v>
      </c>
      <c r="G3" s="219">
        <f>D3-F3</f>
        <v>0</v>
      </c>
      <c r="I3" s="384" t="s">
        <v>369</v>
      </c>
      <c r="J3" s="385">
        <v>11764</v>
      </c>
      <c r="K3" s="386">
        <v>600</v>
      </c>
      <c r="L3" s="409">
        <v>45005</v>
      </c>
      <c r="M3" s="407">
        <v>600</v>
      </c>
      <c r="N3" s="221">
        <f>K3-M3</f>
        <v>0</v>
      </c>
    </row>
    <row r="4" spans="2:14" ht="18.75" x14ac:dyDescent="0.3">
      <c r="B4" s="222">
        <v>44989</v>
      </c>
      <c r="C4" s="223" t="s">
        <v>240</v>
      </c>
      <c r="D4" s="101">
        <v>16713.439999999999</v>
      </c>
      <c r="E4" s="218">
        <v>45026</v>
      </c>
      <c r="F4" s="101">
        <v>16713.439999999999</v>
      </c>
      <c r="G4" s="225">
        <f t="shared" ref="G4:G65" si="0">D4-F4</f>
        <v>0</v>
      </c>
      <c r="H4" s="226"/>
      <c r="I4" s="387" t="s">
        <v>370</v>
      </c>
      <c r="J4" s="388">
        <v>11769</v>
      </c>
      <c r="K4" s="389">
        <v>3100</v>
      </c>
      <c r="L4" s="409">
        <v>45005</v>
      </c>
      <c r="M4" s="408">
        <v>3100</v>
      </c>
      <c r="N4" s="227">
        <f>N3+K4-M4</f>
        <v>0</v>
      </c>
    </row>
    <row r="5" spans="2:14" ht="18.75" x14ac:dyDescent="0.3">
      <c r="B5" s="222">
        <v>44989</v>
      </c>
      <c r="C5" s="223" t="s">
        <v>242</v>
      </c>
      <c r="D5" s="101">
        <v>38403.300000000003</v>
      </c>
      <c r="E5" s="218">
        <v>45026</v>
      </c>
      <c r="F5" s="101">
        <v>38403.300000000003</v>
      </c>
      <c r="G5" s="225">
        <f t="shared" si="0"/>
        <v>0</v>
      </c>
      <c r="I5" s="387" t="s">
        <v>370</v>
      </c>
      <c r="J5" s="388">
        <v>11777</v>
      </c>
      <c r="K5" s="389">
        <v>9070</v>
      </c>
      <c r="L5" s="409">
        <v>45005</v>
      </c>
      <c r="M5" s="408">
        <v>9070</v>
      </c>
      <c r="N5" s="227">
        <f t="shared" ref="N5:N65" si="1">N4+K5-M5</f>
        <v>0</v>
      </c>
    </row>
    <row r="6" spans="2:14" ht="18.75" x14ac:dyDescent="0.3">
      <c r="B6" s="222">
        <v>44991</v>
      </c>
      <c r="C6" s="223" t="s">
        <v>243</v>
      </c>
      <c r="D6" s="101">
        <v>47508.800000000003</v>
      </c>
      <c r="E6" s="218">
        <v>45026</v>
      </c>
      <c r="F6" s="101">
        <v>47508.800000000003</v>
      </c>
      <c r="G6" s="225">
        <f t="shared" si="0"/>
        <v>0</v>
      </c>
      <c r="I6" s="384" t="s">
        <v>370</v>
      </c>
      <c r="J6" s="385">
        <v>11778</v>
      </c>
      <c r="K6" s="386">
        <v>600</v>
      </c>
      <c r="L6" s="409">
        <v>45005</v>
      </c>
      <c r="M6" s="407">
        <v>600</v>
      </c>
      <c r="N6" s="227">
        <f t="shared" si="1"/>
        <v>0</v>
      </c>
    </row>
    <row r="7" spans="2:14" ht="18.75" x14ac:dyDescent="0.3">
      <c r="B7" s="222">
        <v>44992</v>
      </c>
      <c r="C7" s="223" t="s">
        <v>244</v>
      </c>
      <c r="D7" s="101">
        <v>7298.8</v>
      </c>
      <c r="E7" s="218">
        <v>45026</v>
      </c>
      <c r="F7" s="101">
        <v>7298.8</v>
      </c>
      <c r="G7" s="225">
        <f t="shared" si="0"/>
        <v>0</v>
      </c>
      <c r="I7" s="384" t="s">
        <v>371</v>
      </c>
      <c r="J7" s="385">
        <v>11788</v>
      </c>
      <c r="K7" s="386">
        <v>650</v>
      </c>
      <c r="L7" s="409">
        <v>45005</v>
      </c>
      <c r="M7" s="407">
        <v>650</v>
      </c>
      <c r="N7" s="227">
        <f t="shared" si="1"/>
        <v>0</v>
      </c>
    </row>
    <row r="8" spans="2:14" ht="32.25" x14ac:dyDescent="0.3">
      <c r="B8" s="222">
        <v>44993</v>
      </c>
      <c r="C8" s="223" t="s">
        <v>245</v>
      </c>
      <c r="D8" s="101">
        <v>63925.72</v>
      </c>
      <c r="E8" s="399" t="s">
        <v>427</v>
      </c>
      <c r="F8" s="101">
        <f>43189.39+20736.33</f>
        <v>63925.72</v>
      </c>
      <c r="G8" s="225">
        <f t="shared" si="0"/>
        <v>0</v>
      </c>
      <c r="I8" s="387" t="s">
        <v>372</v>
      </c>
      <c r="J8" s="388">
        <v>11795</v>
      </c>
      <c r="K8" s="389">
        <v>540</v>
      </c>
      <c r="L8" s="409">
        <v>45005</v>
      </c>
      <c r="M8" s="408">
        <v>540</v>
      </c>
      <c r="N8" s="227">
        <f t="shared" si="1"/>
        <v>0</v>
      </c>
    </row>
    <row r="9" spans="2:14" ht="18.75" x14ac:dyDescent="0.3">
      <c r="B9" s="222">
        <v>44994</v>
      </c>
      <c r="C9" s="223" t="s">
        <v>246</v>
      </c>
      <c r="D9" s="101">
        <v>48335.199999999997</v>
      </c>
      <c r="E9" s="218">
        <v>45030</v>
      </c>
      <c r="F9" s="101">
        <v>48335.199999999997</v>
      </c>
      <c r="G9" s="225">
        <f t="shared" si="0"/>
        <v>0</v>
      </c>
      <c r="I9" s="384" t="s">
        <v>372</v>
      </c>
      <c r="J9" s="385">
        <v>11796</v>
      </c>
      <c r="K9" s="386">
        <v>4324</v>
      </c>
      <c r="L9" s="409">
        <v>45005</v>
      </c>
      <c r="M9" s="407">
        <v>4324</v>
      </c>
      <c r="N9" s="227">
        <f t="shared" si="1"/>
        <v>0</v>
      </c>
    </row>
    <row r="10" spans="2:14" ht="18.75" x14ac:dyDescent="0.3">
      <c r="B10" s="222">
        <v>44995</v>
      </c>
      <c r="C10" s="223" t="s">
        <v>247</v>
      </c>
      <c r="D10" s="101">
        <v>29634.58</v>
      </c>
      <c r="E10" s="218">
        <v>45030</v>
      </c>
      <c r="F10" s="101">
        <v>29634.58</v>
      </c>
      <c r="G10" s="225">
        <f t="shared" si="0"/>
        <v>0</v>
      </c>
      <c r="H10" s="226"/>
      <c r="I10" s="387" t="s">
        <v>373</v>
      </c>
      <c r="J10" s="388">
        <v>11813</v>
      </c>
      <c r="K10" s="389">
        <v>480</v>
      </c>
      <c r="L10" s="409">
        <v>45005</v>
      </c>
      <c r="M10" s="408">
        <v>480</v>
      </c>
      <c r="N10" s="227">
        <f t="shared" si="1"/>
        <v>0</v>
      </c>
    </row>
    <row r="11" spans="2:14" ht="18.75" x14ac:dyDescent="0.3">
      <c r="B11" s="222">
        <v>44996</v>
      </c>
      <c r="C11" s="223" t="s">
        <v>248</v>
      </c>
      <c r="D11" s="101">
        <v>50269.72</v>
      </c>
      <c r="E11" s="218">
        <v>45030</v>
      </c>
      <c r="F11" s="101">
        <v>50269.72</v>
      </c>
      <c r="G11" s="225">
        <f t="shared" si="0"/>
        <v>0</v>
      </c>
      <c r="I11" s="387" t="s">
        <v>374</v>
      </c>
      <c r="J11" s="388">
        <v>11823</v>
      </c>
      <c r="K11" s="389">
        <v>9780</v>
      </c>
      <c r="L11" s="409">
        <v>45005</v>
      </c>
      <c r="M11" s="408">
        <v>9780</v>
      </c>
      <c r="N11" s="227">
        <f t="shared" si="1"/>
        <v>0</v>
      </c>
    </row>
    <row r="12" spans="2:14" ht="32.25" x14ac:dyDescent="0.3">
      <c r="B12" s="222">
        <v>44998</v>
      </c>
      <c r="C12" s="223" t="s">
        <v>249</v>
      </c>
      <c r="D12" s="101">
        <v>207174.23</v>
      </c>
      <c r="E12" s="399" t="s">
        <v>428</v>
      </c>
      <c r="F12" s="101">
        <f>50556.17+156618.06</f>
        <v>207174.22999999998</v>
      </c>
      <c r="G12" s="225">
        <f t="shared" si="0"/>
        <v>0</v>
      </c>
      <c r="I12" s="384" t="s">
        <v>375</v>
      </c>
      <c r="J12" s="385">
        <v>11828</v>
      </c>
      <c r="K12" s="386">
        <v>480</v>
      </c>
      <c r="L12" s="409">
        <v>45005</v>
      </c>
      <c r="M12" s="407">
        <v>480</v>
      </c>
      <c r="N12" s="227">
        <f t="shared" si="1"/>
        <v>0</v>
      </c>
    </row>
    <row r="13" spans="2:14" ht="32.25" x14ac:dyDescent="0.3">
      <c r="B13" s="222">
        <v>44999</v>
      </c>
      <c r="C13" s="223" t="s">
        <v>250</v>
      </c>
      <c r="D13" s="101">
        <v>101397.09</v>
      </c>
      <c r="E13" s="332" t="s">
        <v>429</v>
      </c>
      <c r="F13" s="101">
        <f>94994.94+6402.15</f>
        <v>101397.09</v>
      </c>
      <c r="G13" s="225">
        <f t="shared" si="0"/>
        <v>0</v>
      </c>
      <c r="I13" s="387" t="s">
        <v>376</v>
      </c>
      <c r="J13" s="388">
        <v>11837</v>
      </c>
      <c r="K13" s="389">
        <v>360</v>
      </c>
      <c r="L13" s="409">
        <v>45005</v>
      </c>
      <c r="M13" s="408">
        <v>360</v>
      </c>
      <c r="N13" s="227">
        <f t="shared" si="1"/>
        <v>0</v>
      </c>
    </row>
    <row r="14" spans="2:14" ht="18.75" x14ac:dyDescent="0.3">
      <c r="B14" s="222">
        <v>45000</v>
      </c>
      <c r="C14" s="223" t="s">
        <v>260</v>
      </c>
      <c r="D14" s="101">
        <v>94085.5</v>
      </c>
      <c r="E14" s="224">
        <v>45043</v>
      </c>
      <c r="F14" s="101">
        <v>94085.5</v>
      </c>
      <c r="G14" s="225">
        <f t="shared" si="0"/>
        <v>0</v>
      </c>
      <c r="I14" s="384" t="s">
        <v>377</v>
      </c>
      <c r="J14" s="385">
        <v>11844</v>
      </c>
      <c r="K14" s="386">
        <v>600</v>
      </c>
      <c r="L14" s="409">
        <v>45005</v>
      </c>
      <c r="M14" s="407">
        <v>600</v>
      </c>
      <c r="N14" s="227">
        <f t="shared" si="1"/>
        <v>0</v>
      </c>
    </row>
    <row r="15" spans="2:14" ht="18.75" x14ac:dyDescent="0.3">
      <c r="B15" s="222">
        <v>45001</v>
      </c>
      <c r="C15" s="223" t="s">
        <v>251</v>
      </c>
      <c r="D15" s="101">
        <v>13348.5</v>
      </c>
      <c r="E15" s="224">
        <v>45043</v>
      </c>
      <c r="F15" s="101">
        <v>13348.5</v>
      </c>
      <c r="G15" s="225">
        <f t="shared" si="0"/>
        <v>0</v>
      </c>
      <c r="I15" s="384" t="s">
        <v>378</v>
      </c>
      <c r="J15" s="385">
        <v>11855</v>
      </c>
      <c r="K15" s="386">
        <v>7072.8</v>
      </c>
      <c r="L15" s="430">
        <v>45050</v>
      </c>
      <c r="M15" s="431">
        <v>7072.8</v>
      </c>
      <c r="N15" s="227">
        <f t="shared" si="1"/>
        <v>0</v>
      </c>
    </row>
    <row r="16" spans="2:14" ht="18.75" x14ac:dyDescent="0.3">
      <c r="B16" s="222">
        <v>45002</v>
      </c>
      <c r="C16" s="223" t="s">
        <v>252</v>
      </c>
      <c r="D16" s="101">
        <v>97253.73</v>
      </c>
      <c r="E16" s="224">
        <v>45043</v>
      </c>
      <c r="F16" s="101">
        <v>97253.73</v>
      </c>
      <c r="G16" s="225">
        <f t="shared" si="0"/>
        <v>0</v>
      </c>
      <c r="I16" s="387" t="s">
        <v>378</v>
      </c>
      <c r="J16" s="388">
        <v>11857</v>
      </c>
      <c r="K16" s="389">
        <v>31344.03</v>
      </c>
      <c r="L16" s="430">
        <v>45050</v>
      </c>
      <c r="M16" s="432">
        <v>31344.03</v>
      </c>
      <c r="N16" s="227">
        <f t="shared" si="1"/>
        <v>0</v>
      </c>
    </row>
    <row r="17" spans="1:14" ht="18.75" x14ac:dyDescent="0.3">
      <c r="B17" s="222">
        <v>45003</v>
      </c>
      <c r="C17" s="223" t="s">
        <v>253</v>
      </c>
      <c r="D17" s="101">
        <v>39552.720000000001</v>
      </c>
      <c r="E17" s="224">
        <v>45043</v>
      </c>
      <c r="F17" s="101">
        <v>39552.720000000001</v>
      </c>
      <c r="G17" s="225">
        <f t="shared" si="0"/>
        <v>0</v>
      </c>
      <c r="I17" s="384" t="s">
        <v>379</v>
      </c>
      <c r="J17" s="385">
        <v>11864</v>
      </c>
      <c r="K17" s="386">
        <v>0</v>
      </c>
      <c r="L17" s="430">
        <v>45050</v>
      </c>
      <c r="M17" s="431">
        <v>0</v>
      </c>
      <c r="N17" s="227">
        <f t="shared" si="1"/>
        <v>0</v>
      </c>
    </row>
    <row r="18" spans="1:14" ht="32.25" x14ac:dyDescent="0.3">
      <c r="B18" s="222">
        <v>45005</v>
      </c>
      <c r="C18" s="223" t="s">
        <v>254</v>
      </c>
      <c r="D18" s="101">
        <v>108979.1</v>
      </c>
      <c r="E18" s="332" t="s">
        <v>430</v>
      </c>
      <c r="F18" s="101">
        <f>36997.4+71981.7</f>
        <v>108979.1</v>
      </c>
      <c r="G18" s="225">
        <f t="shared" si="0"/>
        <v>0</v>
      </c>
      <c r="I18" s="387" t="s">
        <v>379</v>
      </c>
      <c r="J18" s="388">
        <v>11865</v>
      </c>
      <c r="K18" s="389">
        <v>480</v>
      </c>
      <c r="L18" s="430">
        <v>45050</v>
      </c>
      <c r="M18" s="432">
        <v>480</v>
      </c>
      <c r="N18" s="227">
        <f t="shared" si="1"/>
        <v>0</v>
      </c>
    </row>
    <row r="19" spans="1:14" ht="18.75" x14ac:dyDescent="0.3">
      <c r="B19" s="222">
        <v>45006</v>
      </c>
      <c r="C19" s="223" t="s">
        <v>255</v>
      </c>
      <c r="D19" s="101">
        <v>16327.98</v>
      </c>
      <c r="E19" s="224">
        <v>45044</v>
      </c>
      <c r="F19" s="101">
        <v>16327.98</v>
      </c>
      <c r="G19" s="225">
        <f t="shared" si="0"/>
        <v>0</v>
      </c>
      <c r="I19" s="387" t="s">
        <v>380</v>
      </c>
      <c r="J19" s="388">
        <v>11869</v>
      </c>
      <c r="K19" s="389">
        <v>9710.2000000000007</v>
      </c>
      <c r="L19" s="430">
        <v>45050</v>
      </c>
      <c r="M19" s="432">
        <v>9710.2000000000007</v>
      </c>
      <c r="N19" s="227">
        <f t="shared" si="1"/>
        <v>0</v>
      </c>
    </row>
    <row r="20" spans="1:14" ht="18.75" x14ac:dyDescent="0.3">
      <c r="B20" s="222">
        <v>45007</v>
      </c>
      <c r="C20" s="223" t="s">
        <v>256</v>
      </c>
      <c r="D20" s="101">
        <v>4721.6000000000004</v>
      </c>
      <c r="E20" s="224">
        <v>45044</v>
      </c>
      <c r="F20" s="101">
        <v>4721.6000000000004</v>
      </c>
      <c r="G20" s="225">
        <f t="shared" si="0"/>
        <v>0</v>
      </c>
      <c r="I20" s="387" t="s">
        <v>381</v>
      </c>
      <c r="J20" s="388">
        <v>11880</v>
      </c>
      <c r="K20" s="389">
        <v>2400</v>
      </c>
      <c r="L20" s="430">
        <v>45050</v>
      </c>
      <c r="M20" s="432">
        <v>2400</v>
      </c>
      <c r="N20" s="227">
        <f t="shared" si="1"/>
        <v>0</v>
      </c>
    </row>
    <row r="21" spans="1:14" ht="18.75" x14ac:dyDescent="0.3">
      <c r="B21" s="222">
        <v>45007</v>
      </c>
      <c r="C21" s="223" t="s">
        <v>257</v>
      </c>
      <c r="D21" s="101">
        <v>2870.4</v>
      </c>
      <c r="E21" s="224">
        <v>45044</v>
      </c>
      <c r="F21" s="101">
        <v>2870.4</v>
      </c>
      <c r="G21" s="225">
        <f t="shared" si="0"/>
        <v>0</v>
      </c>
      <c r="I21" s="387" t="s">
        <v>382</v>
      </c>
      <c r="J21" s="388">
        <v>11889</v>
      </c>
      <c r="K21" s="389">
        <v>9305.2000000000007</v>
      </c>
      <c r="L21" s="430">
        <v>45050</v>
      </c>
      <c r="M21" s="432">
        <v>9305.2000000000007</v>
      </c>
      <c r="N21" s="227">
        <f t="shared" si="1"/>
        <v>0</v>
      </c>
    </row>
    <row r="22" spans="1:14" ht="18.75" x14ac:dyDescent="0.3">
      <c r="B22" s="222">
        <v>45008</v>
      </c>
      <c r="C22" s="223" t="s">
        <v>258</v>
      </c>
      <c r="D22" s="101">
        <v>62616.82</v>
      </c>
      <c r="E22" s="224">
        <v>45044</v>
      </c>
      <c r="F22" s="101">
        <v>62616.82</v>
      </c>
      <c r="G22" s="225">
        <f t="shared" si="0"/>
        <v>0</v>
      </c>
      <c r="H22" s="232"/>
      <c r="I22" s="387" t="s">
        <v>383</v>
      </c>
      <c r="J22" s="388">
        <v>11913</v>
      </c>
      <c r="K22" s="389">
        <v>360</v>
      </c>
      <c r="L22" s="430">
        <v>45050</v>
      </c>
      <c r="M22" s="432">
        <v>360</v>
      </c>
      <c r="N22" s="227">
        <f t="shared" si="1"/>
        <v>0</v>
      </c>
    </row>
    <row r="23" spans="1:14" ht="18.75" x14ac:dyDescent="0.3">
      <c r="B23" s="395">
        <v>45009</v>
      </c>
      <c r="C23" s="396" t="s">
        <v>259</v>
      </c>
      <c r="D23" s="392">
        <v>13706.8</v>
      </c>
      <c r="E23" s="397">
        <v>45044</v>
      </c>
      <c r="F23" s="392">
        <v>13706.8</v>
      </c>
      <c r="G23" s="400">
        <f t="shared" si="0"/>
        <v>0</v>
      </c>
      <c r="H23" s="233"/>
      <c r="I23" s="387" t="s">
        <v>384</v>
      </c>
      <c r="J23" s="388">
        <v>11927</v>
      </c>
      <c r="K23" s="389">
        <v>11105.6</v>
      </c>
      <c r="L23" s="430">
        <v>45050</v>
      </c>
      <c r="M23" s="432">
        <v>11105.6</v>
      </c>
      <c r="N23" s="227">
        <f t="shared" si="1"/>
        <v>0</v>
      </c>
    </row>
    <row r="24" spans="1:14" ht="21" customHeight="1" x14ac:dyDescent="0.3">
      <c r="B24" s="222">
        <v>45010</v>
      </c>
      <c r="C24" s="223" t="s">
        <v>261</v>
      </c>
      <c r="D24" s="101">
        <v>60713.06</v>
      </c>
      <c r="E24" s="224"/>
      <c r="F24" s="101"/>
      <c r="G24" s="225">
        <f t="shared" si="0"/>
        <v>60713.06</v>
      </c>
      <c r="H24" s="233"/>
      <c r="I24" s="387" t="s">
        <v>385</v>
      </c>
      <c r="J24" s="388">
        <v>11941</v>
      </c>
      <c r="K24" s="389">
        <v>480</v>
      </c>
      <c r="L24" s="430">
        <v>45050</v>
      </c>
      <c r="M24" s="432">
        <v>480</v>
      </c>
      <c r="N24" s="227">
        <f t="shared" si="1"/>
        <v>0</v>
      </c>
    </row>
    <row r="25" spans="1:14" ht="18.75" x14ac:dyDescent="0.3">
      <c r="B25" s="222">
        <v>45012</v>
      </c>
      <c r="C25" s="223" t="s">
        <v>262</v>
      </c>
      <c r="D25" s="101">
        <v>89935.7</v>
      </c>
      <c r="E25" s="224"/>
      <c r="F25" s="101"/>
      <c r="G25" s="225">
        <f t="shared" si="0"/>
        <v>89935.7</v>
      </c>
      <c r="H25" s="234"/>
      <c r="I25" s="387" t="s">
        <v>386</v>
      </c>
      <c r="J25" s="388">
        <v>11945</v>
      </c>
      <c r="K25" s="389">
        <v>600</v>
      </c>
      <c r="L25" s="430">
        <v>45050</v>
      </c>
      <c r="M25" s="432">
        <v>600</v>
      </c>
      <c r="N25" s="227">
        <f t="shared" si="1"/>
        <v>0</v>
      </c>
    </row>
    <row r="26" spans="1:14" ht="15.75" x14ac:dyDescent="0.25">
      <c r="B26" s="222">
        <v>45012</v>
      </c>
      <c r="C26" s="223" t="s">
        <v>263</v>
      </c>
      <c r="D26" s="101">
        <v>6879.4</v>
      </c>
      <c r="E26" s="224"/>
      <c r="F26" s="101"/>
      <c r="G26" s="225">
        <f t="shared" si="0"/>
        <v>6879.4</v>
      </c>
      <c r="H26" s="234"/>
      <c r="I26" s="235"/>
      <c r="J26" s="290"/>
      <c r="K26" s="237"/>
      <c r="L26" s="224"/>
      <c r="M26" s="101"/>
      <c r="N26" s="227">
        <f t="shared" si="1"/>
        <v>0</v>
      </c>
    </row>
    <row r="27" spans="1:14" ht="15.75" x14ac:dyDescent="0.25">
      <c r="B27" s="222">
        <v>45012</v>
      </c>
      <c r="C27" s="223" t="s">
        <v>264</v>
      </c>
      <c r="D27" s="101">
        <v>5900.8</v>
      </c>
      <c r="E27" s="224"/>
      <c r="F27" s="101"/>
      <c r="G27" s="225">
        <f t="shared" si="0"/>
        <v>5900.8</v>
      </c>
      <c r="H27" s="234"/>
      <c r="I27" s="235"/>
      <c r="J27" s="290"/>
      <c r="K27" s="237"/>
      <c r="L27" s="224"/>
      <c r="M27" s="101"/>
      <c r="N27" s="227">
        <f t="shared" si="1"/>
        <v>0</v>
      </c>
    </row>
    <row r="28" spans="1:14" ht="15.75" x14ac:dyDescent="0.25">
      <c r="B28" s="222">
        <v>45013</v>
      </c>
      <c r="C28" s="223" t="s">
        <v>265</v>
      </c>
      <c r="D28" s="101">
        <v>15687.72</v>
      </c>
      <c r="E28" s="224"/>
      <c r="F28" s="101"/>
      <c r="G28" s="225">
        <f t="shared" si="0"/>
        <v>15687.72</v>
      </c>
      <c r="H28" s="234"/>
      <c r="I28" s="277"/>
      <c r="J28" s="281"/>
      <c r="K28" s="237"/>
      <c r="L28" s="224"/>
      <c r="M28" s="101"/>
      <c r="N28" s="227">
        <f t="shared" si="1"/>
        <v>0</v>
      </c>
    </row>
    <row r="29" spans="1:14" ht="15.75" x14ac:dyDescent="0.25">
      <c r="B29" s="222">
        <v>45013</v>
      </c>
      <c r="C29" s="223" t="s">
        <v>266</v>
      </c>
      <c r="D29" s="101">
        <v>3153.6</v>
      </c>
      <c r="E29" s="224"/>
      <c r="F29" s="101"/>
      <c r="G29" s="225">
        <f t="shared" si="0"/>
        <v>3153.6</v>
      </c>
      <c r="H29" s="234"/>
      <c r="I29" s="277"/>
      <c r="J29" s="281"/>
      <c r="K29" s="237"/>
      <c r="L29" s="224"/>
      <c r="M29" s="101"/>
      <c r="N29" s="227">
        <f t="shared" si="1"/>
        <v>0</v>
      </c>
    </row>
    <row r="30" spans="1:14" ht="15.75" x14ac:dyDescent="0.25">
      <c r="A30" s="31"/>
      <c r="B30" s="222">
        <v>45014</v>
      </c>
      <c r="C30" s="223" t="s">
        <v>367</v>
      </c>
      <c r="D30" s="101">
        <v>130884.16</v>
      </c>
      <c r="E30" s="224"/>
      <c r="F30" s="101"/>
      <c r="G30" s="225">
        <f t="shared" si="0"/>
        <v>130884.16</v>
      </c>
      <c r="H30" s="234"/>
      <c r="I30" s="277"/>
      <c r="J30" s="281"/>
      <c r="K30" s="237"/>
      <c r="L30" s="224"/>
      <c r="M30" s="101"/>
      <c r="N30" s="227">
        <f t="shared" si="1"/>
        <v>0</v>
      </c>
    </row>
    <row r="31" spans="1:14" ht="15.75" x14ac:dyDescent="0.25">
      <c r="B31" s="222"/>
      <c r="C31" s="223"/>
      <c r="D31" s="101"/>
      <c r="E31" s="224"/>
      <c r="F31" s="101"/>
      <c r="G31" s="225">
        <f t="shared" si="0"/>
        <v>0</v>
      </c>
      <c r="H31" s="233"/>
      <c r="I31"/>
      <c r="J31"/>
      <c r="K31" s="5">
        <v>0</v>
      </c>
      <c r="L31" s="224"/>
      <c r="M31" s="101"/>
      <c r="N31" s="227">
        <f t="shared" si="1"/>
        <v>0</v>
      </c>
    </row>
    <row r="32" spans="1:14" ht="15.75" x14ac:dyDescent="0.25">
      <c r="B32" s="222"/>
      <c r="C32" s="223"/>
      <c r="D32" s="101"/>
      <c r="E32" s="224"/>
      <c r="F32" s="101"/>
      <c r="G32" s="225">
        <f t="shared" si="0"/>
        <v>0</v>
      </c>
      <c r="H32" s="233"/>
      <c r="I32"/>
      <c r="J32"/>
      <c r="K32" s="5">
        <v>0</v>
      </c>
      <c r="L32" s="224"/>
      <c r="M32" s="101"/>
      <c r="N32" s="227">
        <f t="shared" si="1"/>
        <v>0</v>
      </c>
    </row>
    <row r="33" spans="2:14" ht="15.75" x14ac:dyDescent="0.25">
      <c r="B33" s="222"/>
      <c r="C33" s="223"/>
      <c r="D33" s="101"/>
      <c r="E33" s="224"/>
      <c r="F33" s="101"/>
      <c r="G33" s="225">
        <f t="shared" si="0"/>
        <v>0</v>
      </c>
      <c r="I33"/>
      <c r="J33"/>
      <c r="K33" s="5">
        <v>0</v>
      </c>
      <c r="L33" s="224"/>
      <c r="M33" s="101"/>
      <c r="N33" s="227">
        <f t="shared" si="1"/>
        <v>0</v>
      </c>
    </row>
    <row r="34" spans="2:14" ht="18.75" x14ac:dyDescent="0.3">
      <c r="B34" s="222"/>
      <c r="C34" s="223"/>
      <c r="D34" s="101"/>
      <c r="E34" s="224"/>
      <c r="F34" s="101"/>
      <c r="G34" s="225">
        <f t="shared" si="0"/>
        <v>0</v>
      </c>
      <c r="I34"/>
      <c r="J34"/>
      <c r="K34" s="167"/>
      <c r="L34" s="224"/>
      <c r="M34" s="101"/>
      <c r="N34" s="227">
        <f t="shared" si="1"/>
        <v>0</v>
      </c>
    </row>
    <row r="35" spans="2:14" ht="15.75" x14ac:dyDescent="0.25">
      <c r="B35" s="222"/>
      <c r="C35" s="223"/>
      <c r="D35" s="101"/>
      <c r="E35" s="224"/>
      <c r="F35" s="101"/>
      <c r="G35" s="225">
        <f t="shared" si="0"/>
        <v>0</v>
      </c>
      <c r="I35" s="235"/>
      <c r="J35" s="236"/>
      <c r="K35" s="237"/>
      <c r="L35" s="224"/>
      <c r="M35" s="101"/>
      <c r="N35" s="227">
        <f t="shared" si="1"/>
        <v>0</v>
      </c>
    </row>
    <row r="36" spans="2:14" ht="15.75" x14ac:dyDescent="0.25">
      <c r="B36" s="222"/>
      <c r="C36" s="223"/>
      <c r="D36" s="101"/>
      <c r="E36" s="224"/>
      <c r="F36" s="101"/>
      <c r="G36" s="225">
        <f t="shared" si="0"/>
        <v>0</v>
      </c>
      <c r="I36" s="489"/>
      <c r="J36" s="490"/>
      <c r="K36" s="490"/>
      <c r="L36" s="491"/>
      <c r="M36" s="101"/>
      <c r="N36" s="227">
        <f t="shared" si="1"/>
        <v>0</v>
      </c>
    </row>
    <row r="37" spans="2:14" ht="15.75" x14ac:dyDescent="0.25">
      <c r="B37" s="222"/>
      <c r="C37" s="223"/>
      <c r="D37" s="101"/>
      <c r="E37" s="224"/>
      <c r="F37" s="101"/>
      <c r="G37" s="225">
        <f t="shared" si="0"/>
        <v>0</v>
      </c>
      <c r="I37" s="489"/>
      <c r="J37" s="490"/>
      <c r="K37" s="490"/>
      <c r="L37" s="491"/>
      <c r="M37" s="101"/>
      <c r="N37" s="227">
        <f t="shared" si="1"/>
        <v>0</v>
      </c>
    </row>
    <row r="38" spans="2:14" ht="15.75" x14ac:dyDescent="0.25">
      <c r="B38" s="222"/>
      <c r="C38" s="223"/>
      <c r="D38" s="101"/>
      <c r="E38" s="224"/>
      <c r="F38" s="101"/>
      <c r="G38" s="225">
        <f t="shared" si="0"/>
        <v>0</v>
      </c>
      <c r="I38" s="228"/>
      <c r="J38" s="229"/>
      <c r="K38" s="230"/>
      <c r="L38" s="224"/>
      <c r="M38" s="101"/>
      <c r="N38" s="227">
        <f t="shared" si="1"/>
        <v>0</v>
      </c>
    </row>
    <row r="39" spans="2:14" ht="15.75" x14ac:dyDescent="0.25">
      <c r="B39" s="222"/>
      <c r="C39" s="223"/>
      <c r="D39" s="101"/>
      <c r="E39" s="238"/>
      <c r="F39" s="84"/>
      <c r="G39" s="101">
        <f t="shared" si="0"/>
        <v>0</v>
      </c>
      <c r="I39" s="239"/>
      <c r="J39" s="240"/>
      <c r="K39" s="84"/>
      <c r="L39" s="238"/>
      <c r="M39" s="84"/>
      <c r="N39" s="227">
        <f t="shared" si="1"/>
        <v>0</v>
      </c>
    </row>
    <row r="40" spans="2:14" ht="15.75" x14ac:dyDescent="0.25">
      <c r="B40" s="222"/>
      <c r="C40" s="223"/>
      <c r="D40" s="101"/>
      <c r="E40" s="238"/>
      <c r="F40" s="84"/>
      <c r="G40" s="101">
        <f t="shared" si="0"/>
        <v>0</v>
      </c>
      <c r="I40" s="492" t="s">
        <v>35</v>
      </c>
      <c r="J40" s="493"/>
      <c r="K40" s="84"/>
      <c r="L40" s="238"/>
      <c r="M40" s="84"/>
      <c r="N40" s="227">
        <f t="shared" si="1"/>
        <v>0</v>
      </c>
    </row>
    <row r="41" spans="2:14" ht="15.75" x14ac:dyDescent="0.25">
      <c r="B41" s="241"/>
      <c r="C41" s="242"/>
      <c r="D41" s="243"/>
      <c r="E41" s="238"/>
      <c r="F41" s="84"/>
      <c r="G41" s="101">
        <f t="shared" si="0"/>
        <v>0</v>
      </c>
      <c r="I41" s="494"/>
      <c r="J41" s="495"/>
      <c r="K41" s="84"/>
      <c r="L41" s="238"/>
      <c r="M41" s="84"/>
      <c r="N41" s="227">
        <f t="shared" si="1"/>
        <v>0</v>
      </c>
    </row>
    <row r="42" spans="2:14" ht="15.75" x14ac:dyDescent="0.25">
      <c r="B42" s="241"/>
      <c r="C42" s="242"/>
      <c r="D42" s="243"/>
      <c r="E42" s="238"/>
      <c r="F42" s="84"/>
      <c r="G42" s="101">
        <f t="shared" si="0"/>
        <v>0</v>
      </c>
      <c r="I42" s="496"/>
      <c r="J42" s="497"/>
      <c r="K42" s="84"/>
      <c r="L42" s="238"/>
      <c r="M42" s="84"/>
      <c r="N42" s="227">
        <f t="shared" si="1"/>
        <v>0</v>
      </c>
    </row>
    <row r="43" spans="2:14" ht="15.75" x14ac:dyDescent="0.25">
      <c r="B43" s="244"/>
      <c r="C43" s="245"/>
      <c r="D43" s="101"/>
      <c r="E43" s="238"/>
      <c r="F43" s="84"/>
      <c r="G43" s="101">
        <f t="shared" si="0"/>
        <v>0</v>
      </c>
      <c r="I43" s="239"/>
      <c r="J43" s="240"/>
      <c r="K43" s="84"/>
      <c r="L43" s="238"/>
      <c r="M43" s="84"/>
      <c r="N43" s="227">
        <f t="shared" si="1"/>
        <v>0</v>
      </c>
    </row>
    <row r="44" spans="2:14" ht="15.75" x14ac:dyDescent="0.25">
      <c r="B44" s="246"/>
      <c r="C44" s="245"/>
      <c r="D44" s="101"/>
      <c r="E44" s="238"/>
      <c r="F44" s="84"/>
      <c r="G44" s="101">
        <f t="shared" si="0"/>
        <v>0</v>
      </c>
      <c r="I44" s="239"/>
      <c r="J44" s="240"/>
      <c r="K44" s="84"/>
      <c r="L44" s="238"/>
      <c r="M44" s="84"/>
      <c r="N44" s="227">
        <f t="shared" si="1"/>
        <v>0</v>
      </c>
    </row>
    <row r="45" spans="2:14" ht="15.75" x14ac:dyDescent="0.25">
      <c r="B45" s="246"/>
      <c r="C45" s="245"/>
      <c r="D45" s="101"/>
      <c r="E45" s="238"/>
      <c r="F45" s="84"/>
      <c r="G45" s="101">
        <f t="shared" si="0"/>
        <v>0</v>
      </c>
      <c r="I45" s="239"/>
      <c r="J45" s="240"/>
      <c r="K45" s="84"/>
      <c r="L45" s="238"/>
      <c r="M45" s="84"/>
      <c r="N45" s="227">
        <f t="shared" si="1"/>
        <v>0</v>
      </c>
    </row>
    <row r="46" spans="2:14" ht="15.75" x14ac:dyDescent="0.25">
      <c r="B46" s="247"/>
      <c r="C46" s="248"/>
      <c r="D46" s="84"/>
      <c r="E46" s="238"/>
      <c r="F46" s="84"/>
      <c r="G46" s="101">
        <f t="shared" si="0"/>
        <v>0</v>
      </c>
      <c r="I46" s="239"/>
      <c r="J46" s="240"/>
      <c r="K46" s="84"/>
      <c r="L46" s="238"/>
      <c r="M46" s="84"/>
      <c r="N46" s="227">
        <f t="shared" si="1"/>
        <v>0</v>
      </c>
    </row>
    <row r="47" spans="2:14" ht="15.75" x14ac:dyDescent="0.25">
      <c r="B47" s="239"/>
      <c r="C47" s="248"/>
      <c r="D47" s="84"/>
      <c r="E47" s="238"/>
      <c r="F47" s="84"/>
      <c r="G47" s="101">
        <f t="shared" si="0"/>
        <v>0</v>
      </c>
      <c r="I47" s="239"/>
      <c r="J47" s="240"/>
      <c r="K47" s="84"/>
      <c r="L47" s="238"/>
      <c r="M47" s="84"/>
      <c r="N47" s="227">
        <f t="shared" si="1"/>
        <v>0</v>
      </c>
    </row>
    <row r="48" spans="2:14" ht="15.75" x14ac:dyDescent="0.25">
      <c r="B48" s="239"/>
      <c r="C48" s="248"/>
      <c r="D48" s="84"/>
      <c r="E48" s="238"/>
      <c r="F48" s="84"/>
      <c r="G48" s="101">
        <f t="shared" si="0"/>
        <v>0</v>
      </c>
      <c r="I48" s="239"/>
      <c r="J48" s="240"/>
      <c r="K48" s="84"/>
      <c r="L48" s="238"/>
      <c r="M48" s="84"/>
      <c r="N48" s="227">
        <f t="shared" si="1"/>
        <v>0</v>
      </c>
    </row>
    <row r="49" spans="2:14" ht="15.75" hidden="1" x14ac:dyDescent="0.25">
      <c r="B49" s="239"/>
      <c r="C49" s="249"/>
      <c r="D49" s="84"/>
      <c r="E49" s="238"/>
      <c r="F49" s="84"/>
      <c r="G49" s="101">
        <f t="shared" si="0"/>
        <v>0</v>
      </c>
      <c r="I49" s="239"/>
      <c r="J49" s="240"/>
      <c r="K49" s="84"/>
      <c r="L49" s="238"/>
      <c r="M49" s="84"/>
      <c r="N49" s="227">
        <f t="shared" si="1"/>
        <v>0</v>
      </c>
    </row>
    <row r="50" spans="2:14" ht="15.75" hidden="1" x14ac:dyDescent="0.25">
      <c r="B50" s="239"/>
      <c r="C50" s="240"/>
      <c r="D50" s="84"/>
      <c r="E50" s="250"/>
      <c r="F50" s="84"/>
      <c r="G50" s="101">
        <f t="shared" si="0"/>
        <v>0</v>
      </c>
      <c r="I50" s="251"/>
      <c r="J50" s="252"/>
      <c r="K50" s="44"/>
      <c r="L50" s="177"/>
      <c r="M50" s="44"/>
      <c r="N50" s="227">
        <f t="shared" si="1"/>
        <v>0</v>
      </c>
    </row>
    <row r="51" spans="2:14" ht="15.75" hidden="1" x14ac:dyDescent="0.25">
      <c r="B51" s="239"/>
      <c r="C51" s="240"/>
      <c r="D51" s="84"/>
      <c r="E51" s="250"/>
      <c r="F51" s="84"/>
      <c r="G51" s="101">
        <f t="shared" si="0"/>
        <v>0</v>
      </c>
      <c r="I51" s="251"/>
      <c r="J51" s="252"/>
      <c r="K51" s="44"/>
      <c r="L51" s="177"/>
      <c r="M51" s="44"/>
      <c r="N51" s="227">
        <f t="shared" si="1"/>
        <v>0</v>
      </c>
    </row>
    <row r="52" spans="2:14" ht="15.75" hidden="1" x14ac:dyDescent="0.25">
      <c r="B52" s="239"/>
      <c r="C52" s="240"/>
      <c r="D52" s="84"/>
      <c r="E52" s="250"/>
      <c r="F52" s="84"/>
      <c r="G52" s="101">
        <f t="shared" si="0"/>
        <v>0</v>
      </c>
      <c r="I52" s="251"/>
      <c r="J52" s="252"/>
      <c r="K52" s="44"/>
      <c r="L52" s="177"/>
      <c r="M52" s="44"/>
      <c r="N52" s="227">
        <f t="shared" si="1"/>
        <v>0</v>
      </c>
    </row>
    <row r="53" spans="2:14" ht="15.75" hidden="1" x14ac:dyDescent="0.25">
      <c r="B53" s="239"/>
      <c r="C53" s="240"/>
      <c r="D53" s="84"/>
      <c r="E53" s="250"/>
      <c r="F53" s="84"/>
      <c r="G53" s="101">
        <f t="shared" si="0"/>
        <v>0</v>
      </c>
      <c r="I53" s="251"/>
      <c r="J53" s="252"/>
      <c r="K53" s="44"/>
      <c r="L53" s="177"/>
      <c r="M53" s="44"/>
      <c r="N53" s="227">
        <f t="shared" si="1"/>
        <v>0</v>
      </c>
    </row>
    <row r="54" spans="2:14" ht="15.75" hidden="1" x14ac:dyDescent="0.25">
      <c r="B54" s="239"/>
      <c r="C54" s="240"/>
      <c r="D54" s="84"/>
      <c r="E54" s="250"/>
      <c r="F54" s="84"/>
      <c r="G54" s="101">
        <f t="shared" si="0"/>
        <v>0</v>
      </c>
      <c r="I54" s="251"/>
      <c r="J54" s="252"/>
      <c r="K54" s="44"/>
      <c r="L54" s="177"/>
      <c r="M54" s="44"/>
      <c r="N54" s="227">
        <f t="shared" si="1"/>
        <v>0</v>
      </c>
    </row>
    <row r="55" spans="2:14" ht="15.75" hidden="1" x14ac:dyDescent="0.25">
      <c r="B55" s="251"/>
      <c r="C55" s="252"/>
      <c r="D55" s="44"/>
      <c r="E55" s="177"/>
      <c r="F55" s="44"/>
      <c r="G55" s="101">
        <f t="shared" si="0"/>
        <v>0</v>
      </c>
      <c r="I55" s="251"/>
      <c r="J55" s="252"/>
      <c r="K55" s="44"/>
      <c r="L55" s="177"/>
      <c r="M55" s="44"/>
      <c r="N55" s="227">
        <f t="shared" si="1"/>
        <v>0</v>
      </c>
    </row>
    <row r="56" spans="2:14" ht="15.75" hidden="1" x14ac:dyDescent="0.25">
      <c r="B56" s="239"/>
      <c r="C56" s="240"/>
      <c r="D56" s="84"/>
      <c r="E56" s="250"/>
      <c r="F56" s="84"/>
      <c r="G56" s="101">
        <f t="shared" si="0"/>
        <v>0</v>
      </c>
      <c r="I56" s="239"/>
      <c r="J56" s="240"/>
      <c r="K56" s="84"/>
      <c r="L56" s="250"/>
      <c r="M56" s="84"/>
      <c r="N56" s="227">
        <f t="shared" si="1"/>
        <v>0</v>
      </c>
    </row>
    <row r="57" spans="2:14" ht="15.75" hidden="1" x14ac:dyDescent="0.25">
      <c r="B57" s="239"/>
      <c r="C57" s="240"/>
      <c r="D57" s="84"/>
      <c r="E57" s="250"/>
      <c r="F57" s="84"/>
      <c r="G57" s="101">
        <f t="shared" si="0"/>
        <v>0</v>
      </c>
      <c r="I57" s="239"/>
      <c r="J57" s="240"/>
      <c r="K57" s="84"/>
      <c r="L57" s="250"/>
      <c r="M57" s="84"/>
      <c r="N57" s="227">
        <f t="shared" si="1"/>
        <v>0</v>
      </c>
    </row>
    <row r="58" spans="2:14" ht="15.75" hidden="1" x14ac:dyDescent="0.25">
      <c r="B58" s="239"/>
      <c r="C58" s="240"/>
      <c r="D58" s="84"/>
      <c r="E58" s="250"/>
      <c r="F58" s="84"/>
      <c r="G58" s="101">
        <f t="shared" si="0"/>
        <v>0</v>
      </c>
      <c r="I58" s="239"/>
      <c r="J58" s="240"/>
      <c r="K58" s="84"/>
      <c r="L58" s="250"/>
      <c r="M58" s="84"/>
      <c r="N58" s="227">
        <f t="shared" si="1"/>
        <v>0</v>
      </c>
    </row>
    <row r="59" spans="2:14" ht="15.75" hidden="1" x14ac:dyDescent="0.25">
      <c r="B59" s="239"/>
      <c r="C59" s="240"/>
      <c r="D59" s="84"/>
      <c r="E59" s="250"/>
      <c r="F59" s="84"/>
      <c r="G59" s="101">
        <f t="shared" si="0"/>
        <v>0</v>
      </c>
      <c r="I59" s="239"/>
      <c r="J59" s="240"/>
      <c r="K59" s="84"/>
      <c r="L59" s="250"/>
      <c r="M59" s="84"/>
      <c r="N59" s="227">
        <f t="shared" si="1"/>
        <v>0</v>
      </c>
    </row>
    <row r="60" spans="2:14" ht="15.75" hidden="1" x14ac:dyDescent="0.25">
      <c r="B60" s="239"/>
      <c r="C60" s="240"/>
      <c r="D60" s="84"/>
      <c r="E60" s="250"/>
      <c r="F60" s="84"/>
      <c r="G60" s="101">
        <f t="shared" si="0"/>
        <v>0</v>
      </c>
      <c r="I60" s="239"/>
      <c r="J60" s="240"/>
      <c r="K60" s="84"/>
      <c r="L60" s="250"/>
      <c r="M60" s="84"/>
      <c r="N60" s="227">
        <f t="shared" si="1"/>
        <v>0</v>
      </c>
    </row>
    <row r="61" spans="2:14" ht="15.75" hidden="1" x14ac:dyDescent="0.25">
      <c r="B61" s="239"/>
      <c r="C61" s="240"/>
      <c r="D61" s="84"/>
      <c r="E61" s="250"/>
      <c r="F61" s="84"/>
      <c r="G61" s="101">
        <f t="shared" si="0"/>
        <v>0</v>
      </c>
      <c r="I61" s="239"/>
      <c r="J61" s="240"/>
      <c r="K61" s="84"/>
      <c r="L61" s="250"/>
      <c r="M61" s="84"/>
      <c r="N61" s="227">
        <f t="shared" si="1"/>
        <v>0</v>
      </c>
    </row>
    <row r="62" spans="2:14" ht="15.75" hidden="1" x14ac:dyDescent="0.25">
      <c r="B62" s="239"/>
      <c r="C62" s="240"/>
      <c r="D62" s="84"/>
      <c r="E62" s="250"/>
      <c r="F62" s="84"/>
      <c r="G62" s="101">
        <f t="shared" si="0"/>
        <v>0</v>
      </c>
      <c r="I62" s="239"/>
      <c r="J62" s="240"/>
      <c r="K62" s="84"/>
      <c r="L62" s="250"/>
      <c r="M62" s="84"/>
      <c r="N62" s="227">
        <f t="shared" si="1"/>
        <v>0</v>
      </c>
    </row>
    <row r="63" spans="2:14" ht="15.75" hidden="1" x14ac:dyDescent="0.25">
      <c r="B63" s="239"/>
      <c r="C63" s="240"/>
      <c r="D63" s="84"/>
      <c r="E63" s="250"/>
      <c r="F63" s="84"/>
      <c r="G63" s="101">
        <f t="shared" si="0"/>
        <v>0</v>
      </c>
      <c r="I63" s="239"/>
      <c r="J63" s="240"/>
      <c r="K63" s="84"/>
      <c r="L63" s="250"/>
      <c r="M63" s="84"/>
      <c r="N63" s="227">
        <f t="shared" si="1"/>
        <v>0</v>
      </c>
    </row>
    <row r="64" spans="2:14" ht="15.75" hidden="1" x14ac:dyDescent="0.25">
      <c r="B64" s="239"/>
      <c r="C64" s="240"/>
      <c r="D64" s="84"/>
      <c r="E64" s="250"/>
      <c r="F64" s="84"/>
      <c r="G64" s="101">
        <f t="shared" si="0"/>
        <v>0</v>
      </c>
      <c r="I64" s="239"/>
      <c r="J64" s="240"/>
      <c r="K64" s="84"/>
      <c r="L64" s="250"/>
      <c r="M64" s="84"/>
      <c r="N64" s="227">
        <f t="shared" si="1"/>
        <v>0</v>
      </c>
    </row>
    <row r="65" spans="2:14" ht="15.75" hidden="1" x14ac:dyDescent="0.25">
      <c r="B65" s="239"/>
      <c r="C65" s="240"/>
      <c r="D65" s="84"/>
      <c r="E65" s="250"/>
      <c r="F65" s="84"/>
      <c r="G65" s="101">
        <f t="shared" si="0"/>
        <v>0</v>
      </c>
      <c r="I65" s="239"/>
      <c r="J65" s="240"/>
      <c r="K65" s="84"/>
      <c r="L65" s="250"/>
      <c r="M65" s="84"/>
      <c r="N65" s="227">
        <f t="shared" si="1"/>
        <v>0</v>
      </c>
    </row>
    <row r="66" spans="2:14" ht="16.5" thickBot="1" x14ac:dyDescent="0.3">
      <c r="B66" s="253"/>
      <c r="C66" s="254"/>
      <c r="D66" s="44">
        <v>0</v>
      </c>
      <c r="E66" s="255"/>
      <c r="F66" s="256"/>
      <c r="G66" s="227">
        <v>0</v>
      </c>
      <c r="I66" s="253"/>
      <c r="J66" s="257"/>
      <c r="K66" s="256">
        <v>0</v>
      </c>
      <c r="L66" s="255"/>
      <c r="M66" s="256"/>
      <c r="N66" s="227"/>
    </row>
    <row r="67" spans="2:14" ht="21.75" thickTop="1" x14ac:dyDescent="0.35">
      <c r="C67" s="259"/>
      <c r="D67" s="260">
        <f>SUM(D3:D66)</f>
        <v>1405309.97</v>
      </c>
      <c r="E67" s="261"/>
      <c r="F67" s="262">
        <f>SUM(F3:F66)</f>
        <v>1092155.53</v>
      </c>
      <c r="G67" s="263">
        <f>SUM(G3:G66)</f>
        <v>313154.44</v>
      </c>
      <c r="I67" s="498" t="s">
        <v>35</v>
      </c>
      <c r="J67" s="499"/>
      <c r="K67" s="264">
        <f>SUM(K3:K66)</f>
        <v>103441.83</v>
      </c>
      <c r="L67" s="265"/>
      <c r="M67" s="266">
        <f>SUM(M3:M66)</f>
        <v>103441.83</v>
      </c>
      <c r="N67" s="263">
        <f>N66</f>
        <v>0</v>
      </c>
    </row>
    <row r="68" spans="2:14" ht="15.75" thickBot="1" x14ac:dyDescent="0.3">
      <c r="C68" s="267"/>
      <c r="D68" s="268"/>
      <c r="E68" s="269"/>
      <c r="F68" s="5"/>
      <c r="G68" s="502" t="s">
        <v>36</v>
      </c>
      <c r="I68" s="507"/>
      <c r="J68" s="508"/>
      <c r="K68" s="1"/>
      <c r="L68" s="269"/>
      <c r="M68" s="5"/>
      <c r="N68" s="1"/>
    </row>
    <row r="69" spans="2:14" x14ac:dyDescent="0.25">
      <c r="C69" s="270"/>
      <c r="D69" s="1"/>
      <c r="E69" s="269"/>
      <c r="F69" s="5"/>
      <c r="G69" s="503"/>
      <c r="I69" s="293"/>
      <c r="J69" s="294"/>
      <c r="K69" s="295"/>
      <c r="L69" s="296"/>
      <c r="M69" s="187"/>
      <c r="N69" s="1"/>
    </row>
    <row r="70" spans="2:14" ht="15.75" x14ac:dyDescent="0.25">
      <c r="B70" s="272"/>
      <c r="C70" s="273"/>
      <c r="D70" s="108"/>
      <c r="F70"/>
      <c r="I70" s="293"/>
      <c r="J70" s="297"/>
      <c r="K70" s="186"/>
      <c r="L70" s="298"/>
      <c r="M70" s="299"/>
    </row>
    <row r="71" spans="2:14" ht="15.75" x14ac:dyDescent="0.25">
      <c r="B71" s="272"/>
      <c r="C71" s="273"/>
      <c r="D71" s="108"/>
      <c r="F71"/>
      <c r="H71" s="233"/>
      <c r="I71" s="300"/>
      <c r="J71" s="301"/>
      <c r="K71" s="189"/>
      <c r="L71" s="302"/>
      <c r="M71" s="299"/>
    </row>
    <row r="72" spans="2:14" ht="15" customHeight="1" x14ac:dyDescent="0.25">
      <c r="C72" s="275"/>
      <c r="E72" s="276"/>
      <c r="F72"/>
      <c r="H72" s="233"/>
      <c r="I72" s="303"/>
      <c r="J72" s="191"/>
      <c r="K72" s="304"/>
      <c r="L72" s="304"/>
      <c r="M72" s="299"/>
      <c r="N72"/>
    </row>
    <row r="73" spans="2:14" ht="15.75" customHeight="1" thickBot="1" x14ac:dyDescent="0.3">
      <c r="C73" s="275"/>
      <c r="E73" s="276"/>
      <c r="F73"/>
      <c r="H73" s="233"/>
      <c r="I73" s="303"/>
      <c r="J73" s="191"/>
      <c r="K73" s="304"/>
      <c r="L73" s="304"/>
      <c r="M73" s="299"/>
      <c r="N73"/>
    </row>
    <row r="74" spans="2:14" ht="18.75" x14ac:dyDescent="0.3">
      <c r="C74" s="275"/>
      <c r="D74" s="189"/>
      <c r="E74" s="276"/>
      <c r="F74"/>
      <c r="H74" s="233"/>
      <c r="I74" s="417" t="s">
        <v>485</v>
      </c>
      <c r="J74" s="418"/>
      <c r="K74" s="419">
        <v>315303.5</v>
      </c>
      <c r="L74" s="304"/>
      <c r="M74" s="299"/>
      <c r="N74"/>
    </row>
    <row r="75" spans="2:14" ht="18.75" x14ac:dyDescent="0.3">
      <c r="C75" s="275"/>
      <c r="D75" s="108">
        <v>71981.7</v>
      </c>
      <c r="E75" s="276"/>
      <c r="H75" s="233"/>
      <c r="I75" s="427" t="s">
        <v>486</v>
      </c>
      <c r="J75" s="414"/>
      <c r="K75" s="421">
        <v>157518</v>
      </c>
      <c r="L75" s="302"/>
      <c r="M75" s="299"/>
      <c r="N75"/>
    </row>
    <row r="76" spans="2:14" ht="19.5" thickBot="1" x14ac:dyDescent="0.35">
      <c r="C76" s="275"/>
      <c r="D76" s="101">
        <v>16327.98</v>
      </c>
      <c r="E76" s="276"/>
      <c r="H76" s="233"/>
      <c r="I76" s="420"/>
      <c r="J76" s="414"/>
      <c r="K76" s="426">
        <v>0</v>
      </c>
      <c r="L76" s="302"/>
      <c r="M76" s="299"/>
      <c r="N76"/>
    </row>
    <row r="77" spans="2:14" ht="19.5" thickTop="1" x14ac:dyDescent="0.3">
      <c r="C77" s="275"/>
      <c r="D77" s="101">
        <v>4721.6000000000004</v>
      </c>
      <c r="E77" s="276"/>
      <c r="I77" s="429">
        <v>45005</v>
      </c>
      <c r="J77" s="415"/>
      <c r="K77" s="428">
        <f>SUM(K74:K76)</f>
        <v>472821.5</v>
      </c>
      <c r="L77" s="298"/>
      <c r="M77" s="299"/>
      <c r="N77"/>
    </row>
    <row r="78" spans="2:14" ht="19.5" thickBot="1" x14ac:dyDescent="0.35">
      <c r="C78" s="275"/>
      <c r="D78" s="101">
        <v>2870.4</v>
      </c>
      <c r="E78" s="276"/>
      <c r="I78" s="423"/>
      <c r="J78" s="424"/>
      <c r="K78" s="425"/>
      <c r="L78" s="298"/>
      <c r="M78" s="299"/>
      <c r="N78"/>
    </row>
    <row r="79" spans="2:14" ht="15.75" x14ac:dyDescent="0.25">
      <c r="C79" s="275"/>
      <c r="D79" s="101">
        <v>62616.82</v>
      </c>
      <c r="E79" s="276"/>
      <c r="I79" s="299"/>
      <c r="J79" s="299"/>
      <c r="K79" s="299"/>
      <c r="L79" s="298"/>
      <c r="M79" s="299"/>
      <c r="N79"/>
    </row>
    <row r="80" spans="2:14" ht="15.75" x14ac:dyDescent="0.25">
      <c r="C80" s="275"/>
      <c r="D80" s="392">
        <v>13706.8</v>
      </c>
      <c r="E80" s="276"/>
      <c r="I80"/>
      <c r="J80"/>
      <c r="K80"/>
      <c r="M80"/>
      <c r="N80"/>
    </row>
    <row r="81" spans="3:14" ht="15.75" x14ac:dyDescent="0.25">
      <c r="C81" s="271"/>
      <c r="D81" s="108">
        <v>0</v>
      </c>
      <c r="E81" s="276"/>
      <c r="I81"/>
      <c r="J81"/>
      <c r="K81"/>
      <c r="M81"/>
      <c r="N81"/>
    </row>
    <row r="82" spans="3:14" ht="15.75" x14ac:dyDescent="0.25">
      <c r="C82" s="271"/>
      <c r="D82" s="108">
        <f>SUM(D75:D81)</f>
        <v>172225.3</v>
      </c>
      <c r="E82" s="276"/>
      <c r="I82"/>
      <c r="J82"/>
      <c r="K82"/>
      <c r="M82"/>
      <c r="N82"/>
    </row>
    <row r="83" spans="3:14" ht="15.75" x14ac:dyDescent="0.25">
      <c r="C83" s="271"/>
      <c r="D83" s="108"/>
      <c r="E83" s="276"/>
      <c r="I83"/>
      <c r="J83"/>
      <c r="K83"/>
      <c r="M83"/>
      <c r="N83"/>
    </row>
    <row r="84" spans="3:14" ht="15.75" x14ac:dyDescent="0.25">
      <c r="C84" s="271"/>
      <c r="D84" s="108"/>
      <c r="E84" s="276"/>
      <c r="I84"/>
      <c r="J84"/>
      <c r="K84"/>
      <c r="M84"/>
      <c r="N84"/>
    </row>
    <row r="85" spans="3:14" ht="15.75" x14ac:dyDescent="0.25">
      <c r="C85" s="271"/>
      <c r="D85" s="108"/>
      <c r="E85" s="276"/>
      <c r="I85"/>
      <c r="J85"/>
      <c r="K85"/>
      <c r="M85"/>
      <c r="N85"/>
    </row>
    <row r="86" spans="3:14" ht="15.75" x14ac:dyDescent="0.25">
      <c r="C86" s="271"/>
      <c r="D86" s="108"/>
      <c r="E86" s="276"/>
      <c r="I86"/>
      <c r="J86"/>
      <c r="K86"/>
      <c r="M86"/>
      <c r="N86"/>
    </row>
    <row r="87" spans="3:14" ht="15.75" x14ac:dyDescent="0.25">
      <c r="C87" s="271"/>
      <c r="D87" s="108"/>
      <c r="E87" s="276"/>
      <c r="I87"/>
      <c r="J87"/>
      <c r="K87"/>
      <c r="M87"/>
      <c r="N87"/>
    </row>
    <row r="88" spans="3:14" ht="15.75" x14ac:dyDescent="0.25">
      <c r="C88" s="271"/>
      <c r="D88" s="108"/>
      <c r="E88" s="276"/>
      <c r="I88"/>
      <c r="J88"/>
      <c r="K88"/>
      <c r="M88"/>
      <c r="N88"/>
    </row>
    <row r="89" spans="3:14" ht="15.75" x14ac:dyDescent="0.25">
      <c r="C89" s="271"/>
      <c r="D89" s="108"/>
      <c r="E89" s="276"/>
      <c r="I89"/>
      <c r="J89"/>
      <c r="K89"/>
      <c r="M89"/>
      <c r="N89"/>
    </row>
    <row r="90" spans="3:14" ht="15.75" x14ac:dyDescent="0.25">
      <c r="C90" s="271"/>
      <c r="D90" s="108"/>
      <c r="E90" s="276"/>
      <c r="I90"/>
      <c r="J90"/>
      <c r="K90"/>
      <c r="M90"/>
      <c r="N90"/>
    </row>
    <row r="91" spans="3:14" ht="15.75" x14ac:dyDescent="0.25">
      <c r="C91" s="271"/>
      <c r="D91" s="108"/>
      <c r="E91" s="276"/>
      <c r="I91"/>
      <c r="J91"/>
      <c r="K91"/>
      <c r="M91"/>
      <c r="N91"/>
    </row>
    <row r="92" spans="3:14" ht="15.75" x14ac:dyDescent="0.25">
      <c r="C92" s="271"/>
      <c r="D92" s="108"/>
      <c r="E92" s="276"/>
      <c r="I92"/>
      <c r="J92"/>
      <c r="K92"/>
      <c r="M92"/>
      <c r="N92"/>
    </row>
    <row r="93" spans="3:14" ht="15.75" x14ac:dyDescent="0.25">
      <c r="C93" s="271"/>
      <c r="D93" s="108"/>
      <c r="E93" s="276"/>
      <c r="I93"/>
      <c r="J93"/>
      <c r="K93"/>
      <c r="M93"/>
      <c r="N93"/>
    </row>
    <row r="94" spans="3:14" ht="15.75" x14ac:dyDescent="0.25">
      <c r="C94" s="271"/>
      <c r="D94" s="108"/>
      <c r="E94" s="276"/>
      <c r="I94"/>
      <c r="J94"/>
      <c r="K94"/>
      <c r="M94"/>
      <c r="N94"/>
    </row>
    <row r="95" spans="3:14" ht="15.75" x14ac:dyDescent="0.25">
      <c r="C95" s="271"/>
      <c r="D95" s="108"/>
      <c r="E95" s="276"/>
      <c r="I95"/>
      <c r="J95"/>
      <c r="K95"/>
      <c r="M95"/>
      <c r="N95"/>
    </row>
    <row r="96" spans="3:14" ht="15.75" x14ac:dyDescent="0.25">
      <c r="C96" s="271"/>
      <c r="D96" s="108"/>
      <c r="E96" s="276"/>
      <c r="I96"/>
      <c r="J96"/>
      <c r="K96"/>
      <c r="M96"/>
      <c r="N96"/>
    </row>
    <row r="97" spans="3:14" x14ac:dyDescent="0.25">
      <c r="C97" s="271"/>
      <c r="D97" s="189"/>
      <c r="E97" s="276"/>
      <c r="I97"/>
      <c r="J97"/>
      <c r="K97"/>
      <c r="M97"/>
      <c r="N97"/>
    </row>
    <row r="98" spans="3:14" x14ac:dyDescent="0.25">
      <c r="C98" s="271"/>
      <c r="D98" s="189"/>
      <c r="E98" s="276"/>
      <c r="I98"/>
      <c r="J98"/>
      <c r="K98"/>
      <c r="M98"/>
      <c r="N98"/>
    </row>
    <row r="99" spans="3:14" x14ac:dyDescent="0.25">
      <c r="C99" s="271"/>
      <c r="D99" s="189"/>
      <c r="E99" s="276"/>
      <c r="I99"/>
      <c r="J99"/>
      <c r="K99"/>
      <c r="M99"/>
      <c r="N99"/>
    </row>
    <row r="100" spans="3:14" x14ac:dyDescent="0.25">
      <c r="C100" s="271"/>
      <c r="D100" s="189"/>
      <c r="E100" s="276"/>
      <c r="I100"/>
      <c r="J100"/>
      <c r="K100"/>
      <c r="M100"/>
      <c r="N100"/>
    </row>
    <row r="101" spans="3:14" x14ac:dyDescent="0.25">
      <c r="C101" s="271"/>
      <c r="D101" s="189"/>
      <c r="E101" s="276"/>
      <c r="I101"/>
      <c r="J101"/>
      <c r="K101"/>
      <c r="M101"/>
      <c r="N101"/>
    </row>
    <row r="102" spans="3:14" x14ac:dyDescent="0.25">
      <c r="C102" s="271"/>
      <c r="E102" s="276"/>
      <c r="I102"/>
      <c r="J102"/>
      <c r="K102"/>
      <c r="M102"/>
      <c r="N102"/>
    </row>
    <row r="103" spans="3:14" x14ac:dyDescent="0.25">
      <c r="C103" s="271"/>
      <c r="E103" s="276"/>
      <c r="I103"/>
      <c r="J103"/>
      <c r="K103"/>
      <c r="M103"/>
      <c r="N103"/>
    </row>
    <row r="104" spans="3:14" x14ac:dyDescent="0.25">
      <c r="C104" s="271"/>
      <c r="E104" s="276"/>
      <c r="I104"/>
      <c r="J104"/>
      <c r="K104"/>
      <c r="M104"/>
      <c r="N104"/>
    </row>
    <row r="105" spans="3:14" x14ac:dyDescent="0.25">
      <c r="C105" s="271"/>
      <c r="E105" s="276"/>
      <c r="I105"/>
      <c r="J105"/>
      <c r="K105"/>
      <c r="M105"/>
      <c r="N105"/>
    </row>
    <row r="106" spans="3:14" x14ac:dyDescent="0.25">
      <c r="C106" s="271"/>
      <c r="E106" s="276"/>
      <c r="I106"/>
      <c r="J106"/>
      <c r="K106"/>
      <c r="M106"/>
      <c r="N106"/>
    </row>
    <row r="107" spans="3:14" x14ac:dyDescent="0.25">
      <c r="C107" s="271"/>
      <c r="E107" s="276"/>
      <c r="I107"/>
      <c r="J107"/>
      <c r="K107"/>
      <c r="M107"/>
      <c r="N107"/>
    </row>
    <row r="108" spans="3:14" x14ac:dyDescent="0.25">
      <c r="C108" s="271"/>
      <c r="E108" s="276"/>
      <c r="I108"/>
      <c r="J108"/>
      <c r="K108"/>
      <c r="M108"/>
      <c r="N108"/>
    </row>
    <row r="109" spans="3:14" x14ac:dyDescent="0.25">
      <c r="C109" s="271"/>
      <c r="E109" s="276"/>
      <c r="I109"/>
      <c r="J109"/>
      <c r="K109"/>
      <c r="M109"/>
      <c r="N109"/>
    </row>
    <row r="110" spans="3:14" x14ac:dyDescent="0.25">
      <c r="C110" s="271"/>
      <c r="E110" s="276"/>
      <c r="I110"/>
      <c r="J110"/>
      <c r="K110"/>
      <c r="M110"/>
      <c r="N110"/>
    </row>
    <row r="111" spans="3:14" x14ac:dyDescent="0.25">
      <c r="C111" s="271"/>
      <c r="E111" s="276"/>
      <c r="I111"/>
      <c r="J111"/>
      <c r="K111"/>
      <c r="M111"/>
      <c r="N111"/>
    </row>
    <row r="112" spans="3:14" x14ac:dyDescent="0.25">
      <c r="C112" s="271"/>
      <c r="E112" s="276"/>
      <c r="I112"/>
      <c r="J112"/>
      <c r="K112"/>
      <c r="M112"/>
      <c r="N112"/>
    </row>
    <row r="113" spans="3:14" x14ac:dyDescent="0.25">
      <c r="C113" s="271"/>
      <c r="E113" s="276"/>
      <c r="I113"/>
      <c r="J113"/>
      <c r="K113"/>
      <c r="M113"/>
      <c r="N113"/>
    </row>
    <row r="114" spans="3:14" x14ac:dyDescent="0.25">
      <c r="C114" s="271"/>
      <c r="E114" s="276"/>
      <c r="I114"/>
      <c r="J114"/>
      <c r="K114"/>
      <c r="M114"/>
      <c r="N114"/>
    </row>
    <row r="115" spans="3:14" x14ac:dyDescent="0.25">
      <c r="C115" s="271"/>
      <c r="E115" s="276"/>
      <c r="I115"/>
      <c r="J115"/>
      <c r="K115"/>
      <c r="M115"/>
      <c r="N115"/>
    </row>
    <row r="116" spans="3:14" x14ac:dyDescent="0.25">
      <c r="C116" s="271"/>
      <c r="E116" s="276"/>
      <c r="I116"/>
      <c r="J116"/>
      <c r="K116"/>
      <c r="M116"/>
      <c r="N116"/>
    </row>
    <row r="117" spans="3:14" x14ac:dyDescent="0.25">
      <c r="C117" s="271"/>
      <c r="E117" s="276"/>
      <c r="I117"/>
      <c r="J117"/>
      <c r="K117"/>
      <c r="M117"/>
      <c r="N117"/>
    </row>
    <row r="118" spans="3:14" x14ac:dyDescent="0.25">
      <c r="C118" s="271"/>
      <c r="E118" s="276"/>
      <c r="I118"/>
      <c r="J118"/>
      <c r="K118"/>
      <c r="M118"/>
      <c r="N118"/>
    </row>
    <row r="119" spans="3:14" x14ac:dyDescent="0.25">
      <c r="C119" s="271"/>
      <c r="E119" s="276"/>
      <c r="I119"/>
      <c r="J119"/>
      <c r="K119"/>
      <c r="M119"/>
      <c r="N119"/>
    </row>
    <row r="120" spans="3:14" x14ac:dyDescent="0.25">
      <c r="C120" s="271"/>
      <c r="E120" s="276"/>
      <c r="I120"/>
      <c r="J120"/>
      <c r="K120"/>
      <c r="M120"/>
      <c r="N120"/>
    </row>
    <row r="121" spans="3:14" x14ac:dyDescent="0.25">
      <c r="C121" s="271"/>
      <c r="E121" s="276"/>
      <c r="I121"/>
      <c r="J121"/>
      <c r="K121"/>
      <c r="M121"/>
      <c r="N121"/>
    </row>
    <row r="122" spans="3:14" x14ac:dyDescent="0.25">
      <c r="C122" s="271"/>
      <c r="E122" s="276"/>
      <c r="I122"/>
      <c r="J122"/>
      <c r="K122"/>
      <c r="M122"/>
      <c r="N122"/>
    </row>
    <row r="123" spans="3:14" x14ac:dyDescent="0.25">
      <c r="C123" s="271"/>
      <c r="E123" s="276"/>
      <c r="I123"/>
      <c r="J123"/>
      <c r="K123"/>
      <c r="M123"/>
      <c r="N123"/>
    </row>
  </sheetData>
  <mergeCells count="4">
    <mergeCell ref="I36:L37"/>
    <mergeCell ref="I40:J42"/>
    <mergeCell ref="I67:J68"/>
    <mergeCell ref="G68:G69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C99FF"/>
  </sheetPr>
  <dimension ref="A1:S105"/>
  <sheetViews>
    <sheetView tabSelected="1" workbookViewId="0">
      <pane xSplit="5" ySplit="4" topLeftCell="F29" activePane="bottomRight" state="frozen"/>
      <selection pane="topRight" activeCell="F1" sqref="F1"/>
      <selection pane="bottomLeft" activeCell="A5" sqref="A5"/>
      <selection pane="bottomRight" activeCell="F40" sqref="F40"/>
    </sheetView>
  </sheetViews>
  <sheetFormatPr baseColWidth="10" defaultRowHeight="15.75" x14ac:dyDescent="0.25"/>
  <cols>
    <col min="1" max="1" width="11" customWidth="1"/>
    <col min="2" max="2" width="12.42578125" style="151" customWidth="1"/>
    <col min="3" max="3" width="16.85546875" style="7" bestFit="1" customWidth="1"/>
    <col min="4" max="4" width="15.28515625" customWidth="1"/>
    <col min="5" max="5" width="11.42578125" style="6"/>
    <col min="6" max="6" width="16.140625" style="7" bestFit="1" customWidth="1"/>
    <col min="7" max="7" width="1.85546875" style="6" customWidth="1"/>
    <col min="8" max="8" width="11.85546875" style="6" customWidth="1"/>
    <col min="9" max="9" width="15.7109375" style="7" customWidth="1"/>
    <col min="10" max="10" width="11.7109375" style="17" customWidth="1"/>
    <col min="11" max="11" width="14.42578125" style="11" customWidth="1"/>
    <col min="12" max="12" width="14.5703125" style="5" customWidth="1"/>
    <col min="13" max="13" width="17.85546875" style="7" customWidth="1"/>
    <col min="14" max="14" width="17.5703125" style="1" bestFit="1" customWidth="1"/>
    <col min="15" max="15" width="8.85546875" style="2" bestFit="1" customWidth="1"/>
    <col min="16" max="16" width="16.85546875" customWidth="1"/>
    <col min="17" max="17" width="21.28515625" style="3" customWidth="1"/>
    <col min="18" max="18" width="15.28515625" style="4" customWidth="1"/>
  </cols>
  <sheetData>
    <row r="1" spans="1:18" ht="23.25" x14ac:dyDescent="0.35">
      <c r="B1" s="482"/>
      <c r="C1" s="484" t="s">
        <v>368</v>
      </c>
      <c r="D1" s="485"/>
      <c r="E1" s="485"/>
      <c r="F1" s="485"/>
      <c r="G1" s="485"/>
      <c r="H1" s="485"/>
      <c r="I1" s="485"/>
      <c r="J1" s="485"/>
      <c r="K1" s="485"/>
      <c r="L1" s="485"/>
      <c r="M1" s="485"/>
    </row>
    <row r="2" spans="1:18" ht="16.5" thickBot="1" x14ac:dyDescent="0.3">
      <c r="B2" s="483"/>
      <c r="C2" s="5"/>
      <c r="H2" s="8"/>
      <c r="I2" s="9"/>
      <c r="J2" s="10"/>
      <c r="L2" s="12"/>
      <c r="M2" s="9"/>
      <c r="N2" s="13"/>
    </row>
    <row r="3" spans="1:18" ht="21.75" thickBot="1" x14ac:dyDescent="0.35">
      <c r="B3" s="486" t="s">
        <v>0</v>
      </c>
      <c r="C3" s="487"/>
      <c r="D3" s="14"/>
      <c r="E3" s="15"/>
      <c r="F3" s="16"/>
      <c r="H3" s="488" t="s">
        <v>1</v>
      </c>
      <c r="I3" s="488"/>
      <c r="K3" s="18"/>
      <c r="L3" s="19"/>
      <c r="M3" s="20"/>
      <c r="P3" s="480" t="s">
        <v>2</v>
      </c>
      <c r="R3" s="509" t="s">
        <v>3</v>
      </c>
    </row>
    <row r="4" spans="1:18" ht="32.25" thickTop="1" thickBot="1" x14ac:dyDescent="0.35">
      <c r="A4" s="21" t="s">
        <v>4</v>
      </c>
      <c r="B4" s="22"/>
      <c r="C4" s="23">
        <v>3567993.62</v>
      </c>
      <c r="D4" s="24">
        <v>45014</v>
      </c>
      <c r="E4" s="455" t="s">
        <v>5</v>
      </c>
      <c r="F4" s="456"/>
      <c r="H4" s="457" t="s">
        <v>6</v>
      </c>
      <c r="I4" s="458"/>
      <c r="J4" s="25"/>
      <c r="K4" s="26"/>
      <c r="L4" s="27"/>
      <c r="M4" s="28" t="s">
        <v>7</v>
      </c>
      <c r="N4" s="29" t="s">
        <v>8</v>
      </c>
      <c r="P4" s="481"/>
      <c r="Q4" s="30" t="s">
        <v>9</v>
      </c>
      <c r="R4" s="510"/>
    </row>
    <row r="5" spans="1:18" ht="18" thickBot="1" x14ac:dyDescent="0.35">
      <c r="A5" s="31" t="s">
        <v>10</v>
      </c>
      <c r="B5" s="32">
        <v>45015</v>
      </c>
      <c r="C5" s="33">
        <v>5735</v>
      </c>
      <c r="D5" s="34" t="s">
        <v>431</v>
      </c>
      <c r="E5" s="35">
        <v>45015</v>
      </c>
      <c r="F5" s="36">
        <v>79342</v>
      </c>
      <c r="G5" s="37"/>
      <c r="H5" s="38">
        <v>45015</v>
      </c>
      <c r="I5" s="39">
        <v>885</v>
      </c>
      <c r="J5" s="40"/>
      <c r="K5" s="356"/>
      <c r="L5" s="13"/>
      <c r="M5" s="42">
        <v>44728</v>
      </c>
      <c r="N5" s="43">
        <v>27994</v>
      </c>
      <c r="P5" s="44">
        <f t="shared" ref="P5:P43" si="0">N5+M5+L5+I5+C5</f>
        <v>79342</v>
      </c>
      <c r="Q5" s="45">
        <v>0</v>
      </c>
      <c r="R5" s="390">
        <v>0</v>
      </c>
    </row>
    <row r="6" spans="1:18" ht="18" thickBot="1" x14ac:dyDescent="0.35">
      <c r="A6" s="31"/>
      <c r="B6" s="32">
        <v>45016</v>
      </c>
      <c r="C6" s="33">
        <v>7029</v>
      </c>
      <c r="D6" s="47" t="s">
        <v>432</v>
      </c>
      <c r="E6" s="35">
        <v>45016</v>
      </c>
      <c r="F6" s="36">
        <v>132828</v>
      </c>
      <c r="G6" s="37"/>
      <c r="H6" s="38">
        <v>45016</v>
      </c>
      <c r="I6" s="39">
        <v>2513</v>
      </c>
      <c r="J6" s="40"/>
      <c r="K6" s="65"/>
      <c r="L6" s="49"/>
      <c r="M6" s="42">
        <v>74951</v>
      </c>
      <c r="N6" s="43">
        <v>48335</v>
      </c>
      <c r="P6" s="49">
        <f t="shared" si="0"/>
        <v>132828</v>
      </c>
      <c r="Q6" s="45">
        <f t="shared" ref="Q6:Q47" si="1">P6-F6</f>
        <v>0</v>
      </c>
      <c r="R6" s="46">
        <v>0</v>
      </c>
    </row>
    <row r="7" spans="1:18" ht="18" thickBot="1" x14ac:dyDescent="0.35">
      <c r="A7" s="31"/>
      <c r="B7" s="32">
        <v>45017</v>
      </c>
      <c r="C7" s="33">
        <v>2118</v>
      </c>
      <c r="D7" s="50" t="s">
        <v>433</v>
      </c>
      <c r="E7" s="35">
        <v>45017</v>
      </c>
      <c r="F7" s="36">
        <v>126045</v>
      </c>
      <c r="G7" s="37"/>
      <c r="H7" s="38">
        <v>45017</v>
      </c>
      <c r="I7" s="39">
        <v>6158</v>
      </c>
      <c r="J7" s="40">
        <v>45017</v>
      </c>
      <c r="K7" s="65" t="s">
        <v>434</v>
      </c>
      <c r="L7" s="49">
        <v>21224</v>
      </c>
      <c r="M7" s="401">
        <f>39041+2600</f>
        <v>41641</v>
      </c>
      <c r="N7" s="43">
        <v>53999</v>
      </c>
      <c r="P7" s="49">
        <f t="shared" si="0"/>
        <v>125140</v>
      </c>
      <c r="Q7" s="285">
        <f t="shared" si="1"/>
        <v>-905</v>
      </c>
      <c r="R7" s="46" t="s">
        <v>10</v>
      </c>
    </row>
    <row r="8" spans="1:18" ht="18" thickBot="1" x14ac:dyDescent="0.35">
      <c r="A8" s="31"/>
      <c r="B8" s="32">
        <v>45018</v>
      </c>
      <c r="C8" s="33">
        <v>24549</v>
      </c>
      <c r="D8" s="51" t="s">
        <v>436</v>
      </c>
      <c r="E8" s="35">
        <v>45018</v>
      </c>
      <c r="F8" s="36">
        <v>82988</v>
      </c>
      <c r="G8" s="37"/>
      <c r="H8" s="38">
        <v>45018</v>
      </c>
      <c r="I8" s="39">
        <v>1662</v>
      </c>
      <c r="J8" s="52"/>
      <c r="K8" s="65"/>
      <c r="L8" s="49"/>
      <c r="M8" s="42">
        <v>49126</v>
      </c>
      <c r="N8" s="43">
        <v>28094</v>
      </c>
      <c r="P8" s="49">
        <f t="shared" si="0"/>
        <v>103431</v>
      </c>
      <c r="Q8" s="45">
        <v>0</v>
      </c>
      <c r="R8" s="282">
        <v>29443</v>
      </c>
    </row>
    <row r="9" spans="1:18" ht="18" thickBot="1" x14ac:dyDescent="0.35">
      <c r="A9" s="31"/>
      <c r="B9" s="32">
        <v>45019</v>
      </c>
      <c r="C9" s="33">
        <v>23991</v>
      </c>
      <c r="D9" s="51" t="s">
        <v>437</v>
      </c>
      <c r="E9" s="35">
        <v>45019</v>
      </c>
      <c r="F9" s="36">
        <v>142186</v>
      </c>
      <c r="G9" s="37"/>
      <c r="H9" s="38">
        <v>45019</v>
      </c>
      <c r="I9" s="39">
        <v>2752</v>
      </c>
      <c r="J9" s="40">
        <v>45019</v>
      </c>
      <c r="K9" s="348" t="s">
        <v>438</v>
      </c>
      <c r="L9" s="49">
        <v>20000</v>
      </c>
      <c r="M9" s="42">
        <v>35389</v>
      </c>
      <c r="N9" s="43">
        <v>60959</v>
      </c>
      <c r="P9" s="49">
        <f t="shared" si="0"/>
        <v>143091</v>
      </c>
      <c r="Q9" s="45">
        <f t="shared" si="1"/>
        <v>905</v>
      </c>
      <c r="R9" s="46">
        <v>0</v>
      </c>
    </row>
    <row r="10" spans="1:18" ht="18" thickBot="1" x14ac:dyDescent="0.35">
      <c r="A10" s="31"/>
      <c r="B10" s="32">
        <v>45020</v>
      </c>
      <c r="C10" s="33">
        <v>18583</v>
      </c>
      <c r="D10" s="50" t="s">
        <v>439</v>
      </c>
      <c r="E10" s="35">
        <v>45020</v>
      </c>
      <c r="F10" s="36">
        <v>124672</v>
      </c>
      <c r="G10" s="37"/>
      <c r="H10" s="38">
        <v>45020</v>
      </c>
      <c r="I10" s="39">
        <v>2257</v>
      </c>
      <c r="J10" s="40"/>
      <c r="K10" s="54"/>
      <c r="L10" s="55"/>
      <c r="M10" s="42">
        <v>61336</v>
      </c>
      <c r="N10" s="43">
        <v>42496</v>
      </c>
      <c r="P10" s="49">
        <f t="shared" si="0"/>
        <v>124672</v>
      </c>
      <c r="Q10" s="45">
        <f t="shared" si="1"/>
        <v>0</v>
      </c>
      <c r="R10" s="46">
        <v>0</v>
      </c>
    </row>
    <row r="11" spans="1:18" ht="18" thickBot="1" x14ac:dyDescent="0.35">
      <c r="A11" s="31"/>
      <c r="B11" s="32">
        <v>45021</v>
      </c>
      <c r="C11" s="33">
        <v>7466</v>
      </c>
      <c r="D11" s="47" t="s">
        <v>440</v>
      </c>
      <c r="E11" s="35">
        <v>45021</v>
      </c>
      <c r="F11" s="36">
        <v>115815</v>
      </c>
      <c r="G11" s="37"/>
      <c r="H11" s="38">
        <v>45021</v>
      </c>
      <c r="I11" s="39">
        <v>2413</v>
      </c>
      <c r="J11" s="52"/>
      <c r="K11" s="58"/>
      <c r="L11" s="49"/>
      <c r="M11" s="42">
        <f>51063+8811</f>
        <v>59874</v>
      </c>
      <c r="N11" s="43">
        <v>46062</v>
      </c>
      <c r="P11" s="49">
        <f t="shared" si="0"/>
        <v>115815</v>
      </c>
      <c r="Q11" s="45">
        <f t="shared" si="1"/>
        <v>0</v>
      </c>
      <c r="R11" s="46">
        <v>0</v>
      </c>
    </row>
    <row r="12" spans="1:18" ht="18" thickBot="1" x14ac:dyDescent="0.35">
      <c r="A12" s="31"/>
      <c r="B12" s="32">
        <v>45022</v>
      </c>
      <c r="C12" s="33">
        <v>15133</v>
      </c>
      <c r="D12" s="47" t="s">
        <v>441</v>
      </c>
      <c r="E12" s="35">
        <v>45022</v>
      </c>
      <c r="F12" s="36">
        <v>162144</v>
      </c>
      <c r="G12" s="37"/>
      <c r="H12" s="38">
        <v>45022</v>
      </c>
      <c r="I12" s="39">
        <v>3436.5</v>
      </c>
      <c r="J12" s="40"/>
      <c r="K12" s="342"/>
      <c r="L12" s="49"/>
      <c r="M12" s="42">
        <f>79606.5+645</f>
        <v>80251.5</v>
      </c>
      <c r="N12" s="43">
        <v>63323</v>
      </c>
      <c r="O12" s="192"/>
      <c r="P12" s="49">
        <f t="shared" si="0"/>
        <v>162144</v>
      </c>
      <c r="Q12" s="45">
        <f t="shared" si="1"/>
        <v>0</v>
      </c>
      <c r="R12" s="46">
        <v>0</v>
      </c>
    </row>
    <row r="13" spans="1:18" ht="18" thickBot="1" x14ac:dyDescent="0.35">
      <c r="A13" s="31"/>
      <c r="B13" s="32">
        <v>45023</v>
      </c>
      <c r="C13" s="33">
        <v>0</v>
      </c>
      <c r="D13" s="51"/>
      <c r="E13" s="35">
        <v>45023</v>
      </c>
      <c r="F13" s="36">
        <v>62117</v>
      </c>
      <c r="G13" s="37"/>
      <c r="H13" s="38">
        <v>45023</v>
      </c>
      <c r="I13" s="39">
        <v>543</v>
      </c>
      <c r="J13" s="40"/>
      <c r="K13" s="343"/>
      <c r="L13" s="49"/>
      <c r="M13" s="42">
        <v>34594</v>
      </c>
      <c r="N13" s="43">
        <v>26980</v>
      </c>
      <c r="O13" s="192"/>
      <c r="P13" s="49">
        <f>N13+M13+L13+I13+C13</f>
        <v>62117</v>
      </c>
      <c r="Q13" s="45">
        <f t="shared" si="1"/>
        <v>0</v>
      </c>
      <c r="R13" s="46">
        <v>0</v>
      </c>
    </row>
    <row r="14" spans="1:18" ht="18" thickBot="1" x14ac:dyDescent="0.35">
      <c r="A14" s="31"/>
      <c r="B14" s="32">
        <v>45024</v>
      </c>
      <c r="C14" s="33">
        <v>9189.5</v>
      </c>
      <c r="D14" s="50" t="s">
        <v>442</v>
      </c>
      <c r="E14" s="35">
        <v>45024</v>
      </c>
      <c r="F14" s="36">
        <v>226653</v>
      </c>
      <c r="G14" s="37"/>
      <c r="H14" s="38">
        <v>45024</v>
      </c>
      <c r="I14" s="39">
        <v>2718</v>
      </c>
      <c r="J14" s="40">
        <v>45024</v>
      </c>
      <c r="K14" s="65" t="s">
        <v>443</v>
      </c>
      <c r="L14" s="49">
        <v>23824</v>
      </c>
      <c r="M14" s="42">
        <f>48035+68104.5</f>
        <v>116139.5</v>
      </c>
      <c r="N14" s="43">
        <v>74782</v>
      </c>
      <c r="O14" s="193"/>
      <c r="P14" s="49">
        <f t="shared" si="0"/>
        <v>226653</v>
      </c>
      <c r="Q14" s="45">
        <f t="shared" si="1"/>
        <v>0</v>
      </c>
      <c r="R14" s="46">
        <v>0</v>
      </c>
    </row>
    <row r="15" spans="1:18" ht="18" thickBot="1" x14ac:dyDescent="0.35">
      <c r="A15" s="31"/>
      <c r="B15" s="32">
        <v>45025</v>
      </c>
      <c r="C15" s="33">
        <v>1285</v>
      </c>
      <c r="D15" s="50" t="s">
        <v>448</v>
      </c>
      <c r="E15" s="35">
        <v>45025</v>
      </c>
      <c r="F15" s="36">
        <v>87116</v>
      </c>
      <c r="G15" s="37"/>
      <c r="H15" s="38">
        <v>45025</v>
      </c>
      <c r="I15" s="39">
        <v>835</v>
      </c>
      <c r="J15" s="40"/>
      <c r="K15" s="65"/>
      <c r="L15" s="49"/>
      <c r="M15" s="42">
        <f>53155+934</f>
        <v>54089</v>
      </c>
      <c r="N15" s="43">
        <v>30907</v>
      </c>
      <c r="P15" s="49">
        <f t="shared" si="0"/>
        <v>87116</v>
      </c>
      <c r="Q15" s="45">
        <f t="shared" si="1"/>
        <v>0</v>
      </c>
      <c r="R15" s="46">
        <v>0</v>
      </c>
    </row>
    <row r="16" spans="1:18" ht="18" thickBot="1" x14ac:dyDescent="0.35">
      <c r="A16" s="31"/>
      <c r="B16" s="32">
        <v>45026</v>
      </c>
      <c r="C16" s="33">
        <v>49552</v>
      </c>
      <c r="D16" s="50" t="s">
        <v>444</v>
      </c>
      <c r="E16" s="35">
        <v>45026</v>
      </c>
      <c r="F16" s="36">
        <v>153367</v>
      </c>
      <c r="G16" s="37"/>
      <c r="H16" s="38">
        <v>45026</v>
      </c>
      <c r="I16" s="39">
        <v>2534</v>
      </c>
      <c r="J16" s="40"/>
      <c r="K16" s="342"/>
      <c r="L16" s="13"/>
      <c r="M16" s="42">
        <v>43679</v>
      </c>
      <c r="N16" s="43">
        <v>57602</v>
      </c>
      <c r="P16" s="49">
        <f t="shared" si="0"/>
        <v>153367</v>
      </c>
      <c r="Q16" s="45">
        <f t="shared" si="1"/>
        <v>0</v>
      </c>
      <c r="R16" s="46">
        <v>0</v>
      </c>
    </row>
    <row r="17" spans="1:19" ht="18" thickBot="1" x14ac:dyDescent="0.35">
      <c r="A17" s="31"/>
      <c r="B17" s="32">
        <v>45027</v>
      </c>
      <c r="C17" s="33">
        <v>18486</v>
      </c>
      <c r="D17" s="47" t="s">
        <v>445</v>
      </c>
      <c r="E17" s="35">
        <v>45027</v>
      </c>
      <c r="F17" s="36">
        <v>91902</v>
      </c>
      <c r="G17" s="37"/>
      <c r="H17" s="38">
        <v>45027</v>
      </c>
      <c r="I17" s="39">
        <v>3887</v>
      </c>
      <c r="J17" s="40"/>
      <c r="K17" s="65"/>
      <c r="L17" s="55"/>
      <c r="M17" s="42">
        <v>32180</v>
      </c>
      <c r="N17" s="43">
        <v>37349</v>
      </c>
      <c r="P17" s="49">
        <f t="shared" si="0"/>
        <v>91902</v>
      </c>
      <c r="Q17" s="45">
        <f t="shared" si="1"/>
        <v>0</v>
      </c>
      <c r="R17" s="46">
        <v>0</v>
      </c>
    </row>
    <row r="18" spans="1:19" ht="18" thickBot="1" x14ac:dyDescent="0.35">
      <c r="A18" s="31"/>
      <c r="B18" s="32">
        <v>45028</v>
      </c>
      <c r="C18" s="33">
        <v>17883</v>
      </c>
      <c r="D18" s="51" t="s">
        <v>446</v>
      </c>
      <c r="E18" s="35">
        <v>45028</v>
      </c>
      <c r="F18" s="36">
        <v>117085</v>
      </c>
      <c r="G18" s="37"/>
      <c r="H18" s="38">
        <v>45028</v>
      </c>
      <c r="I18" s="39">
        <v>3177</v>
      </c>
      <c r="J18" s="40">
        <v>45028</v>
      </c>
      <c r="K18" s="58" t="s">
        <v>447</v>
      </c>
      <c r="L18" s="49">
        <v>6859</v>
      </c>
      <c r="M18" s="42">
        <f>36595+4406.6+1383+1803</f>
        <v>44187.6</v>
      </c>
      <c r="N18" s="43">
        <v>44978</v>
      </c>
      <c r="P18" s="49">
        <f t="shared" si="0"/>
        <v>117084.6</v>
      </c>
      <c r="Q18" s="45">
        <f t="shared" si="1"/>
        <v>-0.39999999999417923</v>
      </c>
      <c r="R18" s="46">
        <v>0</v>
      </c>
    </row>
    <row r="19" spans="1:19" ht="18" thickBot="1" x14ac:dyDescent="0.35">
      <c r="A19" s="31"/>
      <c r="B19" s="32">
        <v>45029</v>
      </c>
      <c r="C19" s="33">
        <v>11760</v>
      </c>
      <c r="D19" s="47" t="s">
        <v>86</v>
      </c>
      <c r="E19" s="35">
        <v>45029</v>
      </c>
      <c r="F19" s="36">
        <v>114899</v>
      </c>
      <c r="G19" s="37"/>
      <c r="H19" s="38">
        <v>45029</v>
      </c>
      <c r="I19" s="39">
        <v>1914</v>
      </c>
      <c r="J19" s="40"/>
      <c r="K19" s="344"/>
      <c r="L19" s="59"/>
      <c r="M19" s="42">
        <v>59961</v>
      </c>
      <c r="N19" s="43">
        <v>41264</v>
      </c>
      <c r="P19" s="49">
        <f t="shared" si="0"/>
        <v>114899</v>
      </c>
      <c r="Q19" s="45">
        <f t="shared" si="1"/>
        <v>0</v>
      </c>
      <c r="R19" s="46" t="s">
        <v>11</v>
      </c>
    </row>
    <row r="20" spans="1:19" ht="18" customHeight="1" thickBot="1" x14ac:dyDescent="0.35">
      <c r="A20" s="31"/>
      <c r="B20" s="32">
        <v>45030</v>
      </c>
      <c r="C20" s="33">
        <v>4952</v>
      </c>
      <c r="D20" s="47" t="s">
        <v>88</v>
      </c>
      <c r="E20" s="35">
        <v>45030</v>
      </c>
      <c r="F20" s="36">
        <v>162758</v>
      </c>
      <c r="G20" s="37"/>
      <c r="H20" s="38">
        <v>45030</v>
      </c>
      <c r="I20" s="39">
        <v>2246</v>
      </c>
      <c r="J20" s="40"/>
      <c r="K20" s="60"/>
      <c r="L20" s="55"/>
      <c r="M20" s="42">
        <v>103001</v>
      </c>
      <c r="N20" s="43">
        <v>52559</v>
      </c>
      <c r="P20" s="49">
        <f t="shared" si="0"/>
        <v>162758</v>
      </c>
      <c r="Q20" s="45">
        <f t="shared" si="1"/>
        <v>0</v>
      </c>
      <c r="R20" s="46">
        <v>0</v>
      </c>
    </row>
    <row r="21" spans="1:19" ht="24.75" thickBot="1" x14ac:dyDescent="0.35">
      <c r="A21" s="31"/>
      <c r="B21" s="32">
        <v>45031</v>
      </c>
      <c r="C21" s="33">
        <v>41098</v>
      </c>
      <c r="D21" s="47" t="s">
        <v>449</v>
      </c>
      <c r="E21" s="35">
        <v>45031</v>
      </c>
      <c r="F21" s="36">
        <v>151676</v>
      </c>
      <c r="G21" s="37"/>
      <c r="H21" s="38">
        <v>45031</v>
      </c>
      <c r="I21" s="39">
        <v>3463</v>
      </c>
      <c r="J21" s="40">
        <v>45031</v>
      </c>
      <c r="K21" s="402" t="s">
        <v>450</v>
      </c>
      <c r="L21" s="55">
        <f>22853+10000</f>
        <v>32853</v>
      </c>
      <c r="M21" s="42">
        <v>19876</v>
      </c>
      <c r="N21" s="43">
        <v>54386</v>
      </c>
      <c r="P21" s="49">
        <f t="shared" si="0"/>
        <v>151676</v>
      </c>
      <c r="Q21" s="45">
        <f t="shared" si="1"/>
        <v>0</v>
      </c>
      <c r="R21" s="46">
        <v>0</v>
      </c>
    </row>
    <row r="22" spans="1:19" ht="19.5" customHeight="1" thickBot="1" x14ac:dyDescent="0.35">
      <c r="A22" s="31"/>
      <c r="B22" s="32">
        <v>45032</v>
      </c>
      <c r="C22" s="33">
        <v>23217</v>
      </c>
      <c r="D22" s="47" t="s">
        <v>452</v>
      </c>
      <c r="E22" s="35">
        <v>45032</v>
      </c>
      <c r="F22" s="36">
        <v>100705</v>
      </c>
      <c r="G22" s="37"/>
      <c r="H22" s="38">
        <v>45032</v>
      </c>
      <c r="I22" s="359">
        <v>1449</v>
      </c>
      <c r="J22" s="40"/>
      <c r="K22" s="358"/>
      <c r="L22" s="62"/>
      <c r="M22" s="42">
        <v>40541</v>
      </c>
      <c r="N22" s="43">
        <v>35498</v>
      </c>
      <c r="P22" s="49">
        <f t="shared" si="0"/>
        <v>100705</v>
      </c>
      <c r="Q22" s="45">
        <f t="shared" si="1"/>
        <v>0</v>
      </c>
      <c r="R22" s="46">
        <v>0</v>
      </c>
      <c r="S22" s="63"/>
    </row>
    <row r="23" spans="1:19" ht="18" customHeight="1" thickBot="1" x14ac:dyDescent="0.35">
      <c r="A23" s="31"/>
      <c r="B23" s="32">
        <v>45033</v>
      </c>
      <c r="C23" s="33">
        <v>39877</v>
      </c>
      <c r="D23" s="47" t="s">
        <v>453</v>
      </c>
      <c r="E23" s="35">
        <v>45033</v>
      </c>
      <c r="F23" s="36">
        <v>107767</v>
      </c>
      <c r="G23" s="37"/>
      <c r="H23" s="38">
        <v>45033</v>
      </c>
      <c r="I23" s="39">
        <v>2880.5</v>
      </c>
      <c r="J23" s="64"/>
      <c r="K23" s="65"/>
      <c r="L23" s="55"/>
      <c r="M23" s="42">
        <v>17161.5</v>
      </c>
      <c r="N23" s="43">
        <v>47848</v>
      </c>
      <c r="P23" s="49">
        <f t="shared" si="0"/>
        <v>107767</v>
      </c>
      <c r="Q23" s="45">
        <f t="shared" si="1"/>
        <v>0</v>
      </c>
      <c r="R23" s="46">
        <v>0</v>
      </c>
    </row>
    <row r="24" spans="1:19" ht="18" customHeight="1" thickBot="1" x14ac:dyDescent="0.35">
      <c r="A24" s="31"/>
      <c r="B24" s="32">
        <v>45034</v>
      </c>
      <c r="C24" s="33">
        <v>11986</v>
      </c>
      <c r="D24" s="51" t="s">
        <v>454</v>
      </c>
      <c r="E24" s="35">
        <v>45034</v>
      </c>
      <c r="F24" s="36">
        <v>131740</v>
      </c>
      <c r="G24" s="37"/>
      <c r="H24" s="38">
        <v>45034</v>
      </c>
      <c r="I24" s="39">
        <v>2685</v>
      </c>
      <c r="J24" s="66"/>
      <c r="K24" s="65"/>
      <c r="L24" s="67"/>
      <c r="M24" s="42">
        <v>69962</v>
      </c>
      <c r="N24" s="43">
        <v>47107</v>
      </c>
      <c r="P24" s="49">
        <f>N24+M24+L24+I24+C24</f>
        <v>131740</v>
      </c>
      <c r="Q24" s="45">
        <f t="shared" si="1"/>
        <v>0</v>
      </c>
      <c r="R24" s="46" t="s">
        <v>149</v>
      </c>
    </row>
    <row r="25" spans="1:19" ht="18" thickBot="1" x14ac:dyDescent="0.35">
      <c r="A25" s="31"/>
      <c r="B25" s="32">
        <v>45035</v>
      </c>
      <c r="C25" s="33">
        <v>18944</v>
      </c>
      <c r="D25" s="47" t="s">
        <v>455</v>
      </c>
      <c r="E25" s="35">
        <v>45035</v>
      </c>
      <c r="F25" s="36">
        <v>177937</v>
      </c>
      <c r="G25" s="37"/>
      <c r="H25" s="38">
        <v>45035</v>
      </c>
      <c r="I25" s="39">
        <v>3012.5</v>
      </c>
      <c r="J25" s="64"/>
      <c r="K25" s="65"/>
      <c r="L25" s="68"/>
      <c r="M25" s="42">
        <f>83619.5+6611</f>
        <v>90230.5</v>
      </c>
      <c r="N25" s="43">
        <v>65750</v>
      </c>
      <c r="P25" s="69">
        <f t="shared" si="0"/>
        <v>177937</v>
      </c>
      <c r="Q25" s="45">
        <f t="shared" si="1"/>
        <v>0</v>
      </c>
      <c r="R25" s="46">
        <v>0</v>
      </c>
    </row>
    <row r="26" spans="1:19" ht="18" thickBot="1" x14ac:dyDescent="0.35">
      <c r="A26" s="31"/>
      <c r="B26" s="32">
        <v>45036</v>
      </c>
      <c r="C26" s="33">
        <v>22124</v>
      </c>
      <c r="D26" s="47" t="s">
        <v>456</v>
      </c>
      <c r="E26" s="35">
        <v>45036</v>
      </c>
      <c r="F26" s="36">
        <v>109443</v>
      </c>
      <c r="G26" s="37"/>
      <c r="H26" s="38">
        <v>45036</v>
      </c>
      <c r="I26" s="39">
        <v>2364.5</v>
      </c>
      <c r="J26" s="40"/>
      <c r="K26" s="70"/>
      <c r="L26" s="71"/>
      <c r="M26" s="42">
        <v>49350.5</v>
      </c>
      <c r="N26" s="43">
        <v>35604</v>
      </c>
      <c r="P26" s="69">
        <f t="shared" si="0"/>
        <v>109443</v>
      </c>
      <c r="Q26" s="45">
        <f t="shared" si="1"/>
        <v>0</v>
      </c>
      <c r="R26" s="46">
        <v>0</v>
      </c>
      <c r="S26" t="s">
        <v>11</v>
      </c>
    </row>
    <row r="27" spans="1:19" ht="18" customHeight="1" thickBot="1" x14ac:dyDescent="0.35">
      <c r="A27" s="31"/>
      <c r="B27" s="32">
        <v>45037</v>
      </c>
      <c r="C27" s="33">
        <v>1593</v>
      </c>
      <c r="D27" s="51" t="s">
        <v>91</v>
      </c>
      <c r="E27" s="35">
        <v>45037</v>
      </c>
      <c r="F27" s="36">
        <v>108839</v>
      </c>
      <c r="G27" s="37"/>
      <c r="H27" s="38">
        <v>45037</v>
      </c>
      <c r="I27" s="39">
        <v>2765</v>
      </c>
      <c r="J27" s="337"/>
      <c r="K27" s="345"/>
      <c r="L27" s="68"/>
      <c r="M27" s="42">
        <v>62315</v>
      </c>
      <c r="N27" s="43">
        <v>42166</v>
      </c>
      <c r="P27" s="69">
        <f t="shared" si="0"/>
        <v>108839</v>
      </c>
      <c r="Q27" s="45">
        <f t="shared" si="1"/>
        <v>0</v>
      </c>
      <c r="R27" s="46">
        <v>0</v>
      </c>
    </row>
    <row r="28" spans="1:19" ht="18" customHeight="1" thickBot="1" x14ac:dyDescent="0.35">
      <c r="A28" s="31"/>
      <c r="B28" s="32">
        <v>45038</v>
      </c>
      <c r="C28" s="33">
        <v>22106</v>
      </c>
      <c r="D28" s="51" t="s">
        <v>457</v>
      </c>
      <c r="E28" s="35">
        <v>45038</v>
      </c>
      <c r="F28" s="36">
        <v>148185</v>
      </c>
      <c r="G28" s="37"/>
      <c r="H28" s="38">
        <v>45038</v>
      </c>
      <c r="I28" s="39">
        <v>6284</v>
      </c>
      <c r="J28" s="338">
        <v>45038</v>
      </c>
      <c r="K28" s="70" t="s">
        <v>458</v>
      </c>
      <c r="L28" s="68">
        <v>22873</v>
      </c>
      <c r="M28" s="42">
        <f>26630+1004</f>
        <v>27634</v>
      </c>
      <c r="N28" s="43">
        <v>69288</v>
      </c>
      <c r="P28" s="69">
        <f t="shared" si="0"/>
        <v>148185</v>
      </c>
      <c r="Q28" s="45">
        <f t="shared" si="1"/>
        <v>0</v>
      </c>
      <c r="R28" s="46">
        <v>0</v>
      </c>
    </row>
    <row r="29" spans="1:19" ht="18" thickBot="1" x14ac:dyDescent="0.35">
      <c r="A29" s="31"/>
      <c r="B29" s="32">
        <v>45039</v>
      </c>
      <c r="C29" s="33">
        <v>12993</v>
      </c>
      <c r="D29" s="76" t="s">
        <v>459</v>
      </c>
      <c r="E29" s="35">
        <v>45039</v>
      </c>
      <c r="F29" s="36">
        <v>84482</v>
      </c>
      <c r="G29" s="37"/>
      <c r="H29" s="38">
        <v>45039</v>
      </c>
      <c r="I29" s="39">
        <v>1601</v>
      </c>
      <c r="J29" s="339"/>
      <c r="K29" s="346"/>
      <c r="L29" s="68"/>
      <c r="M29" s="42">
        <v>28646</v>
      </c>
      <c r="N29" s="43">
        <v>41242</v>
      </c>
      <c r="P29" s="69">
        <f t="shared" si="0"/>
        <v>84482</v>
      </c>
      <c r="Q29" s="45">
        <f t="shared" si="1"/>
        <v>0</v>
      </c>
      <c r="R29" s="46">
        <v>0</v>
      </c>
    </row>
    <row r="30" spans="1:19" ht="18" thickBot="1" x14ac:dyDescent="0.35">
      <c r="A30" s="31"/>
      <c r="B30" s="32">
        <v>45040</v>
      </c>
      <c r="C30" s="33">
        <v>16274.5</v>
      </c>
      <c r="D30" s="76" t="s">
        <v>465</v>
      </c>
      <c r="E30" s="35">
        <v>45040</v>
      </c>
      <c r="F30" s="36">
        <v>113955</v>
      </c>
      <c r="G30" s="37"/>
      <c r="H30" s="38">
        <v>45040</v>
      </c>
      <c r="I30" s="39">
        <v>3580.5</v>
      </c>
      <c r="J30" s="338"/>
      <c r="K30" s="65"/>
      <c r="L30" s="49"/>
      <c r="M30" s="42">
        <f>37079+7876</f>
        <v>44955</v>
      </c>
      <c r="N30" s="43">
        <v>49145</v>
      </c>
      <c r="P30" s="69">
        <f t="shared" si="0"/>
        <v>113955</v>
      </c>
      <c r="Q30" s="45">
        <f t="shared" si="1"/>
        <v>0</v>
      </c>
      <c r="R30" s="46">
        <v>0</v>
      </c>
    </row>
    <row r="31" spans="1:19" ht="18" thickBot="1" x14ac:dyDescent="0.35">
      <c r="A31" s="31"/>
      <c r="B31" s="32">
        <v>45041</v>
      </c>
      <c r="C31" s="33">
        <v>23869</v>
      </c>
      <c r="D31" s="79" t="s">
        <v>466</v>
      </c>
      <c r="E31" s="35">
        <v>45041</v>
      </c>
      <c r="F31" s="36">
        <v>115942</v>
      </c>
      <c r="G31" s="37"/>
      <c r="H31" s="38">
        <v>45041</v>
      </c>
      <c r="I31" s="39">
        <v>1457</v>
      </c>
      <c r="J31" s="338"/>
      <c r="K31" s="347"/>
      <c r="L31" s="68"/>
      <c r="M31" s="42">
        <v>37267</v>
      </c>
      <c r="N31" s="43">
        <v>53349</v>
      </c>
      <c r="P31" s="69">
        <f t="shared" si="0"/>
        <v>115942</v>
      </c>
      <c r="Q31" s="45">
        <f t="shared" si="1"/>
        <v>0</v>
      </c>
      <c r="R31" s="46">
        <v>0</v>
      </c>
    </row>
    <row r="32" spans="1:19" ht="18" thickBot="1" x14ac:dyDescent="0.35">
      <c r="A32" s="31"/>
      <c r="B32" s="32">
        <v>45042</v>
      </c>
      <c r="C32" s="33">
        <v>7957.5</v>
      </c>
      <c r="D32" s="305" t="s">
        <v>467</v>
      </c>
      <c r="E32" s="35">
        <v>45042</v>
      </c>
      <c r="F32" s="36">
        <v>97699</v>
      </c>
      <c r="G32" s="37"/>
      <c r="H32" s="38">
        <v>45042</v>
      </c>
      <c r="I32" s="39">
        <v>1825</v>
      </c>
      <c r="J32" s="367"/>
      <c r="K32" s="368"/>
      <c r="L32" s="369"/>
      <c r="M32" s="42">
        <f>41790.5+3975+6611</f>
        <v>52376.5</v>
      </c>
      <c r="N32" s="43">
        <v>35429</v>
      </c>
      <c r="O32" s="2" t="s">
        <v>10</v>
      </c>
      <c r="P32" s="69">
        <f t="shared" si="0"/>
        <v>97588</v>
      </c>
      <c r="Q32" s="404">
        <f t="shared" si="1"/>
        <v>-111</v>
      </c>
      <c r="R32" s="46">
        <v>0</v>
      </c>
    </row>
    <row r="33" spans="1:19" ht="18" thickBot="1" x14ac:dyDescent="0.35">
      <c r="A33" s="31"/>
      <c r="B33" s="32">
        <v>45043</v>
      </c>
      <c r="C33" s="33">
        <v>7759.5</v>
      </c>
      <c r="D33" s="83" t="s">
        <v>468</v>
      </c>
      <c r="E33" s="35">
        <v>45043</v>
      </c>
      <c r="F33" s="36">
        <v>119805</v>
      </c>
      <c r="G33" s="37"/>
      <c r="H33" s="38">
        <v>45043</v>
      </c>
      <c r="I33" s="39">
        <v>1727</v>
      </c>
      <c r="J33" s="370"/>
      <c r="K33" s="371"/>
      <c r="L33" s="372"/>
      <c r="M33" s="42">
        <v>66690.5</v>
      </c>
      <c r="N33" s="43">
        <v>43628</v>
      </c>
      <c r="P33" s="69">
        <f t="shared" si="0"/>
        <v>119805</v>
      </c>
      <c r="Q33" s="45">
        <f t="shared" si="1"/>
        <v>0</v>
      </c>
      <c r="R33" s="46">
        <v>0</v>
      </c>
    </row>
    <row r="34" spans="1:19" ht="18" thickBot="1" x14ac:dyDescent="0.35">
      <c r="A34" s="31"/>
      <c r="B34" s="32">
        <v>45044</v>
      </c>
      <c r="C34" s="33">
        <v>39837</v>
      </c>
      <c r="D34" s="83" t="s">
        <v>469</v>
      </c>
      <c r="E34" s="35">
        <v>45044</v>
      </c>
      <c r="F34" s="36">
        <v>138908</v>
      </c>
      <c r="G34" s="37"/>
      <c r="H34" s="38">
        <v>45044</v>
      </c>
      <c r="I34" s="39">
        <v>2670</v>
      </c>
      <c r="J34" s="370"/>
      <c r="K34" s="373"/>
      <c r="L34" s="369"/>
      <c r="M34" s="42">
        <v>45694</v>
      </c>
      <c r="N34" s="43">
        <v>50707</v>
      </c>
      <c r="P34" s="69">
        <f t="shared" si="0"/>
        <v>138908</v>
      </c>
      <c r="Q34" s="45">
        <f t="shared" si="1"/>
        <v>0</v>
      </c>
      <c r="R34" s="46">
        <v>0</v>
      </c>
      <c r="S34" t="s">
        <v>10</v>
      </c>
    </row>
    <row r="35" spans="1:19" ht="18" thickBot="1" x14ac:dyDescent="0.35">
      <c r="A35" s="31"/>
      <c r="B35" s="32">
        <v>45045</v>
      </c>
      <c r="C35" s="86">
        <v>19590</v>
      </c>
      <c r="D35" s="79" t="s">
        <v>470</v>
      </c>
      <c r="E35" s="35">
        <v>45045</v>
      </c>
      <c r="F35" s="36">
        <v>174765</v>
      </c>
      <c r="G35" s="37"/>
      <c r="H35" s="38">
        <v>45045</v>
      </c>
      <c r="I35" s="39">
        <v>3953</v>
      </c>
      <c r="J35" s="374">
        <v>45045</v>
      </c>
      <c r="K35" s="373" t="s">
        <v>471</v>
      </c>
      <c r="L35" s="375">
        <v>23755</v>
      </c>
      <c r="M35" s="42">
        <f>50773+6120</f>
        <v>56893</v>
      </c>
      <c r="N35" s="43">
        <v>70574</v>
      </c>
      <c r="P35" s="69">
        <f t="shared" si="0"/>
        <v>174765</v>
      </c>
      <c r="Q35" s="45">
        <f t="shared" si="1"/>
        <v>0</v>
      </c>
      <c r="R35" s="46">
        <v>0</v>
      </c>
    </row>
    <row r="36" spans="1:19" ht="18" customHeight="1" thickTop="1" thickBot="1" x14ac:dyDescent="0.35">
      <c r="A36" s="31"/>
      <c r="B36" s="32">
        <v>45046</v>
      </c>
      <c r="C36" s="90">
        <v>15009</v>
      </c>
      <c r="D36" s="364" t="s">
        <v>472</v>
      </c>
      <c r="E36" s="35">
        <v>45046</v>
      </c>
      <c r="F36" s="36">
        <v>105915</v>
      </c>
      <c r="G36" s="92"/>
      <c r="H36" s="38">
        <v>45046</v>
      </c>
      <c r="I36" s="39">
        <v>429</v>
      </c>
      <c r="J36" s="338"/>
      <c r="K36" s="88"/>
      <c r="L36" s="49"/>
      <c r="M36" s="42">
        <v>37107</v>
      </c>
      <c r="N36" s="43">
        <v>53370</v>
      </c>
      <c r="P36" s="69">
        <f t="shared" si="0"/>
        <v>105915</v>
      </c>
      <c r="Q36" s="45">
        <f t="shared" si="1"/>
        <v>0</v>
      </c>
      <c r="R36" s="46">
        <v>0</v>
      </c>
    </row>
    <row r="37" spans="1:19" ht="18" customHeight="1" thickBot="1" x14ac:dyDescent="0.35">
      <c r="A37" s="31"/>
      <c r="B37" s="32">
        <v>45047</v>
      </c>
      <c r="C37" s="93">
        <v>24810</v>
      </c>
      <c r="D37" s="94" t="s">
        <v>482</v>
      </c>
      <c r="E37" s="35">
        <v>45047</v>
      </c>
      <c r="F37" s="36">
        <v>111329</v>
      </c>
      <c r="G37" s="92"/>
      <c r="H37" s="38">
        <v>45047</v>
      </c>
      <c r="I37" s="39">
        <v>1707.5</v>
      </c>
      <c r="J37" s="338"/>
      <c r="K37" s="350"/>
      <c r="L37" s="49"/>
      <c r="M37" s="42">
        <v>32503.5</v>
      </c>
      <c r="N37" s="43">
        <v>52308</v>
      </c>
      <c r="P37" s="69">
        <f t="shared" si="0"/>
        <v>111329</v>
      </c>
      <c r="Q37" s="45">
        <f t="shared" si="1"/>
        <v>0</v>
      </c>
      <c r="R37" s="46">
        <v>0</v>
      </c>
    </row>
    <row r="38" spans="1:19" ht="18" thickBot="1" x14ac:dyDescent="0.35">
      <c r="A38" s="31"/>
      <c r="B38" s="32">
        <v>45048</v>
      </c>
      <c r="C38" s="93">
        <v>17759</v>
      </c>
      <c r="D38" s="91" t="s">
        <v>483</v>
      </c>
      <c r="E38" s="35">
        <v>45048</v>
      </c>
      <c r="F38" s="36">
        <v>127517</v>
      </c>
      <c r="G38" s="92"/>
      <c r="H38" s="38">
        <v>45048</v>
      </c>
      <c r="I38" s="39">
        <v>2810</v>
      </c>
      <c r="J38" s="338"/>
      <c r="K38" s="343"/>
      <c r="L38" s="49"/>
      <c r="M38" s="42">
        <f>46547+4084</f>
        <v>50631</v>
      </c>
      <c r="N38" s="43">
        <v>56317</v>
      </c>
      <c r="P38" s="69">
        <f t="shared" si="0"/>
        <v>127517</v>
      </c>
      <c r="Q38" s="45">
        <f t="shared" si="1"/>
        <v>0</v>
      </c>
      <c r="R38" s="46" t="s">
        <v>11</v>
      </c>
    </row>
    <row r="39" spans="1:19" ht="18" thickBot="1" x14ac:dyDescent="0.35">
      <c r="A39" s="31"/>
      <c r="B39" s="32">
        <v>45049</v>
      </c>
      <c r="C39" s="93">
        <v>22725</v>
      </c>
      <c r="D39" s="94" t="s">
        <v>484</v>
      </c>
      <c r="E39" s="35">
        <v>45049</v>
      </c>
      <c r="F39" s="97">
        <v>140578</v>
      </c>
      <c r="G39" s="92"/>
      <c r="H39" s="38">
        <v>45049</v>
      </c>
      <c r="I39" s="98">
        <v>1877</v>
      </c>
      <c r="J39" s="338"/>
      <c r="K39" s="343"/>
      <c r="L39" s="49"/>
      <c r="M39" s="42">
        <v>59118</v>
      </c>
      <c r="N39" s="43">
        <v>56858</v>
      </c>
      <c r="P39" s="69">
        <f t="shared" si="0"/>
        <v>140578</v>
      </c>
      <c r="Q39" s="45">
        <f t="shared" si="1"/>
        <v>0</v>
      </c>
      <c r="R39" s="46">
        <v>0</v>
      </c>
    </row>
    <row r="40" spans="1:19" ht="18" thickBot="1" x14ac:dyDescent="0.35">
      <c r="A40" s="31"/>
      <c r="B40" s="32">
        <v>45050</v>
      </c>
      <c r="C40" s="93"/>
      <c r="D40" s="94"/>
      <c r="E40" s="35">
        <v>45050</v>
      </c>
      <c r="F40" s="97"/>
      <c r="G40" s="37"/>
      <c r="H40" s="38">
        <v>45050</v>
      </c>
      <c r="I40" s="98"/>
      <c r="J40" s="338"/>
      <c r="K40" s="343"/>
      <c r="L40" s="49"/>
      <c r="M40" s="42">
        <v>0</v>
      </c>
      <c r="N40" s="43">
        <v>0</v>
      </c>
      <c r="P40" s="69">
        <f t="shared" si="0"/>
        <v>0</v>
      </c>
      <c r="Q40" s="45">
        <f t="shared" si="1"/>
        <v>0</v>
      </c>
      <c r="R40" s="46">
        <v>0</v>
      </c>
    </row>
    <row r="41" spans="1:19" ht="18" thickBot="1" x14ac:dyDescent="0.35">
      <c r="A41" s="31"/>
      <c r="B41" s="32">
        <v>45051</v>
      </c>
      <c r="C41" s="93"/>
      <c r="D41" s="365"/>
      <c r="E41" s="35">
        <v>45051</v>
      </c>
      <c r="F41" s="97"/>
      <c r="G41" s="37"/>
      <c r="H41" s="38">
        <v>45051</v>
      </c>
      <c r="I41" s="103"/>
      <c r="J41" s="338"/>
      <c r="K41" s="347"/>
      <c r="L41" s="49"/>
      <c r="M41" s="42">
        <v>0</v>
      </c>
      <c r="N41" s="43">
        <v>0</v>
      </c>
      <c r="P41" s="69">
        <f t="shared" si="0"/>
        <v>0</v>
      </c>
      <c r="Q41" s="45">
        <f t="shared" si="1"/>
        <v>0</v>
      </c>
      <c r="R41" s="46">
        <v>0</v>
      </c>
    </row>
    <row r="42" spans="1:19" ht="18" thickBot="1" x14ac:dyDescent="0.35">
      <c r="A42" s="31"/>
      <c r="B42" s="32"/>
      <c r="C42" s="93"/>
      <c r="D42" s="102"/>
      <c r="E42" s="35"/>
      <c r="F42" s="97"/>
      <c r="G42" s="37"/>
      <c r="H42" s="38"/>
      <c r="I42" s="103"/>
      <c r="J42" s="340"/>
      <c r="K42" s="347"/>
      <c r="L42" s="49"/>
      <c r="M42" s="42">
        <v>0</v>
      </c>
      <c r="N42" s="43">
        <v>0</v>
      </c>
      <c r="P42" s="69">
        <f t="shared" si="0"/>
        <v>0</v>
      </c>
      <c r="Q42" s="45">
        <f t="shared" si="1"/>
        <v>0</v>
      </c>
      <c r="R42" s="46">
        <v>0</v>
      </c>
    </row>
    <row r="43" spans="1:19" ht="18" thickBot="1" x14ac:dyDescent="0.35">
      <c r="A43" s="31"/>
      <c r="B43" s="32"/>
      <c r="C43" s="93"/>
      <c r="D43" s="102"/>
      <c r="E43" s="35"/>
      <c r="F43" s="97"/>
      <c r="G43" s="37"/>
      <c r="H43" s="38"/>
      <c r="I43" s="103"/>
      <c r="J43" s="338"/>
      <c r="K43" s="343"/>
      <c r="L43" s="49"/>
      <c r="M43" s="42">
        <v>0</v>
      </c>
      <c r="N43" s="43">
        <v>0</v>
      </c>
      <c r="P43" s="69">
        <f t="shared" si="0"/>
        <v>0</v>
      </c>
      <c r="Q43" s="45">
        <f t="shared" si="1"/>
        <v>0</v>
      </c>
      <c r="R43" s="46">
        <v>0</v>
      </c>
    </row>
    <row r="44" spans="1:19" ht="18" thickBot="1" x14ac:dyDescent="0.35">
      <c r="A44" s="31"/>
      <c r="B44" s="32"/>
      <c r="C44" s="93"/>
      <c r="D44" s="102"/>
      <c r="E44" s="35"/>
      <c r="F44" s="97"/>
      <c r="G44" s="37"/>
      <c r="H44" s="38"/>
      <c r="I44" s="103"/>
      <c r="J44" s="338"/>
      <c r="K44" s="343"/>
      <c r="L44" s="49"/>
      <c r="M44" s="42">
        <v>0</v>
      </c>
      <c r="N44" s="43">
        <v>0</v>
      </c>
      <c r="P44" s="69">
        <v>0</v>
      </c>
      <c r="Q44" s="45">
        <f t="shared" si="1"/>
        <v>0</v>
      </c>
      <c r="R44" s="46">
        <v>0</v>
      </c>
    </row>
    <row r="45" spans="1:19" ht="18" thickBot="1" x14ac:dyDescent="0.35">
      <c r="A45" s="31"/>
      <c r="B45" s="32"/>
      <c r="C45" s="93"/>
      <c r="D45" s="102"/>
      <c r="E45" s="35"/>
      <c r="F45" s="97"/>
      <c r="G45" s="37"/>
      <c r="H45" s="38"/>
      <c r="I45" s="103"/>
      <c r="J45" s="338">
        <v>45017</v>
      </c>
      <c r="K45" s="343" t="s">
        <v>435</v>
      </c>
      <c r="L45" s="49">
        <v>25441.22</v>
      </c>
      <c r="M45" s="42">
        <v>0</v>
      </c>
      <c r="N45" s="43">
        <v>0</v>
      </c>
      <c r="P45" s="69">
        <v>0</v>
      </c>
      <c r="Q45" s="45">
        <f t="shared" si="1"/>
        <v>0</v>
      </c>
      <c r="R45" s="46">
        <v>0</v>
      </c>
    </row>
    <row r="46" spans="1:19" ht="18" thickBot="1" x14ac:dyDescent="0.35">
      <c r="A46" s="31"/>
      <c r="B46" s="32"/>
      <c r="C46" s="93"/>
      <c r="D46" s="102"/>
      <c r="E46" s="35"/>
      <c r="F46" s="97"/>
      <c r="G46" s="37"/>
      <c r="H46" s="38"/>
      <c r="I46" s="103"/>
      <c r="J46" s="338">
        <v>45024</v>
      </c>
      <c r="K46" s="343" t="s">
        <v>443</v>
      </c>
      <c r="L46" s="49">
        <v>26537.61</v>
      </c>
      <c r="M46" s="42">
        <v>0</v>
      </c>
      <c r="N46" s="43">
        <v>0</v>
      </c>
      <c r="P46" s="69">
        <v>0</v>
      </c>
      <c r="Q46" s="45">
        <f t="shared" si="1"/>
        <v>0</v>
      </c>
      <c r="R46" s="46">
        <v>0</v>
      </c>
    </row>
    <row r="47" spans="1:19" ht="18" thickBot="1" x14ac:dyDescent="0.35">
      <c r="A47" s="31"/>
      <c r="B47" s="32">
        <v>45035</v>
      </c>
      <c r="C47" s="93">
        <v>8093</v>
      </c>
      <c r="D47" s="102" t="s">
        <v>460</v>
      </c>
      <c r="E47" s="104"/>
      <c r="F47" s="105"/>
      <c r="G47" s="37"/>
      <c r="H47" s="106"/>
      <c r="I47" s="103"/>
      <c r="J47" s="338">
        <v>45031</v>
      </c>
      <c r="K47" s="343" t="s">
        <v>451</v>
      </c>
      <c r="L47" s="49">
        <v>22793.18</v>
      </c>
      <c r="M47" s="42">
        <v>0</v>
      </c>
      <c r="N47" s="100">
        <v>0</v>
      </c>
      <c r="P47" s="69">
        <v>0</v>
      </c>
      <c r="Q47" s="45">
        <f t="shared" si="1"/>
        <v>0</v>
      </c>
      <c r="R47" s="46">
        <v>0</v>
      </c>
    </row>
    <row r="48" spans="1:19" ht="18" thickBot="1" x14ac:dyDescent="0.35">
      <c r="A48" s="31"/>
      <c r="B48" s="32">
        <v>45035</v>
      </c>
      <c r="C48" s="93">
        <v>13752</v>
      </c>
      <c r="D48" s="102" t="s">
        <v>460</v>
      </c>
      <c r="E48" s="104"/>
      <c r="F48" s="105"/>
      <c r="G48" s="37"/>
      <c r="H48" s="106"/>
      <c r="I48" s="103"/>
      <c r="J48" s="338">
        <v>45038</v>
      </c>
      <c r="K48" s="343" t="s">
        <v>458</v>
      </c>
      <c r="L48" s="49">
        <v>27127</v>
      </c>
      <c r="M48" s="107"/>
      <c r="N48" s="44"/>
      <c r="P48" s="44">
        <v>0</v>
      </c>
      <c r="Q48" s="108">
        <v>0</v>
      </c>
      <c r="R48" s="46">
        <v>0</v>
      </c>
    </row>
    <row r="49" spans="1:18" ht="18" thickBot="1" x14ac:dyDescent="0.35">
      <c r="A49" s="31"/>
      <c r="B49" s="32">
        <v>45035</v>
      </c>
      <c r="C49" s="93">
        <v>1889</v>
      </c>
      <c r="D49" s="403" t="s">
        <v>461</v>
      </c>
      <c r="E49" s="104"/>
      <c r="F49" s="110"/>
      <c r="G49" s="37"/>
      <c r="H49" s="106"/>
      <c r="I49" s="103"/>
      <c r="J49" s="338">
        <v>45045</v>
      </c>
      <c r="K49" s="343" t="s">
        <v>471</v>
      </c>
      <c r="L49" s="49">
        <v>25617.51</v>
      </c>
      <c r="M49" s="464">
        <f>SUM(M5:M40)</f>
        <v>1824079.6</v>
      </c>
      <c r="N49" s="464">
        <f>SUM(N5:N40)</f>
        <v>1698257</v>
      </c>
      <c r="P49" s="111">
        <f>SUM(P5:P40)</f>
        <v>4369435.5999999996</v>
      </c>
      <c r="Q49" s="476">
        <f>SUM(Q5:Q40)</f>
        <v>-111.39999999999418</v>
      </c>
      <c r="R49" s="46">
        <v>0</v>
      </c>
    </row>
    <row r="50" spans="1:18" ht="18" thickBot="1" x14ac:dyDescent="0.35">
      <c r="A50" s="31"/>
      <c r="B50" s="32">
        <v>45035</v>
      </c>
      <c r="C50" s="93">
        <f>8428+70</f>
        <v>8498</v>
      </c>
      <c r="D50" s="403" t="s">
        <v>462</v>
      </c>
      <c r="E50" s="104"/>
      <c r="F50" s="110"/>
      <c r="G50" s="37"/>
      <c r="H50" s="106"/>
      <c r="I50" s="103"/>
      <c r="J50" s="87"/>
      <c r="K50" s="343"/>
      <c r="L50" s="89"/>
      <c r="M50" s="465"/>
      <c r="N50" s="465"/>
      <c r="P50" s="44"/>
      <c r="Q50" s="477"/>
      <c r="R50" s="112">
        <f>SUM(R5:R49)</f>
        <v>29443</v>
      </c>
    </row>
    <row r="51" spans="1:18" ht="18" thickBot="1" x14ac:dyDescent="0.35">
      <c r="A51" s="31"/>
      <c r="B51" s="32">
        <v>45035</v>
      </c>
      <c r="C51" s="93">
        <f>8424+830</f>
        <v>9254</v>
      </c>
      <c r="D51" s="114" t="s">
        <v>463</v>
      </c>
      <c r="E51" s="104"/>
      <c r="F51" s="110"/>
      <c r="G51" s="37"/>
      <c r="H51" s="106"/>
      <c r="I51" s="103"/>
      <c r="J51" s="338"/>
      <c r="K51" s="343"/>
      <c r="L51" s="49"/>
      <c r="M51" s="113"/>
      <c r="N51" s="113"/>
      <c r="P51" s="44"/>
      <c r="Q51" s="19"/>
    </row>
    <row r="52" spans="1:18" ht="18" thickBot="1" x14ac:dyDescent="0.35">
      <c r="A52" s="31"/>
      <c r="B52" s="32">
        <v>45035</v>
      </c>
      <c r="C52" s="93">
        <f>2679+1477</f>
        <v>4156</v>
      </c>
      <c r="D52" s="114" t="s">
        <v>464</v>
      </c>
      <c r="E52" s="104"/>
      <c r="F52" s="110"/>
      <c r="G52" s="37"/>
      <c r="H52" s="106"/>
      <c r="I52" s="103"/>
      <c r="J52" s="363"/>
      <c r="K52" s="349"/>
      <c r="L52" s="55"/>
      <c r="M52" s="113"/>
      <c r="N52" s="113"/>
      <c r="P52" s="44"/>
      <c r="Q52" s="19"/>
    </row>
    <row r="53" spans="1:18" ht="18" thickBot="1" x14ac:dyDescent="0.35">
      <c r="A53" s="31"/>
      <c r="B53" s="32"/>
      <c r="C53" s="93"/>
      <c r="D53" s="114"/>
      <c r="E53" s="104"/>
      <c r="F53" s="110"/>
      <c r="G53" s="37"/>
      <c r="H53" s="106"/>
      <c r="I53" s="103"/>
      <c r="J53" s="338"/>
      <c r="K53" s="343"/>
      <c r="L53" s="49"/>
      <c r="M53" s="478">
        <f>M49+N49</f>
        <v>3522336.6</v>
      </c>
      <c r="N53" s="479"/>
      <c r="P53" s="44"/>
      <c r="Q53" s="19"/>
    </row>
    <row r="54" spans="1:18" ht="18" thickBot="1" x14ac:dyDescent="0.35">
      <c r="A54" s="31"/>
      <c r="B54" s="32"/>
      <c r="C54" s="93"/>
      <c r="D54" s="114"/>
      <c r="E54" s="104"/>
      <c r="F54" s="110"/>
      <c r="G54" s="37"/>
      <c r="H54" s="106"/>
      <c r="I54" s="103"/>
      <c r="J54" s="338"/>
      <c r="K54" s="349"/>
      <c r="L54" s="49"/>
      <c r="M54" s="113"/>
      <c r="N54" s="113"/>
      <c r="P54" s="44"/>
      <c r="Q54" s="19"/>
    </row>
    <row r="55" spans="1:18" ht="18" thickBot="1" x14ac:dyDescent="0.35">
      <c r="A55" s="31"/>
      <c r="B55" s="32"/>
      <c r="C55" s="93"/>
      <c r="D55" s="114"/>
      <c r="E55" s="104"/>
      <c r="F55" s="110"/>
      <c r="G55" s="37"/>
      <c r="H55" s="106"/>
      <c r="I55" s="103"/>
      <c r="J55" s="338"/>
      <c r="K55" s="349"/>
      <c r="L55" s="49"/>
      <c r="M55" s="113"/>
      <c r="N55" s="113"/>
      <c r="P55" s="44"/>
      <c r="Q55" s="19"/>
    </row>
    <row r="56" spans="1:18" ht="18" thickBot="1" x14ac:dyDescent="0.35">
      <c r="A56" s="31"/>
      <c r="B56" s="32"/>
      <c r="C56" s="93"/>
      <c r="D56" s="114"/>
      <c r="E56" s="104"/>
      <c r="F56" s="110"/>
      <c r="G56" s="37"/>
      <c r="H56" s="106"/>
      <c r="I56" s="103"/>
      <c r="J56" s="341"/>
      <c r="K56" s="343"/>
      <c r="L56" s="84"/>
      <c r="M56" s="113"/>
      <c r="N56" s="113"/>
      <c r="P56" s="44"/>
      <c r="Q56" s="19"/>
    </row>
    <row r="57" spans="1:18" ht="18" thickBot="1" x14ac:dyDescent="0.35">
      <c r="A57" s="31"/>
      <c r="B57" s="32"/>
      <c r="C57" s="93"/>
      <c r="D57" s="114"/>
      <c r="E57" s="104"/>
      <c r="F57" s="110"/>
      <c r="G57" s="37"/>
      <c r="H57" s="106"/>
      <c r="I57" s="103"/>
      <c r="J57" s="341"/>
      <c r="K57" s="343"/>
      <c r="L57" s="84"/>
      <c r="M57" s="113"/>
      <c r="N57" s="113"/>
      <c r="P57" s="44"/>
      <c r="Q57" s="19"/>
    </row>
    <row r="58" spans="1:18" ht="18" thickBot="1" x14ac:dyDescent="0.35">
      <c r="A58" s="31"/>
      <c r="B58" s="32"/>
      <c r="C58" s="93"/>
      <c r="D58" s="114"/>
      <c r="E58" s="104"/>
      <c r="F58" s="110"/>
      <c r="G58" s="37"/>
      <c r="H58" s="106"/>
      <c r="I58" s="103"/>
      <c r="J58" s="341"/>
      <c r="K58" s="343"/>
      <c r="L58" s="84"/>
      <c r="M58" s="113"/>
      <c r="N58" s="113"/>
      <c r="P58" s="44"/>
      <c r="Q58" s="19"/>
    </row>
    <row r="59" spans="1:18" ht="18" thickBot="1" x14ac:dyDescent="0.35">
      <c r="A59" s="31"/>
      <c r="B59" s="32"/>
      <c r="C59" s="93"/>
      <c r="D59" s="114"/>
      <c r="E59" s="104"/>
      <c r="F59" s="110"/>
      <c r="G59" s="37"/>
      <c r="H59" s="106"/>
      <c r="I59" s="103"/>
      <c r="J59" s="341"/>
      <c r="K59" s="343"/>
      <c r="L59" s="84"/>
      <c r="M59" s="113"/>
      <c r="N59" s="113"/>
      <c r="P59" s="44"/>
      <c r="Q59" s="19"/>
    </row>
    <row r="60" spans="1:18" ht="18" thickBot="1" x14ac:dyDescent="0.35">
      <c r="A60" s="31"/>
      <c r="B60" s="32"/>
      <c r="C60" s="93"/>
      <c r="D60" s="114"/>
      <c r="E60" s="104"/>
      <c r="F60" s="110"/>
      <c r="G60" s="37"/>
      <c r="H60" s="106"/>
      <c r="I60" s="103"/>
      <c r="J60" s="341"/>
      <c r="K60" s="343"/>
      <c r="L60" s="84"/>
      <c r="M60" s="113"/>
      <c r="N60" s="113"/>
      <c r="P60" s="44"/>
      <c r="Q60" s="19"/>
    </row>
    <row r="61" spans="1:18" ht="18" thickBot="1" x14ac:dyDescent="0.35">
      <c r="A61" s="31"/>
      <c r="B61" s="32"/>
      <c r="C61" s="93"/>
      <c r="D61" s="114"/>
      <c r="E61" s="104"/>
      <c r="F61" s="110"/>
      <c r="G61" s="37"/>
      <c r="H61" s="106"/>
      <c r="I61" s="103"/>
      <c r="J61" s="341"/>
      <c r="K61" s="383"/>
      <c r="L61" s="84"/>
      <c r="M61" s="113"/>
      <c r="N61" s="113"/>
      <c r="P61" s="44"/>
      <c r="Q61" s="19"/>
    </row>
    <row r="62" spans="1:18" ht="18" thickBot="1" x14ac:dyDescent="0.35">
      <c r="A62" s="31"/>
      <c r="B62" s="32"/>
      <c r="C62" s="122"/>
      <c r="D62" s="114"/>
      <c r="E62" s="104"/>
      <c r="F62" s="110"/>
      <c r="G62" s="37"/>
      <c r="H62" s="106"/>
      <c r="I62" s="103"/>
      <c r="J62" s="341"/>
      <c r="K62" s="350"/>
      <c r="L62" s="84"/>
      <c r="M62" s="113"/>
      <c r="N62" s="113"/>
      <c r="P62" s="44"/>
      <c r="Q62" s="19"/>
    </row>
    <row r="63" spans="1:18" ht="18.75" thickTop="1" thickBot="1" x14ac:dyDescent="0.35">
      <c r="A63" s="31"/>
      <c r="B63" s="32"/>
      <c r="C63" s="124"/>
      <c r="D63" s="114"/>
      <c r="E63" s="104"/>
      <c r="F63" s="110"/>
      <c r="G63" s="37"/>
      <c r="H63" s="106"/>
      <c r="I63" s="103"/>
      <c r="J63" s="341"/>
      <c r="K63" s="343"/>
      <c r="L63" s="84"/>
      <c r="M63" s="113"/>
      <c r="N63" s="113"/>
      <c r="P63" s="44"/>
      <c r="Q63" s="19"/>
    </row>
    <row r="64" spans="1:18" ht="18" thickBot="1" x14ac:dyDescent="0.35">
      <c r="A64" s="31"/>
      <c r="B64" s="32"/>
      <c r="C64" s="33"/>
      <c r="D64" s="114"/>
      <c r="E64" s="104"/>
      <c r="F64" s="110"/>
      <c r="G64" s="37"/>
      <c r="H64" s="106"/>
      <c r="I64" s="103"/>
      <c r="J64" s="341"/>
      <c r="K64" s="350"/>
      <c r="L64" s="84"/>
      <c r="M64" s="113"/>
      <c r="N64" s="113"/>
      <c r="P64" s="44"/>
      <c r="Q64" s="19"/>
    </row>
    <row r="65" spans="1:17" ht="18" thickBot="1" x14ac:dyDescent="0.35">
      <c r="A65" s="31"/>
      <c r="B65" s="32"/>
      <c r="C65" s="33"/>
      <c r="D65" s="114"/>
      <c r="E65" s="104"/>
      <c r="F65" s="110"/>
      <c r="G65" s="37"/>
      <c r="H65" s="106"/>
      <c r="I65" s="103"/>
      <c r="J65" s="341"/>
      <c r="K65" s="343"/>
      <c r="L65" s="84"/>
      <c r="M65" s="113"/>
      <c r="N65" s="113"/>
      <c r="P65" s="44"/>
      <c r="Q65" s="19"/>
    </row>
    <row r="66" spans="1:17" ht="18" thickBot="1" x14ac:dyDescent="0.35">
      <c r="A66" s="31"/>
      <c r="B66" s="32"/>
      <c r="C66" s="33"/>
      <c r="D66" s="114"/>
      <c r="E66" s="104"/>
      <c r="F66" s="110"/>
      <c r="G66" s="37"/>
      <c r="H66" s="106"/>
      <c r="I66" s="103"/>
      <c r="J66" s="341"/>
      <c r="K66" s="343"/>
      <c r="L66" s="84"/>
      <c r="M66" s="113"/>
      <c r="N66" s="113"/>
      <c r="P66" s="44"/>
      <c r="Q66" s="19"/>
    </row>
    <row r="67" spans="1:17" ht="18" thickBot="1" x14ac:dyDescent="0.35">
      <c r="A67" s="31"/>
      <c r="B67" s="32"/>
      <c r="C67" s="33"/>
      <c r="D67" s="114"/>
      <c r="E67" s="104"/>
      <c r="F67" s="110"/>
      <c r="G67" s="37"/>
      <c r="H67" s="106"/>
      <c r="I67" s="103"/>
      <c r="J67" s="341"/>
      <c r="K67" s="351"/>
      <c r="L67" s="84"/>
      <c r="M67" s="113"/>
      <c r="N67" s="113"/>
      <c r="P67" s="44"/>
      <c r="Q67" s="19"/>
    </row>
    <row r="68" spans="1:17" ht="16.5" thickBot="1" x14ac:dyDescent="0.3">
      <c r="A68" s="31"/>
      <c r="B68" s="32"/>
      <c r="C68" s="33"/>
      <c r="D68" s="126"/>
      <c r="E68" s="104"/>
      <c r="F68" s="127"/>
      <c r="G68" s="37"/>
      <c r="H68" s="128"/>
      <c r="I68" s="103"/>
      <c r="J68" s="129"/>
      <c r="K68" s="73"/>
      <c r="L68" s="84"/>
      <c r="M68" s="44"/>
      <c r="N68" s="44"/>
      <c r="P68" s="44"/>
      <c r="Q68" s="19"/>
    </row>
    <row r="69" spans="1:17" ht="16.5" thickBot="1" x14ac:dyDescent="0.3">
      <c r="A69" s="31"/>
      <c r="B69" s="130"/>
      <c r="C69" s="131"/>
      <c r="D69" s="126"/>
      <c r="E69" s="132"/>
      <c r="F69" s="44"/>
      <c r="G69" s="37"/>
      <c r="H69" s="106"/>
      <c r="I69" s="44"/>
      <c r="J69" s="133"/>
      <c r="K69" s="125"/>
      <c r="L69" s="84"/>
      <c r="M69" s="44"/>
      <c r="N69" s="44"/>
      <c r="P69" s="44"/>
      <c r="Q69" s="19"/>
    </row>
    <row r="70" spans="1:17" ht="16.5" hidden="1" thickBot="1" x14ac:dyDescent="0.3">
      <c r="A70" s="31"/>
      <c r="B70" s="134"/>
      <c r="C70" s="131"/>
      <c r="D70" s="135"/>
      <c r="E70" s="136"/>
      <c r="F70" s="44"/>
      <c r="H70" s="137"/>
      <c r="I70" s="44"/>
      <c r="J70" s="133"/>
      <c r="K70" s="125"/>
      <c r="L70" s="84"/>
      <c r="M70" s="44"/>
      <c r="N70" s="44"/>
      <c r="P70" s="44"/>
      <c r="Q70" s="19"/>
    </row>
    <row r="71" spans="1:17" ht="16.5" hidden="1" thickBot="1" x14ac:dyDescent="0.3">
      <c r="A71" s="31"/>
      <c r="B71" s="134"/>
      <c r="C71" s="131"/>
      <c r="D71" s="135"/>
      <c r="E71" s="136"/>
      <c r="F71" s="44"/>
      <c r="H71" s="137"/>
      <c r="I71" s="44"/>
      <c r="J71" s="133"/>
      <c r="K71" s="125"/>
      <c r="L71" s="84"/>
      <c r="M71" s="44"/>
      <c r="N71" s="44"/>
      <c r="P71" s="44"/>
      <c r="Q71" s="19"/>
    </row>
    <row r="72" spans="1:17" ht="16.5" hidden="1" thickBot="1" x14ac:dyDescent="0.3">
      <c r="A72" s="31"/>
      <c r="B72" s="134"/>
      <c r="C72" s="131"/>
      <c r="D72" s="135"/>
      <c r="E72" s="136"/>
      <c r="F72" s="44"/>
      <c r="H72" s="137"/>
      <c r="I72" s="44"/>
      <c r="J72" s="133"/>
      <c r="K72" s="125"/>
      <c r="L72" s="84"/>
      <c r="M72" s="44"/>
      <c r="N72" s="44"/>
      <c r="P72" s="44"/>
      <c r="Q72" s="19"/>
    </row>
    <row r="73" spans="1:17" ht="16.5" hidden="1" thickBot="1" x14ac:dyDescent="0.3">
      <c r="A73" s="31"/>
      <c r="B73" s="134"/>
      <c r="C73" s="131"/>
      <c r="D73" s="135"/>
      <c r="E73" s="136"/>
      <c r="F73" s="44"/>
      <c r="H73" s="137"/>
      <c r="I73" s="44"/>
      <c r="J73" s="133"/>
      <c r="K73" s="125"/>
      <c r="L73" s="84"/>
      <c r="M73" s="44"/>
      <c r="N73" s="44"/>
      <c r="P73" s="44"/>
      <c r="Q73" s="19"/>
    </row>
    <row r="74" spans="1:17" ht="16.5" thickBot="1" x14ac:dyDescent="0.3">
      <c r="A74" s="31"/>
      <c r="B74" s="134"/>
      <c r="C74" s="131"/>
      <c r="D74" s="135"/>
      <c r="E74" s="136"/>
      <c r="F74" s="44"/>
      <c r="H74" s="137"/>
      <c r="I74" s="44"/>
      <c r="J74" s="138"/>
      <c r="K74" s="139"/>
      <c r="L74" s="13"/>
      <c r="M74" s="44"/>
      <c r="N74" s="44"/>
      <c r="P74" s="44"/>
      <c r="Q74" s="19"/>
    </row>
    <row r="75" spans="1:17" ht="16.5" thickBot="1" x14ac:dyDescent="0.3">
      <c r="B75" s="140" t="s">
        <v>12</v>
      </c>
      <c r="C75" s="141">
        <f>SUM(C5:C68)</f>
        <v>652882</v>
      </c>
      <c r="D75" s="142"/>
      <c r="E75" s="143" t="s">
        <v>12</v>
      </c>
      <c r="F75" s="144">
        <f>SUM(F5:F68)</f>
        <v>4349104</v>
      </c>
      <c r="G75" s="145"/>
      <c r="H75" s="143" t="s">
        <v>13</v>
      </c>
      <c r="I75" s="146">
        <f>SUM(I5:I68)</f>
        <v>88471</v>
      </c>
      <c r="J75" s="147"/>
      <c r="K75" s="148" t="s">
        <v>14</v>
      </c>
      <c r="L75" s="149">
        <f>SUM(L5:L73)-L26</f>
        <v>278904.52</v>
      </c>
      <c r="M75" s="150"/>
      <c r="N75" s="150"/>
      <c r="P75" s="44"/>
      <c r="Q75" s="19"/>
    </row>
    <row r="76" spans="1:17" ht="16.5" thickTop="1" x14ac:dyDescent="0.25">
      <c r="C76" s="5" t="s">
        <v>10</v>
      </c>
      <c r="P76" s="44"/>
      <c r="Q76" s="19"/>
    </row>
    <row r="77" spans="1:17" ht="18.75" x14ac:dyDescent="0.25">
      <c r="A77" s="152"/>
      <c r="B77" s="153"/>
      <c r="C77" s="1"/>
      <c r="H77" s="472" t="s">
        <v>15</v>
      </c>
      <c r="I77" s="473"/>
      <c r="J77" s="154"/>
      <c r="K77" s="474">
        <f>I75+L75</f>
        <v>367375.52</v>
      </c>
      <c r="L77" s="475"/>
      <c r="M77" s="155"/>
      <c r="N77" s="155"/>
      <c r="P77" s="44"/>
      <c r="Q77" s="19"/>
    </row>
    <row r="78" spans="1:17" x14ac:dyDescent="0.25">
      <c r="D78" s="466" t="s">
        <v>16</v>
      </c>
      <c r="E78" s="466"/>
      <c r="F78" s="156">
        <f>F75-K77-C75</f>
        <v>3328846.48</v>
      </c>
      <c r="I78" s="157"/>
      <c r="J78" s="158"/>
    </row>
    <row r="79" spans="1:17" ht="18.75" x14ac:dyDescent="0.3">
      <c r="D79" s="467" t="s">
        <v>17</v>
      </c>
      <c r="E79" s="467"/>
      <c r="F79" s="101">
        <v>-2011533.7</v>
      </c>
      <c r="I79" s="468" t="s">
        <v>18</v>
      </c>
      <c r="J79" s="469"/>
      <c r="K79" s="470">
        <f>F81+F82+F83</f>
        <v>4382596.57</v>
      </c>
      <c r="L79" s="470"/>
      <c r="M79" s="159"/>
      <c r="N79" s="159"/>
      <c r="O79" s="160"/>
      <c r="P79" s="159"/>
      <c r="Q79" s="159"/>
    </row>
    <row r="80" spans="1:17" ht="19.5" thickBot="1" x14ac:dyDescent="0.35">
      <c r="D80" s="161" t="s">
        <v>19</v>
      </c>
      <c r="E80" s="162"/>
      <c r="F80" s="163">
        <v>0</v>
      </c>
      <c r="I80" s="164"/>
      <c r="J80" s="165"/>
      <c r="K80" s="166"/>
      <c r="L80" s="167"/>
      <c r="M80" s="159"/>
      <c r="N80" s="159"/>
      <c r="O80" s="160"/>
      <c r="P80" s="159"/>
      <c r="Q80" s="159"/>
    </row>
    <row r="81" spans="2:14" ht="19.5" thickTop="1" x14ac:dyDescent="0.3">
      <c r="C81" s="7" t="s">
        <v>10</v>
      </c>
      <c r="E81" s="152" t="s">
        <v>20</v>
      </c>
      <c r="F81" s="150">
        <f>SUM(F78:F80)</f>
        <v>1317312.78</v>
      </c>
      <c r="H81" s="168"/>
      <c r="I81" s="169" t="s">
        <v>21</v>
      </c>
      <c r="J81" s="170"/>
      <c r="K81" s="471">
        <f>-C4</f>
        <v>-3567993.62</v>
      </c>
      <c r="L81" s="470"/>
    </row>
    <row r="82" spans="2:14" ht="16.5" thickBot="1" x14ac:dyDescent="0.3">
      <c r="D82" s="171" t="s">
        <v>22</v>
      </c>
      <c r="E82" s="152" t="s">
        <v>23</v>
      </c>
      <c r="F82" s="101">
        <v>0</v>
      </c>
    </row>
    <row r="83" spans="2:14" ht="20.25" thickTop="1" thickBot="1" x14ac:dyDescent="0.35">
      <c r="C83" s="172">
        <v>45051</v>
      </c>
      <c r="D83" s="459" t="s">
        <v>24</v>
      </c>
      <c r="E83" s="460"/>
      <c r="F83" s="173">
        <v>3065283.79</v>
      </c>
      <c r="I83" s="504" t="s">
        <v>25</v>
      </c>
      <c r="J83" s="505"/>
      <c r="K83" s="506">
        <f>K79+K81</f>
        <v>814602.95000000019</v>
      </c>
      <c r="L83" s="506"/>
    </row>
    <row r="84" spans="2:14" ht="17.25" x14ac:dyDescent="0.3">
      <c r="C84" s="174"/>
      <c r="D84" s="175"/>
      <c r="E84" s="152"/>
      <c r="F84" s="176"/>
      <c r="J84" s="177"/>
    </row>
    <row r="85" spans="2:14" ht="20.25" customHeight="1" x14ac:dyDescent="0.25">
      <c r="I85" s="178"/>
      <c r="J85" s="178"/>
      <c r="K85" s="179"/>
      <c r="L85" s="180"/>
    </row>
    <row r="86" spans="2:14" ht="16.5" customHeight="1" x14ac:dyDescent="0.25">
      <c r="B86" s="181"/>
      <c r="C86" s="182"/>
      <c r="D86" s="183"/>
      <c r="E86" s="44"/>
      <c r="I86" s="178"/>
      <c r="J86" s="178"/>
      <c r="K86" s="179"/>
      <c r="L86" s="180"/>
      <c r="M86" s="184"/>
      <c r="N86" s="152"/>
    </row>
    <row r="87" spans="2:14" x14ac:dyDescent="0.25">
      <c r="B87" s="181"/>
      <c r="C87" s="185"/>
      <c r="E87" s="44"/>
      <c r="M87" s="184"/>
      <c r="N87" s="152"/>
    </row>
    <row r="88" spans="2:14" x14ac:dyDescent="0.25">
      <c r="B88" s="181"/>
      <c r="C88" s="185"/>
      <c r="E88" s="44"/>
      <c r="F88" s="186"/>
      <c r="L88" s="187"/>
      <c r="M88" s="1"/>
    </row>
    <row r="89" spans="2:14" x14ac:dyDescent="0.25">
      <c r="B89" s="181"/>
      <c r="C89" s="185"/>
      <c r="E89" s="44"/>
      <c r="M89" s="1"/>
    </row>
    <row r="90" spans="2:14" x14ac:dyDescent="0.25">
      <c r="B90" s="181"/>
      <c r="C90" s="185"/>
      <c r="D90" s="188"/>
      <c r="E90" s="44"/>
      <c r="F90" s="189"/>
      <c r="M90" s="1"/>
    </row>
    <row r="91" spans="2:14" x14ac:dyDescent="0.25">
      <c r="D91" s="188"/>
      <c r="E91" s="190"/>
      <c r="F91" s="44"/>
      <c r="M91" s="1"/>
    </row>
    <row r="92" spans="2:14" x14ac:dyDescent="0.25">
      <c r="D92" s="188"/>
      <c r="E92" s="190"/>
      <c r="F92" s="44"/>
      <c r="M92" s="1"/>
    </row>
    <row r="93" spans="2:14" x14ac:dyDescent="0.25">
      <c r="D93" s="188"/>
      <c r="E93" s="190"/>
      <c r="F93" s="44"/>
      <c r="M93" s="1"/>
    </row>
    <row r="94" spans="2:14" x14ac:dyDescent="0.25">
      <c r="D94" s="188"/>
      <c r="E94" s="190"/>
      <c r="F94" s="44"/>
      <c r="M94" s="1"/>
    </row>
    <row r="95" spans="2:14" x14ac:dyDescent="0.25">
      <c r="D95" s="188"/>
      <c r="E95" s="190"/>
      <c r="F95" s="44"/>
      <c r="M95" s="1"/>
    </row>
    <row r="96" spans="2:14" x14ac:dyDescent="0.25">
      <c r="D96" s="188"/>
      <c r="E96" s="190"/>
      <c r="F96" s="44"/>
      <c r="M96" s="1"/>
    </row>
    <row r="97" spans="4:13" x14ac:dyDescent="0.25">
      <c r="D97" s="188"/>
      <c r="E97" s="190"/>
      <c r="F97" s="44"/>
      <c r="M97" s="1"/>
    </row>
    <row r="98" spans="4:13" x14ac:dyDescent="0.25">
      <c r="D98" s="188"/>
      <c r="E98" s="190"/>
      <c r="F98" s="44"/>
      <c r="M98" s="1"/>
    </row>
    <row r="99" spans="4:13" x14ac:dyDescent="0.25">
      <c r="D99" s="188"/>
      <c r="E99" s="190"/>
      <c r="F99" s="44"/>
      <c r="M99" s="1"/>
    </row>
    <row r="100" spans="4:13" x14ac:dyDescent="0.25">
      <c r="D100" s="188"/>
      <c r="E100" s="190"/>
      <c r="F100" s="44"/>
      <c r="M100" s="1"/>
    </row>
    <row r="101" spans="4:13" x14ac:dyDescent="0.25">
      <c r="D101" s="188"/>
      <c r="E101" s="190"/>
      <c r="F101" s="44"/>
      <c r="M101" s="1"/>
    </row>
    <row r="102" spans="4:13" x14ac:dyDescent="0.25">
      <c r="D102" s="188"/>
      <c r="E102" s="190"/>
      <c r="F102" s="44"/>
    </row>
    <row r="103" spans="4:13" x14ac:dyDescent="0.25">
      <c r="D103" s="188"/>
      <c r="E103" s="191"/>
      <c r="F103" s="189"/>
    </row>
    <row r="104" spans="4:13" x14ac:dyDescent="0.25">
      <c r="D104" s="188"/>
      <c r="E104" s="191"/>
      <c r="F104" s="189"/>
    </row>
    <row r="105" spans="4:13" x14ac:dyDescent="0.25">
      <c r="D105" s="188"/>
      <c r="E105" s="191"/>
      <c r="F105" s="189"/>
    </row>
  </sheetData>
  <mergeCells count="22">
    <mergeCell ref="R3:R4"/>
    <mergeCell ref="E4:F4"/>
    <mergeCell ref="H4:I4"/>
    <mergeCell ref="D83:E83"/>
    <mergeCell ref="I83:J83"/>
    <mergeCell ref="K83:L83"/>
    <mergeCell ref="M49:M50"/>
    <mergeCell ref="N49:N50"/>
    <mergeCell ref="D78:E78"/>
    <mergeCell ref="D79:E79"/>
    <mergeCell ref="I79:J79"/>
    <mergeCell ref="K79:L79"/>
    <mergeCell ref="K81:L81"/>
    <mergeCell ref="H77:I77"/>
    <mergeCell ref="K77:L77"/>
    <mergeCell ref="Q49:Q50"/>
    <mergeCell ref="M53:N53"/>
    <mergeCell ref="P3:P4"/>
    <mergeCell ref="B1:B2"/>
    <mergeCell ref="C1:M1"/>
    <mergeCell ref="B3:C3"/>
    <mergeCell ref="H3:I3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N123"/>
  <sheetViews>
    <sheetView workbookViewId="0">
      <pane xSplit="1" ySplit="2" topLeftCell="E30" activePane="bottomRight" state="frozen"/>
      <selection pane="topRight" activeCell="B1" sqref="B1"/>
      <selection pane="bottomLeft" activeCell="A3" sqref="A3"/>
      <selection pane="bottomRight" activeCell="F76" sqref="F76"/>
    </sheetView>
  </sheetViews>
  <sheetFormatPr baseColWidth="10" defaultRowHeight="15" x14ac:dyDescent="0.25"/>
  <cols>
    <col min="1" max="1" width="3.85546875" customWidth="1"/>
    <col min="2" max="2" width="13.42578125" style="258" bestFit="1" customWidth="1"/>
    <col min="3" max="3" width="14.7109375" style="280" customWidth="1"/>
    <col min="4" max="4" width="17.5703125" style="7" bestFit="1" customWidth="1"/>
    <col min="5" max="5" width="12.42578125" style="274" bestFit="1" customWidth="1"/>
    <col min="6" max="6" width="15.5703125" style="7" bestFit="1" customWidth="1"/>
    <col min="7" max="7" width="19.5703125" style="5" bestFit="1" customWidth="1"/>
    <col min="8" max="8" width="8.42578125" customWidth="1"/>
    <col min="9" max="9" width="14.5703125" style="152" customWidth="1"/>
    <col min="10" max="10" width="13.28515625" style="271" customWidth="1"/>
    <col min="11" max="11" width="18.85546875" style="7" bestFit="1" customWidth="1"/>
    <col min="12" max="12" width="12.7109375" style="274" bestFit="1" customWidth="1"/>
    <col min="13" max="13" width="15.140625" style="7" bestFit="1" customWidth="1"/>
    <col min="14" max="14" width="19.5703125" style="5" bestFit="1" customWidth="1"/>
  </cols>
  <sheetData>
    <row r="1" spans="2:14" ht="43.5" thickTop="1" thickBot="1" x14ac:dyDescent="0.3">
      <c r="B1" s="194" t="s">
        <v>37</v>
      </c>
      <c r="C1" s="195"/>
      <c r="D1" s="196"/>
      <c r="E1" s="197"/>
      <c r="F1" s="196"/>
      <c r="G1" s="198" t="s">
        <v>27</v>
      </c>
      <c r="I1" s="199" t="s">
        <v>38</v>
      </c>
      <c r="J1" s="200"/>
      <c r="K1" s="201"/>
      <c r="L1" s="202"/>
      <c r="M1" s="201"/>
      <c r="N1" s="203" t="s">
        <v>27</v>
      </c>
    </row>
    <row r="2" spans="2:14" ht="21.75" customHeight="1" thickTop="1" thickBot="1" x14ac:dyDescent="0.35">
      <c r="B2" s="204" t="s">
        <v>28</v>
      </c>
      <c r="C2" s="205" t="s">
        <v>29</v>
      </c>
      <c r="D2" s="206" t="s">
        <v>30</v>
      </c>
      <c r="E2" s="207" t="s">
        <v>31</v>
      </c>
      <c r="F2" s="208" t="s">
        <v>32</v>
      </c>
      <c r="G2" s="209" t="s">
        <v>33</v>
      </c>
      <c r="I2" s="210" t="s">
        <v>28</v>
      </c>
      <c r="J2" s="211" t="s">
        <v>34</v>
      </c>
      <c r="K2" s="212" t="s">
        <v>30</v>
      </c>
      <c r="L2" s="213" t="s">
        <v>31</v>
      </c>
      <c r="M2" s="212" t="s">
        <v>32</v>
      </c>
      <c r="N2" s="214" t="s">
        <v>33</v>
      </c>
    </row>
    <row r="3" spans="2:14" ht="24" customHeight="1" thickTop="1" x14ac:dyDescent="0.25">
      <c r="B3" s="215">
        <v>45015</v>
      </c>
      <c r="C3" s="216" t="s">
        <v>387</v>
      </c>
      <c r="D3" s="217">
        <v>34903.599999999999</v>
      </c>
      <c r="E3" s="218"/>
      <c r="F3" s="217"/>
      <c r="G3" s="219">
        <f>D3-F3</f>
        <v>34903.599999999999</v>
      </c>
      <c r="I3" s="433">
        <v>45015</v>
      </c>
      <c r="J3" s="288">
        <v>11963</v>
      </c>
      <c r="K3" s="289">
        <v>360</v>
      </c>
      <c r="L3" s="430">
        <v>45050</v>
      </c>
      <c r="M3" s="439">
        <v>360</v>
      </c>
      <c r="N3" s="221">
        <f>K3-M3</f>
        <v>0</v>
      </c>
    </row>
    <row r="4" spans="2:14" ht="18.75" x14ac:dyDescent="0.3">
      <c r="B4" s="222">
        <v>45016</v>
      </c>
      <c r="C4" s="223" t="s">
        <v>388</v>
      </c>
      <c r="D4" s="101">
        <v>16449.68</v>
      </c>
      <c r="E4" s="224"/>
      <c r="F4" s="101"/>
      <c r="G4" s="225">
        <f t="shared" ref="G4:G65" si="0">D4-F4</f>
        <v>16449.68</v>
      </c>
      <c r="H4" s="226"/>
      <c r="I4" s="433">
        <v>45016</v>
      </c>
      <c r="J4" s="288">
        <v>11979</v>
      </c>
      <c r="K4" s="289">
        <v>14758</v>
      </c>
      <c r="L4" s="430">
        <v>45050</v>
      </c>
      <c r="M4" s="439">
        <v>14758</v>
      </c>
      <c r="N4" s="227">
        <f>N3+K4-M4</f>
        <v>0</v>
      </c>
    </row>
    <row r="5" spans="2:14" ht="15.75" x14ac:dyDescent="0.25">
      <c r="B5" s="222">
        <v>45017</v>
      </c>
      <c r="C5" s="223" t="s">
        <v>389</v>
      </c>
      <c r="D5" s="101">
        <v>14657.2</v>
      </c>
      <c r="E5" s="224"/>
      <c r="F5" s="101"/>
      <c r="G5" s="225">
        <f t="shared" si="0"/>
        <v>14657.2</v>
      </c>
      <c r="I5" s="433">
        <v>45019</v>
      </c>
      <c r="J5" s="288">
        <v>11994</v>
      </c>
      <c r="K5" s="289">
        <v>360</v>
      </c>
      <c r="L5" s="430">
        <v>45050</v>
      </c>
      <c r="M5" s="439">
        <v>360</v>
      </c>
      <c r="N5" s="227">
        <f t="shared" ref="N5:N65" si="1">N4+K5-M5</f>
        <v>0</v>
      </c>
    </row>
    <row r="6" spans="2:14" ht="15.75" x14ac:dyDescent="0.25">
      <c r="B6" s="222">
        <v>45017</v>
      </c>
      <c r="C6" s="223" t="s">
        <v>390</v>
      </c>
      <c r="D6" s="101">
        <v>45544.1</v>
      </c>
      <c r="E6" s="224"/>
      <c r="F6" s="101"/>
      <c r="G6" s="225">
        <f t="shared" si="0"/>
        <v>45544.1</v>
      </c>
      <c r="I6" s="433">
        <v>45020</v>
      </c>
      <c r="J6" s="288">
        <v>11998</v>
      </c>
      <c r="K6" s="289">
        <v>360</v>
      </c>
      <c r="L6" s="430">
        <v>45050</v>
      </c>
      <c r="M6" s="439">
        <v>360</v>
      </c>
      <c r="N6" s="227">
        <f t="shared" si="1"/>
        <v>0</v>
      </c>
    </row>
    <row r="7" spans="2:14" ht="15.75" x14ac:dyDescent="0.25">
      <c r="B7" s="222">
        <v>45019</v>
      </c>
      <c r="C7" s="223" t="s">
        <v>391</v>
      </c>
      <c r="D7" s="101">
        <v>94764.46</v>
      </c>
      <c r="E7" s="224"/>
      <c r="F7" s="101"/>
      <c r="G7" s="225">
        <f t="shared" si="0"/>
        <v>94764.46</v>
      </c>
      <c r="I7" s="433">
        <v>45021</v>
      </c>
      <c r="J7" s="288">
        <v>12020</v>
      </c>
      <c r="K7" s="289">
        <v>4228</v>
      </c>
      <c r="L7" s="430">
        <v>45050</v>
      </c>
      <c r="M7" s="439">
        <v>4228</v>
      </c>
      <c r="N7" s="227">
        <f t="shared" si="1"/>
        <v>0</v>
      </c>
    </row>
    <row r="8" spans="2:14" ht="15.75" x14ac:dyDescent="0.25">
      <c r="B8" s="222">
        <v>45020</v>
      </c>
      <c r="C8" s="223" t="s">
        <v>392</v>
      </c>
      <c r="D8" s="101">
        <v>23097.02</v>
      </c>
      <c r="E8" s="224"/>
      <c r="F8" s="101"/>
      <c r="G8" s="225">
        <f t="shared" si="0"/>
        <v>23097.02</v>
      </c>
      <c r="I8" s="433">
        <v>45022</v>
      </c>
      <c r="J8" s="288">
        <v>12032</v>
      </c>
      <c r="K8" s="289">
        <v>17267</v>
      </c>
      <c r="L8" s="430">
        <v>45050</v>
      </c>
      <c r="M8" s="439">
        <v>17267</v>
      </c>
      <c r="N8" s="227">
        <f t="shared" si="1"/>
        <v>0</v>
      </c>
    </row>
    <row r="9" spans="2:14" ht="15.75" x14ac:dyDescent="0.25">
      <c r="B9" s="222">
        <v>45020</v>
      </c>
      <c r="C9" s="223" t="s">
        <v>393</v>
      </c>
      <c r="D9" s="101">
        <v>3175.2</v>
      </c>
      <c r="E9" s="224"/>
      <c r="F9" s="101"/>
      <c r="G9" s="225">
        <f t="shared" si="0"/>
        <v>3175.2</v>
      </c>
      <c r="I9" s="434">
        <v>45022</v>
      </c>
      <c r="J9" s="286">
        <v>12033</v>
      </c>
      <c r="K9" s="230">
        <v>600</v>
      </c>
      <c r="L9" s="430">
        <v>45050</v>
      </c>
      <c r="M9" s="440">
        <v>600</v>
      </c>
      <c r="N9" s="227">
        <f t="shared" si="1"/>
        <v>0</v>
      </c>
    </row>
    <row r="10" spans="2:14" ht="18.75" x14ac:dyDescent="0.3">
      <c r="B10" s="222">
        <v>45020</v>
      </c>
      <c r="C10" s="223" t="s">
        <v>394</v>
      </c>
      <c r="D10" s="101">
        <v>73049.7</v>
      </c>
      <c r="E10" s="224"/>
      <c r="F10" s="101"/>
      <c r="G10" s="225">
        <f t="shared" si="0"/>
        <v>73049.7</v>
      </c>
      <c r="H10" s="226"/>
      <c r="I10" s="433">
        <v>45024</v>
      </c>
      <c r="J10" s="288">
        <v>12044</v>
      </c>
      <c r="K10" s="289">
        <v>4526</v>
      </c>
      <c r="L10" s="430">
        <v>45050</v>
      </c>
      <c r="M10" s="439">
        <v>4526</v>
      </c>
      <c r="N10" s="227">
        <f t="shared" si="1"/>
        <v>0</v>
      </c>
    </row>
    <row r="11" spans="2:14" ht="15.75" x14ac:dyDescent="0.25">
      <c r="B11" s="222">
        <v>45021</v>
      </c>
      <c r="C11" s="223" t="s">
        <v>395</v>
      </c>
      <c r="D11" s="101">
        <v>5922.8</v>
      </c>
      <c r="E11" s="224"/>
      <c r="F11" s="101"/>
      <c r="G11" s="225">
        <f t="shared" si="0"/>
        <v>5922.8</v>
      </c>
      <c r="I11" s="434">
        <v>45026</v>
      </c>
      <c r="J11" s="286">
        <v>12051</v>
      </c>
      <c r="K11" s="230">
        <v>10863</v>
      </c>
      <c r="L11" s="430">
        <v>45050</v>
      </c>
      <c r="M11" s="440">
        <v>10863</v>
      </c>
      <c r="N11" s="227">
        <f t="shared" si="1"/>
        <v>0</v>
      </c>
    </row>
    <row r="12" spans="2:14" ht="15.75" x14ac:dyDescent="0.25">
      <c r="B12" s="222">
        <v>45022</v>
      </c>
      <c r="C12" s="223" t="s">
        <v>396</v>
      </c>
      <c r="D12" s="101">
        <v>136684.1</v>
      </c>
      <c r="E12" s="224"/>
      <c r="F12" s="101"/>
      <c r="G12" s="225">
        <f t="shared" si="0"/>
        <v>136684.1</v>
      </c>
      <c r="I12" s="434">
        <v>45028</v>
      </c>
      <c r="J12" s="286">
        <v>12065</v>
      </c>
      <c r="K12" s="230">
        <v>360</v>
      </c>
      <c r="L12" s="430">
        <v>45050</v>
      </c>
      <c r="M12" s="440">
        <v>360</v>
      </c>
      <c r="N12" s="227">
        <f t="shared" si="1"/>
        <v>0</v>
      </c>
    </row>
    <row r="13" spans="2:14" ht="15.75" x14ac:dyDescent="0.25">
      <c r="B13" s="222">
        <v>45024</v>
      </c>
      <c r="C13" s="223" t="s">
        <v>397</v>
      </c>
      <c r="D13" s="101">
        <v>11599.2</v>
      </c>
      <c r="E13" s="224"/>
      <c r="F13" s="101"/>
      <c r="G13" s="225">
        <f t="shared" si="0"/>
        <v>11599.2</v>
      </c>
      <c r="I13" s="433">
        <v>45028</v>
      </c>
      <c r="J13" s="288">
        <v>12070</v>
      </c>
      <c r="K13" s="289">
        <v>600</v>
      </c>
      <c r="L13" s="430">
        <v>45050</v>
      </c>
      <c r="M13" s="439">
        <v>600</v>
      </c>
      <c r="N13" s="227">
        <f t="shared" si="1"/>
        <v>0</v>
      </c>
    </row>
    <row r="14" spans="2:14" ht="15.75" x14ac:dyDescent="0.25">
      <c r="B14" s="222">
        <v>45026</v>
      </c>
      <c r="C14" s="223" t="s">
        <v>398</v>
      </c>
      <c r="D14" s="101">
        <v>49921.29</v>
      </c>
      <c r="E14" s="224"/>
      <c r="F14" s="101"/>
      <c r="G14" s="225">
        <f t="shared" si="0"/>
        <v>49921.29</v>
      </c>
      <c r="I14" s="433">
        <v>45029</v>
      </c>
      <c r="J14" s="288">
        <v>12081</v>
      </c>
      <c r="K14" s="289">
        <v>360</v>
      </c>
      <c r="L14" s="430">
        <v>45050</v>
      </c>
      <c r="M14" s="439">
        <v>360</v>
      </c>
      <c r="N14" s="227">
        <f t="shared" si="1"/>
        <v>0</v>
      </c>
    </row>
    <row r="15" spans="2:14" ht="15.75" x14ac:dyDescent="0.25">
      <c r="B15" s="222">
        <v>45027</v>
      </c>
      <c r="C15" s="223" t="s">
        <v>399</v>
      </c>
      <c r="D15" s="101">
        <v>6296.8</v>
      </c>
      <c r="E15" s="224"/>
      <c r="F15" s="101"/>
      <c r="G15" s="225">
        <f t="shared" si="0"/>
        <v>6296.8</v>
      </c>
      <c r="I15" s="434">
        <v>45030</v>
      </c>
      <c r="J15" s="286">
        <v>12087</v>
      </c>
      <c r="K15" s="230">
        <v>21746</v>
      </c>
      <c r="L15" s="430">
        <v>45050</v>
      </c>
      <c r="M15" s="440">
        <v>21746</v>
      </c>
      <c r="N15" s="227">
        <f t="shared" si="1"/>
        <v>0</v>
      </c>
    </row>
    <row r="16" spans="2:14" ht="15.75" x14ac:dyDescent="0.25">
      <c r="B16" s="222">
        <v>45028</v>
      </c>
      <c r="C16" s="223" t="s">
        <v>400</v>
      </c>
      <c r="D16" s="101">
        <v>85465.84</v>
      </c>
      <c r="E16" s="224"/>
      <c r="F16" s="101"/>
      <c r="G16" s="225">
        <f t="shared" si="0"/>
        <v>85465.84</v>
      </c>
      <c r="I16" s="433">
        <v>45031</v>
      </c>
      <c r="J16" s="288">
        <v>12091</v>
      </c>
      <c r="K16" s="289">
        <v>720</v>
      </c>
      <c r="L16" s="430">
        <v>45050</v>
      </c>
      <c r="M16" s="439">
        <v>720</v>
      </c>
      <c r="N16" s="227">
        <f t="shared" si="1"/>
        <v>0</v>
      </c>
    </row>
    <row r="17" spans="1:14" ht="15.75" x14ac:dyDescent="0.25">
      <c r="B17" s="222">
        <v>45029</v>
      </c>
      <c r="C17" s="223" t="s">
        <v>401</v>
      </c>
      <c r="D17" s="101">
        <v>96719.78</v>
      </c>
      <c r="E17" s="224"/>
      <c r="F17" s="101"/>
      <c r="G17" s="225">
        <f t="shared" si="0"/>
        <v>96719.78</v>
      </c>
      <c r="I17" s="434">
        <v>45031</v>
      </c>
      <c r="J17" s="286">
        <v>12095</v>
      </c>
      <c r="K17" s="230">
        <v>600</v>
      </c>
      <c r="L17" s="430">
        <v>45050</v>
      </c>
      <c r="M17" s="440">
        <v>600</v>
      </c>
      <c r="N17" s="227">
        <f t="shared" si="1"/>
        <v>0</v>
      </c>
    </row>
    <row r="18" spans="1:14" ht="15.75" x14ac:dyDescent="0.25">
      <c r="B18" s="222">
        <v>45030</v>
      </c>
      <c r="C18" s="223" t="s">
        <v>402</v>
      </c>
      <c r="D18" s="101">
        <v>48437.8</v>
      </c>
      <c r="E18" s="224"/>
      <c r="F18" s="101"/>
      <c r="G18" s="225">
        <f t="shared" si="0"/>
        <v>48437.8</v>
      </c>
      <c r="I18" s="434">
        <v>45033</v>
      </c>
      <c r="J18" s="286">
        <v>12103</v>
      </c>
      <c r="K18" s="230">
        <v>360</v>
      </c>
      <c r="L18" s="430">
        <v>45050</v>
      </c>
      <c r="M18" s="440">
        <v>360</v>
      </c>
      <c r="N18" s="227">
        <f t="shared" si="1"/>
        <v>0</v>
      </c>
    </row>
    <row r="19" spans="1:14" ht="15.75" x14ac:dyDescent="0.25">
      <c r="B19" s="222">
        <v>45031</v>
      </c>
      <c r="C19" s="223" t="s">
        <v>403</v>
      </c>
      <c r="D19" s="101">
        <v>80408.22</v>
      </c>
      <c r="E19" s="224"/>
      <c r="F19" s="101"/>
      <c r="G19" s="225">
        <f t="shared" si="0"/>
        <v>80408.22</v>
      </c>
      <c r="I19" s="433">
        <v>45034</v>
      </c>
      <c r="J19" s="288">
        <v>12108</v>
      </c>
      <c r="K19" s="289">
        <v>600</v>
      </c>
      <c r="L19" s="430">
        <v>45050</v>
      </c>
      <c r="M19" s="439">
        <v>600</v>
      </c>
      <c r="N19" s="227">
        <f t="shared" si="1"/>
        <v>0</v>
      </c>
    </row>
    <row r="20" spans="1:14" ht="15.75" x14ac:dyDescent="0.25">
      <c r="B20" s="222">
        <v>45031</v>
      </c>
      <c r="C20" s="223" t="s">
        <v>404</v>
      </c>
      <c r="D20" s="101">
        <v>7442.4</v>
      </c>
      <c r="E20" s="224"/>
      <c r="F20" s="101"/>
      <c r="G20" s="225">
        <f t="shared" si="0"/>
        <v>7442.4</v>
      </c>
      <c r="I20" s="434">
        <v>45037</v>
      </c>
      <c r="J20" s="286">
        <v>12131</v>
      </c>
      <c r="K20" s="230">
        <v>600</v>
      </c>
      <c r="L20" s="430">
        <v>45050</v>
      </c>
      <c r="M20" s="440">
        <v>600</v>
      </c>
      <c r="N20" s="227">
        <f t="shared" si="1"/>
        <v>0</v>
      </c>
    </row>
    <row r="21" spans="1:14" ht="15.75" x14ac:dyDescent="0.25">
      <c r="B21" s="222">
        <v>45033</v>
      </c>
      <c r="C21" s="223" t="s">
        <v>405</v>
      </c>
      <c r="D21" s="101">
        <v>180720.4</v>
      </c>
      <c r="E21" s="224"/>
      <c r="F21" s="101"/>
      <c r="G21" s="225">
        <f t="shared" si="0"/>
        <v>180720.4</v>
      </c>
      <c r="I21" s="433">
        <v>45038</v>
      </c>
      <c r="J21" s="288">
        <v>12141</v>
      </c>
      <c r="K21" s="289">
        <v>1962</v>
      </c>
      <c r="L21" s="430">
        <v>45050</v>
      </c>
      <c r="M21" s="439">
        <v>1962</v>
      </c>
      <c r="N21" s="227">
        <f t="shared" si="1"/>
        <v>0</v>
      </c>
    </row>
    <row r="22" spans="1:14" ht="18.75" x14ac:dyDescent="0.3">
      <c r="B22" s="222">
        <v>45034</v>
      </c>
      <c r="C22" s="223" t="s">
        <v>406</v>
      </c>
      <c r="D22" s="101">
        <v>93316.54</v>
      </c>
      <c r="E22" s="224"/>
      <c r="F22" s="101"/>
      <c r="G22" s="225">
        <f t="shared" si="0"/>
        <v>93316.54</v>
      </c>
      <c r="H22" s="232"/>
      <c r="I22" s="435">
        <v>45040</v>
      </c>
      <c r="J22" s="290">
        <v>12152</v>
      </c>
      <c r="K22" s="237">
        <v>11331</v>
      </c>
      <c r="L22" s="430">
        <v>45050</v>
      </c>
      <c r="M22" s="439">
        <v>11331</v>
      </c>
      <c r="N22" s="227">
        <f t="shared" si="1"/>
        <v>0</v>
      </c>
    </row>
    <row r="23" spans="1:14" ht="15.75" x14ac:dyDescent="0.25">
      <c r="B23" s="222">
        <v>45034</v>
      </c>
      <c r="C23" s="223" t="s">
        <v>407</v>
      </c>
      <c r="D23" s="101">
        <v>5195</v>
      </c>
      <c r="E23" s="224"/>
      <c r="F23" s="101"/>
      <c r="G23" s="225">
        <f t="shared" si="0"/>
        <v>5195</v>
      </c>
      <c r="H23" s="233"/>
      <c r="I23" s="435">
        <v>45041</v>
      </c>
      <c r="J23" s="290">
        <v>12164</v>
      </c>
      <c r="K23" s="237">
        <v>360</v>
      </c>
      <c r="L23" s="430">
        <v>45050</v>
      </c>
      <c r="M23" s="439">
        <v>360</v>
      </c>
      <c r="N23" s="227">
        <f t="shared" si="1"/>
        <v>0</v>
      </c>
    </row>
    <row r="24" spans="1:14" ht="21" customHeight="1" x14ac:dyDescent="0.25">
      <c r="B24" s="222">
        <v>45034</v>
      </c>
      <c r="C24" s="223" t="s">
        <v>408</v>
      </c>
      <c r="D24" s="101">
        <v>6415.5</v>
      </c>
      <c r="E24" s="224"/>
      <c r="F24" s="101"/>
      <c r="G24" s="225">
        <f t="shared" si="0"/>
        <v>6415.5</v>
      </c>
      <c r="H24" s="233"/>
      <c r="I24" s="435">
        <v>45042</v>
      </c>
      <c r="J24" s="290">
        <v>12166</v>
      </c>
      <c r="K24" s="237">
        <v>9135</v>
      </c>
      <c r="L24" s="430">
        <v>45050</v>
      </c>
      <c r="M24" s="439">
        <v>9135</v>
      </c>
      <c r="N24" s="227">
        <f t="shared" si="1"/>
        <v>0</v>
      </c>
    </row>
    <row r="25" spans="1:14" ht="15.75" x14ac:dyDescent="0.25">
      <c r="B25" s="222">
        <v>45035</v>
      </c>
      <c r="C25" s="223" t="s">
        <v>409</v>
      </c>
      <c r="D25" s="101">
        <v>5235</v>
      </c>
      <c r="E25" s="224"/>
      <c r="F25" s="101"/>
      <c r="G25" s="225">
        <f t="shared" si="0"/>
        <v>5235</v>
      </c>
      <c r="H25" s="234"/>
      <c r="I25" s="435">
        <v>45043</v>
      </c>
      <c r="J25" s="290">
        <v>12187</v>
      </c>
      <c r="K25" s="237">
        <v>360</v>
      </c>
      <c r="L25" s="430">
        <v>45050</v>
      </c>
      <c r="M25" s="439">
        <v>360</v>
      </c>
      <c r="N25" s="227">
        <f t="shared" si="1"/>
        <v>0</v>
      </c>
    </row>
    <row r="26" spans="1:14" ht="15.75" x14ac:dyDescent="0.25">
      <c r="B26" s="222">
        <v>45035</v>
      </c>
      <c r="C26" s="223" t="s">
        <v>410</v>
      </c>
      <c r="D26" s="101">
        <v>105935.26</v>
      </c>
      <c r="E26" s="224"/>
      <c r="F26" s="101"/>
      <c r="G26" s="225">
        <f t="shared" si="0"/>
        <v>105935.26</v>
      </c>
      <c r="H26" s="234"/>
      <c r="I26" s="435">
        <v>45044</v>
      </c>
      <c r="J26" s="290">
        <v>12190</v>
      </c>
      <c r="K26" s="237">
        <v>360</v>
      </c>
      <c r="L26" s="430">
        <v>45050</v>
      </c>
      <c r="M26" s="439">
        <v>360</v>
      </c>
      <c r="N26" s="227">
        <f t="shared" si="1"/>
        <v>0</v>
      </c>
    </row>
    <row r="27" spans="1:14" ht="15.75" x14ac:dyDescent="0.25">
      <c r="B27" s="222">
        <v>45036</v>
      </c>
      <c r="C27" s="223" t="s">
        <v>411</v>
      </c>
      <c r="D27" s="101">
        <v>7751.6</v>
      </c>
      <c r="E27" s="224"/>
      <c r="F27" s="101"/>
      <c r="G27" s="225">
        <f t="shared" si="0"/>
        <v>7751.6</v>
      </c>
      <c r="H27" s="234"/>
      <c r="I27" s="435">
        <v>45044</v>
      </c>
      <c r="J27" s="290">
        <v>12193</v>
      </c>
      <c r="K27" s="237">
        <v>240</v>
      </c>
      <c r="L27" s="430">
        <v>45050</v>
      </c>
      <c r="M27" s="439">
        <v>240</v>
      </c>
      <c r="N27" s="227">
        <f t="shared" si="1"/>
        <v>0</v>
      </c>
    </row>
    <row r="28" spans="1:14" ht="15.75" x14ac:dyDescent="0.25">
      <c r="B28" s="222">
        <v>45037</v>
      </c>
      <c r="C28" s="223" t="s">
        <v>412</v>
      </c>
      <c r="D28" s="101">
        <v>6004.2</v>
      </c>
      <c r="E28" s="224"/>
      <c r="F28" s="101"/>
      <c r="G28" s="225">
        <f t="shared" si="0"/>
        <v>6004.2</v>
      </c>
      <c r="H28" s="234"/>
      <c r="I28" s="435">
        <v>45045</v>
      </c>
      <c r="J28" s="437">
        <v>12206</v>
      </c>
      <c r="K28" s="237">
        <v>2940</v>
      </c>
      <c r="L28" s="430">
        <v>45050</v>
      </c>
      <c r="M28" s="439">
        <v>2940</v>
      </c>
      <c r="N28" s="227">
        <f t="shared" si="1"/>
        <v>0</v>
      </c>
    </row>
    <row r="29" spans="1:14" ht="15.75" x14ac:dyDescent="0.25">
      <c r="B29" s="222">
        <v>45038</v>
      </c>
      <c r="C29" s="223" t="s">
        <v>413</v>
      </c>
      <c r="D29" s="101">
        <v>30831.5</v>
      </c>
      <c r="E29" s="224"/>
      <c r="F29" s="101"/>
      <c r="G29" s="225">
        <f t="shared" si="0"/>
        <v>30831.5</v>
      </c>
      <c r="H29" s="234"/>
      <c r="I29" s="435">
        <v>45048</v>
      </c>
      <c r="J29" s="437">
        <v>12223</v>
      </c>
      <c r="K29" s="237">
        <v>240</v>
      </c>
      <c r="L29" s="430">
        <v>45050</v>
      </c>
      <c r="M29" s="439">
        <v>240</v>
      </c>
      <c r="N29" s="227">
        <f t="shared" si="1"/>
        <v>0</v>
      </c>
    </row>
    <row r="30" spans="1:14" ht="15.75" x14ac:dyDescent="0.25">
      <c r="A30" s="31"/>
      <c r="B30" s="222">
        <v>45040</v>
      </c>
      <c r="C30" s="223" t="s">
        <v>414</v>
      </c>
      <c r="D30" s="101">
        <v>39908.1</v>
      </c>
      <c r="E30" s="224"/>
      <c r="F30" s="101"/>
      <c r="G30" s="225">
        <f t="shared" si="0"/>
        <v>39908.1</v>
      </c>
      <c r="H30" s="234"/>
      <c r="I30" s="435"/>
      <c r="J30" s="437"/>
      <c r="K30" s="237"/>
      <c r="L30" s="224"/>
      <c r="M30" s="101"/>
      <c r="N30" s="227">
        <f t="shared" si="1"/>
        <v>0</v>
      </c>
    </row>
    <row r="31" spans="1:14" ht="15.75" x14ac:dyDescent="0.25">
      <c r="B31" s="222">
        <v>45041</v>
      </c>
      <c r="C31" s="223" t="s">
        <v>415</v>
      </c>
      <c r="D31" s="101">
        <v>14083.2</v>
      </c>
      <c r="E31" s="224"/>
      <c r="F31" s="101"/>
      <c r="G31" s="225">
        <f t="shared" si="0"/>
        <v>14083.2</v>
      </c>
      <c r="H31" s="233"/>
      <c r="I31" s="436"/>
      <c r="J31" s="438"/>
      <c r="K31" s="150">
        <v>0</v>
      </c>
      <c r="L31" s="224"/>
      <c r="M31" s="101"/>
      <c r="N31" s="227">
        <f t="shared" si="1"/>
        <v>0</v>
      </c>
    </row>
    <row r="32" spans="1:14" ht="15.75" x14ac:dyDescent="0.25">
      <c r="B32" s="222">
        <v>45042</v>
      </c>
      <c r="C32" s="223" t="s">
        <v>416</v>
      </c>
      <c r="D32" s="101">
        <v>97824.8</v>
      </c>
      <c r="E32" s="224"/>
      <c r="F32" s="101"/>
      <c r="G32" s="225">
        <f t="shared" si="0"/>
        <v>97824.8</v>
      </c>
      <c r="H32" s="233"/>
      <c r="I32" s="436"/>
      <c r="J32" s="438"/>
      <c r="K32" s="150">
        <v>0</v>
      </c>
      <c r="L32" s="224"/>
      <c r="M32" s="101"/>
      <c r="N32" s="227">
        <f t="shared" si="1"/>
        <v>0</v>
      </c>
    </row>
    <row r="33" spans="2:14" ht="15.75" x14ac:dyDescent="0.25">
      <c r="B33" s="222">
        <v>45042</v>
      </c>
      <c r="C33" s="223" t="s">
        <v>418</v>
      </c>
      <c r="D33" s="101">
        <v>512</v>
      </c>
      <c r="E33" s="224"/>
      <c r="F33" s="101"/>
      <c r="G33" s="225">
        <f t="shared" si="0"/>
        <v>512</v>
      </c>
      <c r="I33" s="436"/>
      <c r="J33" s="438"/>
      <c r="K33" s="150">
        <v>0</v>
      </c>
      <c r="L33" s="224"/>
      <c r="M33" s="101"/>
      <c r="N33" s="227">
        <f t="shared" si="1"/>
        <v>0</v>
      </c>
    </row>
    <row r="34" spans="2:14" ht="15.75" x14ac:dyDescent="0.25">
      <c r="B34" s="222">
        <v>45043</v>
      </c>
      <c r="C34" s="223" t="s">
        <v>417</v>
      </c>
      <c r="D34" s="101">
        <v>19096.3</v>
      </c>
      <c r="E34" s="224"/>
      <c r="F34" s="101"/>
      <c r="G34" s="225">
        <f t="shared" si="0"/>
        <v>19096.3</v>
      </c>
      <c r="I34" s="436"/>
      <c r="J34" s="438"/>
      <c r="K34" s="150"/>
      <c r="L34" s="224"/>
      <c r="M34" s="101"/>
      <c r="N34" s="227">
        <f t="shared" si="1"/>
        <v>0</v>
      </c>
    </row>
    <row r="35" spans="2:14" ht="15.75" x14ac:dyDescent="0.25">
      <c r="B35" s="222">
        <v>45044</v>
      </c>
      <c r="C35" s="223" t="s">
        <v>419</v>
      </c>
      <c r="D35" s="101">
        <v>59000.24</v>
      </c>
      <c r="E35" s="224"/>
      <c r="F35" s="101"/>
      <c r="G35" s="225">
        <f t="shared" si="0"/>
        <v>59000.24</v>
      </c>
      <c r="I35" s="435"/>
      <c r="J35" s="236"/>
      <c r="K35" s="237"/>
      <c r="L35" s="224"/>
      <c r="M35" s="101"/>
      <c r="N35" s="227">
        <f t="shared" si="1"/>
        <v>0</v>
      </c>
    </row>
    <row r="36" spans="2:14" ht="15.75" x14ac:dyDescent="0.25">
      <c r="B36" s="222">
        <v>45044</v>
      </c>
      <c r="C36" s="223" t="s">
        <v>473</v>
      </c>
      <c r="D36" s="101">
        <v>10327.200000000001</v>
      </c>
      <c r="E36" s="224"/>
      <c r="F36" s="101"/>
      <c r="G36" s="225">
        <f t="shared" si="0"/>
        <v>10327.200000000001</v>
      </c>
      <c r="I36" s="489"/>
      <c r="J36" s="490"/>
      <c r="K36" s="490"/>
      <c r="L36" s="491"/>
      <c r="M36" s="101"/>
      <c r="N36" s="227">
        <f t="shared" si="1"/>
        <v>0</v>
      </c>
    </row>
    <row r="37" spans="2:14" ht="15.75" x14ac:dyDescent="0.25">
      <c r="B37" s="222">
        <v>45045</v>
      </c>
      <c r="C37" s="223" t="s">
        <v>474</v>
      </c>
      <c r="D37" s="101">
        <v>63383.41</v>
      </c>
      <c r="E37" s="224"/>
      <c r="F37" s="101"/>
      <c r="G37" s="225">
        <f t="shared" si="0"/>
        <v>63383.41</v>
      </c>
      <c r="I37" s="489"/>
      <c r="J37" s="490"/>
      <c r="K37" s="490"/>
      <c r="L37" s="491"/>
      <c r="M37" s="101"/>
      <c r="N37" s="227">
        <f t="shared" si="1"/>
        <v>0</v>
      </c>
    </row>
    <row r="38" spans="2:14" ht="15.75" x14ac:dyDescent="0.25">
      <c r="B38" s="222">
        <v>45045</v>
      </c>
      <c r="C38" s="223" t="s">
        <v>475</v>
      </c>
      <c r="D38" s="101">
        <v>143170.4</v>
      </c>
      <c r="E38" s="224"/>
      <c r="F38" s="101"/>
      <c r="G38" s="225">
        <f t="shared" si="0"/>
        <v>143170.4</v>
      </c>
      <c r="I38" s="228"/>
      <c r="J38" s="229"/>
      <c r="K38" s="230"/>
      <c r="L38" s="224"/>
      <c r="M38" s="101"/>
      <c r="N38" s="227">
        <f t="shared" si="1"/>
        <v>0</v>
      </c>
    </row>
    <row r="39" spans="2:14" ht="15.75" x14ac:dyDescent="0.25">
      <c r="B39" s="222">
        <v>45047</v>
      </c>
      <c r="C39" s="223" t="s">
        <v>476</v>
      </c>
      <c r="D39" s="101">
        <v>48573.4</v>
      </c>
      <c r="E39" s="238"/>
      <c r="F39" s="84"/>
      <c r="G39" s="101">
        <f t="shared" si="0"/>
        <v>48573.4</v>
      </c>
      <c r="I39" s="239"/>
      <c r="J39" s="240"/>
      <c r="K39" s="84"/>
      <c r="L39" s="238"/>
      <c r="M39" s="84"/>
      <c r="N39" s="227">
        <f t="shared" si="1"/>
        <v>0</v>
      </c>
    </row>
    <row r="40" spans="2:14" ht="15.75" x14ac:dyDescent="0.25">
      <c r="B40" s="222">
        <v>45049</v>
      </c>
      <c r="C40" s="223" t="s">
        <v>477</v>
      </c>
      <c r="D40" s="101">
        <v>12934.8</v>
      </c>
      <c r="E40" s="238"/>
      <c r="F40" s="84"/>
      <c r="G40" s="101">
        <f t="shared" si="0"/>
        <v>12934.8</v>
      </c>
      <c r="I40" s="492" t="s">
        <v>35</v>
      </c>
      <c r="J40" s="493"/>
      <c r="K40" s="84"/>
      <c r="L40" s="238"/>
      <c r="M40" s="84"/>
      <c r="N40" s="227">
        <f t="shared" si="1"/>
        <v>0</v>
      </c>
    </row>
    <row r="41" spans="2:14" ht="15.75" x14ac:dyDescent="0.25">
      <c r="B41" s="244">
        <v>45049</v>
      </c>
      <c r="C41" s="223" t="s">
        <v>478</v>
      </c>
      <c r="D41" s="405">
        <v>35275.5</v>
      </c>
      <c r="E41" s="238"/>
      <c r="F41" s="84"/>
      <c r="G41" s="101">
        <f t="shared" si="0"/>
        <v>35275.5</v>
      </c>
      <c r="I41" s="494"/>
      <c r="J41" s="495"/>
      <c r="K41" s="84"/>
      <c r="L41" s="238"/>
      <c r="M41" s="84"/>
      <c r="N41" s="227">
        <f t="shared" si="1"/>
        <v>0</v>
      </c>
    </row>
    <row r="42" spans="2:14" ht="15.75" x14ac:dyDescent="0.25">
      <c r="B42" s="244">
        <v>45050</v>
      </c>
      <c r="C42" s="223" t="s">
        <v>479</v>
      </c>
      <c r="D42" s="405">
        <v>26187.599999999999</v>
      </c>
      <c r="E42" s="238"/>
      <c r="F42" s="84"/>
      <c r="G42" s="101">
        <f t="shared" si="0"/>
        <v>26187.599999999999</v>
      </c>
      <c r="I42" s="496"/>
      <c r="J42" s="497"/>
      <c r="K42" s="84"/>
      <c r="L42" s="238"/>
      <c r="M42" s="84"/>
      <c r="N42" s="227">
        <f t="shared" si="1"/>
        <v>0</v>
      </c>
    </row>
    <row r="43" spans="2:14" ht="15.75" x14ac:dyDescent="0.25">
      <c r="B43" s="244">
        <v>45050</v>
      </c>
      <c r="C43" s="245" t="s">
        <v>480</v>
      </c>
      <c r="D43" s="405">
        <v>42295.360000000001</v>
      </c>
      <c r="E43" s="238"/>
      <c r="F43" s="84"/>
      <c r="G43" s="101">
        <f t="shared" si="0"/>
        <v>42295.360000000001</v>
      </c>
      <c r="I43" s="239"/>
      <c r="J43" s="240"/>
      <c r="K43" s="84"/>
      <c r="L43" s="238"/>
      <c r="M43" s="84"/>
      <c r="N43" s="227">
        <f t="shared" si="1"/>
        <v>0</v>
      </c>
    </row>
    <row r="44" spans="2:14" ht="15.75" x14ac:dyDescent="0.25">
      <c r="B44" s="246">
        <v>45051</v>
      </c>
      <c r="C44" s="245" t="s">
        <v>481</v>
      </c>
      <c r="D44" s="405">
        <v>123017.2</v>
      </c>
      <c r="E44" s="238"/>
      <c r="F44" s="84"/>
      <c r="G44" s="101">
        <f t="shared" si="0"/>
        <v>123017.2</v>
      </c>
      <c r="I44" s="239"/>
      <c r="J44" s="240"/>
      <c r="K44" s="84"/>
      <c r="L44" s="238"/>
      <c r="M44" s="84"/>
      <c r="N44" s="227">
        <f t="shared" si="1"/>
        <v>0</v>
      </c>
    </row>
    <row r="45" spans="2:14" ht="15.75" x14ac:dyDescent="0.25">
      <c r="B45" s="246"/>
      <c r="C45" s="245"/>
      <c r="D45" s="405"/>
      <c r="E45" s="238"/>
      <c r="F45" s="84"/>
      <c r="G45" s="101">
        <f t="shared" si="0"/>
        <v>0</v>
      </c>
      <c r="I45" s="239"/>
      <c r="J45" s="240"/>
      <c r="K45" s="84"/>
      <c r="L45" s="238"/>
      <c r="M45" s="84"/>
      <c r="N45" s="227">
        <f t="shared" si="1"/>
        <v>0</v>
      </c>
    </row>
    <row r="46" spans="2:14" ht="15.75" x14ac:dyDescent="0.25">
      <c r="B46" s="246"/>
      <c r="C46" s="245"/>
      <c r="D46" s="405"/>
      <c r="E46" s="238"/>
      <c r="F46" s="84"/>
      <c r="G46" s="101">
        <f t="shared" si="0"/>
        <v>0</v>
      </c>
      <c r="I46" s="239"/>
      <c r="J46" s="240"/>
      <c r="K46" s="84"/>
      <c r="L46" s="238"/>
      <c r="M46" s="84"/>
      <c r="N46" s="227">
        <f t="shared" si="1"/>
        <v>0</v>
      </c>
    </row>
    <row r="47" spans="2:14" ht="15.75" x14ac:dyDescent="0.25">
      <c r="B47" s="406"/>
      <c r="C47" s="245"/>
      <c r="D47" s="405"/>
      <c r="E47" s="238"/>
      <c r="F47" s="84"/>
      <c r="G47" s="101">
        <f t="shared" si="0"/>
        <v>0</v>
      </c>
      <c r="I47" s="239"/>
      <c r="J47" s="240"/>
      <c r="K47" s="84"/>
      <c r="L47" s="238"/>
      <c r="M47" s="84"/>
      <c r="N47" s="227">
        <f t="shared" si="1"/>
        <v>0</v>
      </c>
    </row>
    <row r="48" spans="2:14" ht="15.75" x14ac:dyDescent="0.25">
      <c r="B48" s="239"/>
      <c r="C48" s="248"/>
      <c r="D48" s="84"/>
      <c r="E48" s="238"/>
      <c r="F48" s="84"/>
      <c r="G48" s="101">
        <f t="shared" si="0"/>
        <v>0</v>
      </c>
      <c r="I48" s="239"/>
      <c r="J48" s="240"/>
      <c r="K48" s="84"/>
      <c r="L48" s="238"/>
      <c r="M48" s="84"/>
      <c r="N48" s="227">
        <f t="shared" si="1"/>
        <v>0</v>
      </c>
    </row>
    <row r="49" spans="2:14" ht="15.75" hidden="1" x14ac:dyDescent="0.25">
      <c r="B49" s="239"/>
      <c r="C49" s="249"/>
      <c r="D49" s="84"/>
      <c r="E49" s="238"/>
      <c r="F49" s="84"/>
      <c r="G49" s="101">
        <f t="shared" si="0"/>
        <v>0</v>
      </c>
      <c r="I49" s="239"/>
      <c r="J49" s="240"/>
      <c r="K49" s="84"/>
      <c r="L49" s="238"/>
      <c r="M49" s="84"/>
      <c r="N49" s="227">
        <f t="shared" si="1"/>
        <v>0</v>
      </c>
    </row>
    <row r="50" spans="2:14" ht="15.75" hidden="1" x14ac:dyDescent="0.25">
      <c r="B50" s="239"/>
      <c r="C50" s="240"/>
      <c r="D50" s="84"/>
      <c r="E50" s="250"/>
      <c r="F50" s="84"/>
      <c r="G50" s="101">
        <f t="shared" si="0"/>
        <v>0</v>
      </c>
      <c r="I50" s="251"/>
      <c r="J50" s="252"/>
      <c r="K50" s="44"/>
      <c r="L50" s="177"/>
      <c r="M50" s="44"/>
      <c r="N50" s="227">
        <f t="shared" si="1"/>
        <v>0</v>
      </c>
    </row>
    <row r="51" spans="2:14" ht="15.75" hidden="1" x14ac:dyDescent="0.25">
      <c r="B51" s="239"/>
      <c r="C51" s="240"/>
      <c r="D51" s="84"/>
      <c r="E51" s="250"/>
      <c r="F51" s="84"/>
      <c r="G51" s="101">
        <f t="shared" si="0"/>
        <v>0</v>
      </c>
      <c r="I51" s="251"/>
      <c r="J51" s="252"/>
      <c r="K51" s="44"/>
      <c r="L51" s="177"/>
      <c r="M51" s="44"/>
      <c r="N51" s="227">
        <f t="shared" si="1"/>
        <v>0</v>
      </c>
    </row>
    <row r="52" spans="2:14" ht="15.75" hidden="1" x14ac:dyDescent="0.25">
      <c r="B52" s="239"/>
      <c r="C52" s="240"/>
      <c r="D52" s="84"/>
      <c r="E52" s="250"/>
      <c r="F52" s="84"/>
      <c r="G52" s="101">
        <f t="shared" si="0"/>
        <v>0</v>
      </c>
      <c r="I52" s="251"/>
      <c r="J52" s="252"/>
      <c r="K52" s="44"/>
      <c r="L52" s="177"/>
      <c r="M52" s="44"/>
      <c r="N52" s="227">
        <f t="shared" si="1"/>
        <v>0</v>
      </c>
    </row>
    <row r="53" spans="2:14" ht="15.75" hidden="1" x14ac:dyDescent="0.25">
      <c r="B53" s="239"/>
      <c r="C53" s="240"/>
      <c r="D53" s="84"/>
      <c r="E53" s="250"/>
      <c r="F53" s="84"/>
      <c r="G53" s="101">
        <f t="shared" si="0"/>
        <v>0</v>
      </c>
      <c r="I53" s="251"/>
      <c r="J53" s="252"/>
      <c r="K53" s="44"/>
      <c r="L53" s="177"/>
      <c r="M53" s="44"/>
      <c r="N53" s="227">
        <f t="shared" si="1"/>
        <v>0</v>
      </c>
    </row>
    <row r="54" spans="2:14" ht="15.75" hidden="1" x14ac:dyDescent="0.25">
      <c r="B54" s="239"/>
      <c r="C54" s="240"/>
      <c r="D54" s="84"/>
      <c r="E54" s="250"/>
      <c r="F54" s="84"/>
      <c r="G54" s="101">
        <f t="shared" si="0"/>
        <v>0</v>
      </c>
      <c r="I54" s="251"/>
      <c r="J54" s="252"/>
      <c r="K54" s="44"/>
      <c r="L54" s="177"/>
      <c r="M54" s="44"/>
      <c r="N54" s="227">
        <f t="shared" si="1"/>
        <v>0</v>
      </c>
    </row>
    <row r="55" spans="2:14" ht="15.75" hidden="1" x14ac:dyDescent="0.25">
      <c r="B55" s="251"/>
      <c r="C55" s="252"/>
      <c r="D55" s="44"/>
      <c r="E55" s="177"/>
      <c r="F55" s="44"/>
      <c r="G55" s="101">
        <f t="shared" si="0"/>
        <v>0</v>
      </c>
      <c r="I55" s="251"/>
      <c r="J55" s="252"/>
      <c r="K55" s="44"/>
      <c r="L55" s="177"/>
      <c r="M55" s="44"/>
      <c r="N55" s="227">
        <f t="shared" si="1"/>
        <v>0</v>
      </c>
    </row>
    <row r="56" spans="2:14" ht="15.75" hidden="1" x14ac:dyDescent="0.25">
      <c r="B56" s="239"/>
      <c r="C56" s="240"/>
      <c r="D56" s="84"/>
      <c r="E56" s="250"/>
      <c r="F56" s="84"/>
      <c r="G56" s="101">
        <f t="shared" si="0"/>
        <v>0</v>
      </c>
      <c r="I56" s="239"/>
      <c r="J56" s="240"/>
      <c r="K56" s="84"/>
      <c r="L56" s="250"/>
      <c r="M56" s="84"/>
      <c r="N56" s="227">
        <f t="shared" si="1"/>
        <v>0</v>
      </c>
    </row>
    <row r="57" spans="2:14" ht="15.75" hidden="1" x14ac:dyDescent="0.25">
      <c r="B57" s="239"/>
      <c r="C57" s="240"/>
      <c r="D57" s="84"/>
      <c r="E57" s="250"/>
      <c r="F57" s="84"/>
      <c r="G57" s="101">
        <f t="shared" si="0"/>
        <v>0</v>
      </c>
      <c r="I57" s="239"/>
      <c r="J57" s="240"/>
      <c r="K57" s="84"/>
      <c r="L57" s="250"/>
      <c r="M57" s="84"/>
      <c r="N57" s="227">
        <f t="shared" si="1"/>
        <v>0</v>
      </c>
    </row>
    <row r="58" spans="2:14" ht="15.75" hidden="1" x14ac:dyDescent="0.25">
      <c r="B58" s="239"/>
      <c r="C58" s="240"/>
      <c r="D58" s="84"/>
      <c r="E58" s="250"/>
      <c r="F58" s="84"/>
      <c r="G58" s="101">
        <f t="shared" si="0"/>
        <v>0</v>
      </c>
      <c r="I58" s="239"/>
      <c r="J58" s="240"/>
      <c r="K58" s="84"/>
      <c r="L58" s="250"/>
      <c r="M58" s="84"/>
      <c r="N58" s="227">
        <f t="shared" si="1"/>
        <v>0</v>
      </c>
    </row>
    <row r="59" spans="2:14" ht="15.75" hidden="1" x14ac:dyDescent="0.25">
      <c r="B59" s="239"/>
      <c r="C59" s="240"/>
      <c r="D59" s="84"/>
      <c r="E59" s="250"/>
      <c r="F59" s="84"/>
      <c r="G59" s="101">
        <f t="shared" si="0"/>
        <v>0</v>
      </c>
      <c r="I59" s="239"/>
      <c r="J59" s="240"/>
      <c r="K59" s="84"/>
      <c r="L59" s="250"/>
      <c r="M59" s="84"/>
      <c r="N59" s="227">
        <f t="shared" si="1"/>
        <v>0</v>
      </c>
    </row>
    <row r="60" spans="2:14" ht="15.75" hidden="1" x14ac:dyDescent="0.25">
      <c r="B60" s="239"/>
      <c r="C60" s="240"/>
      <c r="D60" s="84"/>
      <c r="E60" s="250"/>
      <c r="F60" s="84"/>
      <c r="G60" s="101">
        <f t="shared" si="0"/>
        <v>0</v>
      </c>
      <c r="I60" s="239"/>
      <c r="J60" s="240"/>
      <c r="K60" s="84"/>
      <c r="L60" s="250"/>
      <c r="M60" s="84"/>
      <c r="N60" s="227">
        <f t="shared" si="1"/>
        <v>0</v>
      </c>
    </row>
    <row r="61" spans="2:14" ht="15.75" hidden="1" x14ac:dyDescent="0.25">
      <c r="B61" s="239"/>
      <c r="C61" s="240"/>
      <c r="D61" s="84"/>
      <c r="E61" s="250"/>
      <c r="F61" s="84"/>
      <c r="G61" s="101">
        <f t="shared" si="0"/>
        <v>0</v>
      </c>
      <c r="I61" s="239"/>
      <c r="J61" s="240"/>
      <c r="K61" s="84"/>
      <c r="L61" s="250"/>
      <c r="M61" s="84"/>
      <c r="N61" s="227">
        <f t="shared" si="1"/>
        <v>0</v>
      </c>
    </row>
    <row r="62" spans="2:14" ht="15.75" hidden="1" x14ac:dyDescent="0.25">
      <c r="B62" s="239"/>
      <c r="C62" s="240"/>
      <c r="D62" s="84"/>
      <c r="E62" s="250"/>
      <c r="F62" s="84"/>
      <c r="G62" s="101">
        <f t="shared" si="0"/>
        <v>0</v>
      </c>
      <c r="I62" s="239"/>
      <c r="J62" s="240"/>
      <c r="K62" s="84"/>
      <c r="L62" s="250"/>
      <c r="M62" s="84"/>
      <c r="N62" s="227">
        <f t="shared" si="1"/>
        <v>0</v>
      </c>
    </row>
    <row r="63" spans="2:14" ht="15.75" hidden="1" x14ac:dyDescent="0.25">
      <c r="B63" s="239"/>
      <c r="C63" s="240"/>
      <c r="D63" s="84"/>
      <c r="E63" s="250"/>
      <c r="F63" s="84"/>
      <c r="G63" s="101">
        <f t="shared" si="0"/>
        <v>0</v>
      </c>
      <c r="I63" s="239"/>
      <c r="J63" s="240"/>
      <c r="K63" s="84"/>
      <c r="L63" s="250"/>
      <c r="M63" s="84"/>
      <c r="N63" s="227">
        <f t="shared" si="1"/>
        <v>0</v>
      </c>
    </row>
    <row r="64" spans="2:14" ht="15.75" hidden="1" x14ac:dyDescent="0.25">
      <c r="B64" s="239"/>
      <c r="C64" s="240"/>
      <c r="D64" s="84"/>
      <c r="E64" s="250"/>
      <c r="F64" s="84"/>
      <c r="G64" s="101">
        <f t="shared" si="0"/>
        <v>0</v>
      </c>
      <c r="I64" s="239"/>
      <c r="J64" s="240"/>
      <c r="K64" s="84"/>
      <c r="L64" s="250"/>
      <c r="M64" s="84"/>
      <c r="N64" s="227">
        <f t="shared" si="1"/>
        <v>0</v>
      </c>
    </row>
    <row r="65" spans="2:14" ht="15.75" hidden="1" x14ac:dyDescent="0.25">
      <c r="B65" s="239"/>
      <c r="C65" s="240"/>
      <c r="D65" s="84"/>
      <c r="E65" s="250"/>
      <c r="F65" s="84"/>
      <c r="G65" s="101">
        <f t="shared" si="0"/>
        <v>0</v>
      </c>
      <c r="I65" s="239"/>
      <c r="J65" s="240"/>
      <c r="K65" s="84"/>
      <c r="L65" s="250"/>
      <c r="M65" s="84"/>
      <c r="N65" s="227">
        <f t="shared" si="1"/>
        <v>0</v>
      </c>
    </row>
    <row r="66" spans="2:14" ht="16.5" thickBot="1" x14ac:dyDescent="0.3">
      <c r="B66" s="253"/>
      <c r="C66" s="254"/>
      <c r="D66" s="44">
        <v>0</v>
      </c>
      <c r="E66" s="255"/>
      <c r="F66" s="256"/>
      <c r="G66" s="227">
        <v>0</v>
      </c>
      <c r="I66" s="253"/>
      <c r="J66" s="257"/>
      <c r="K66" s="256">
        <v>0</v>
      </c>
      <c r="L66" s="255"/>
      <c r="M66" s="256"/>
      <c r="N66" s="227"/>
    </row>
    <row r="67" spans="2:14" ht="21.75" thickTop="1" x14ac:dyDescent="0.35">
      <c r="C67" s="259"/>
      <c r="D67" s="260">
        <f>SUM(D3:D66)</f>
        <v>2011533.7000000002</v>
      </c>
      <c r="E67" s="261"/>
      <c r="F67" s="262">
        <f>SUM(F3:F66)</f>
        <v>0</v>
      </c>
      <c r="G67" s="263">
        <f>SUM(G3:G66)</f>
        <v>2011533.7000000002</v>
      </c>
      <c r="I67" s="498" t="s">
        <v>35</v>
      </c>
      <c r="J67" s="499"/>
      <c r="K67" s="264">
        <f>SUM(K3:K66)</f>
        <v>106196</v>
      </c>
      <c r="L67" s="265"/>
      <c r="M67" s="266">
        <f>SUM(M3:M66)</f>
        <v>106196</v>
      </c>
      <c r="N67" s="263">
        <f>N66</f>
        <v>0</v>
      </c>
    </row>
    <row r="68" spans="2:14" ht="15.75" thickBot="1" x14ac:dyDescent="0.3">
      <c r="C68" s="267"/>
      <c r="D68" s="268"/>
      <c r="E68" s="269"/>
      <c r="F68" s="5"/>
      <c r="G68" s="502" t="s">
        <v>36</v>
      </c>
      <c r="I68" s="507"/>
      <c r="J68" s="508"/>
      <c r="K68" s="1"/>
      <c r="L68" s="269"/>
      <c r="M68" s="5"/>
      <c r="N68" s="1"/>
    </row>
    <row r="69" spans="2:14" ht="15.75" thickBot="1" x14ac:dyDescent="0.3">
      <c r="C69" s="270"/>
      <c r="D69" s="1"/>
      <c r="E69" s="269"/>
      <c r="F69" s="5"/>
      <c r="G69" s="503"/>
      <c r="I69" s="293"/>
      <c r="J69" s="294"/>
      <c r="K69" s="295"/>
      <c r="L69" s="296"/>
      <c r="M69" s="187"/>
      <c r="N69" s="1"/>
    </row>
    <row r="70" spans="2:14" ht="15.75" x14ac:dyDescent="0.25">
      <c r="B70" s="272"/>
      <c r="C70" s="273"/>
      <c r="D70" s="108"/>
      <c r="F70"/>
      <c r="I70" s="311"/>
      <c r="J70" s="312"/>
      <c r="K70" s="313"/>
      <c r="L70" s="444"/>
      <c r="M70" s="299"/>
    </row>
    <row r="71" spans="2:14" ht="15.75" x14ac:dyDescent="0.25">
      <c r="B71" s="272"/>
      <c r="C71" s="273"/>
      <c r="D71" s="108"/>
      <c r="F71"/>
      <c r="H71" s="233"/>
      <c r="I71" s="317" t="s">
        <v>487</v>
      </c>
      <c r="J71" s="301"/>
      <c r="K71" s="189"/>
      <c r="L71" s="445"/>
      <c r="M71" s="299"/>
    </row>
    <row r="72" spans="2:14" ht="15" customHeight="1" x14ac:dyDescent="0.25">
      <c r="C72" s="275"/>
      <c r="E72" s="276"/>
      <c r="F72"/>
      <c r="H72" s="233"/>
      <c r="I72" s="446" t="s">
        <v>488</v>
      </c>
      <c r="J72" s="191"/>
      <c r="K72" s="304"/>
      <c r="L72" s="447"/>
      <c r="M72" s="299"/>
      <c r="N72"/>
    </row>
    <row r="73" spans="2:14" ht="15.75" customHeight="1" x14ac:dyDescent="0.25">
      <c r="C73" s="275"/>
      <c r="E73" s="276"/>
      <c r="F73"/>
      <c r="H73" s="233"/>
      <c r="I73" s="446"/>
      <c r="J73" s="294"/>
      <c r="K73" s="304"/>
      <c r="L73" s="447"/>
      <c r="M73" s="299"/>
      <c r="N73"/>
    </row>
    <row r="74" spans="2:14" ht="18.75" x14ac:dyDescent="0.3">
      <c r="C74" s="275"/>
      <c r="D74" s="189"/>
      <c r="E74" s="276"/>
      <c r="F74"/>
      <c r="H74" s="233"/>
      <c r="I74" s="448" t="s">
        <v>489</v>
      </c>
      <c r="J74" s="294"/>
      <c r="K74" s="415">
        <v>351097.64</v>
      </c>
      <c r="L74" s="447"/>
      <c r="M74" s="299"/>
      <c r="N74"/>
    </row>
    <row r="75" spans="2:14" ht="18.75" x14ac:dyDescent="0.3">
      <c r="C75" s="275"/>
      <c r="D75" s="108"/>
      <c r="E75" s="276"/>
      <c r="H75" s="233"/>
      <c r="I75" s="448" t="s">
        <v>490</v>
      </c>
      <c r="J75" s="188"/>
      <c r="K75" s="415">
        <v>-179053.83</v>
      </c>
      <c r="L75" s="447"/>
      <c r="M75" s="299"/>
      <c r="N75"/>
    </row>
    <row r="76" spans="2:14" ht="19.5" thickBot="1" x14ac:dyDescent="0.35">
      <c r="C76" s="275"/>
      <c r="D76" s="108"/>
      <c r="E76" s="276"/>
      <c r="H76" s="233"/>
      <c r="I76" s="322"/>
      <c r="J76" s="188"/>
      <c r="K76" s="442">
        <v>0</v>
      </c>
      <c r="L76" s="447"/>
      <c r="M76" s="299"/>
      <c r="N76"/>
    </row>
    <row r="77" spans="2:14" ht="19.5" thickTop="1" x14ac:dyDescent="0.3">
      <c r="C77" s="275"/>
      <c r="D77" s="108"/>
      <c r="E77" s="276"/>
      <c r="I77" s="322" t="s">
        <v>491</v>
      </c>
      <c r="J77" s="299"/>
      <c r="K77" s="443">
        <f>SUM(K74:K76)</f>
        <v>172043.81000000003</v>
      </c>
      <c r="L77" s="449">
        <v>45048</v>
      </c>
      <c r="M77" s="299"/>
      <c r="N77"/>
    </row>
    <row r="78" spans="2:14" ht="18.75" x14ac:dyDescent="0.3">
      <c r="C78" s="275"/>
      <c r="D78" s="108"/>
      <c r="E78" s="276"/>
      <c r="I78" s="322" t="s">
        <v>492</v>
      </c>
      <c r="J78" s="299"/>
      <c r="K78" s="441"/>
      <c r="L78" s="450"/>
      <c r="M78" s="299"/>
      <c r="N78"/>
    </row>
    <row r="79" spans="2:14" ht="19.5" thickBot="1" x14ac:dyDescent="0.35">
      <c r="C79" s="275"/>
      <c r="D79" s="108"/>
      <c r="E79" s="276"/>
      <c r="I79" s="328"/>
      <c r="J79" s="329"/>
      <c r="K79" s="451"/>
      <c r="L79" s="452"/>
      <c r="M79" s="299"/>
      <c r="N79"/>
    </row>
    <row r="80" spans="2:14" ht="15.75" x14ac:dyDescent="0.25">
      <c r="C80" s="275"/>
      <c r="D80" s="108"/>
      <c r="E80" s="276"/>
      <c r="I80"/>
      <c r="J80"/>
      <c r="K80"/>
      <c r="M80"/>
      <c r="N80"/>
    </row>
    <row r="81" spans="3:14" ht="15.75" x14ac:dyDescent="0.25">
      <c r="C81" s="271"/>
      <c r="D81" s="108"/>
      <c r="E81" s="276"/>
      <c r="I81"/>
      <c r="J81"/>
      <c r="K81"/>
      <c r="M81"/>
      <c r="N81"/>
    </row>
    <row r="82" spans="3:14" ht="15.75" x14ac:dyDescent="0.25">
      <c r="C82" s="271"/>
      <c r="D82" s="108"/>
      <c r="E82" s="276"/>
      <c r="I82"/>
      <c r="J82"/>
      <c r="K82"/>
      <c r="M82"/>
      <c r="N82"/>
    </row>
    <row r="83" spans="3:14" ht="15.75" x14ac:dyDescent="0.25">
      <c r="C83" s="271"/>
      <c r="D83" s="108"/>
      <c r="E83" s="276"/>
      <c r="I83"/>
      <c r="J83"/>
      <c r="K83"/>
      <c r="M83"/>
      <c r="N83"/>
    </row>
    <row r="84" spans="3:14" ht="15.75" x14ac:dyDescent="0.25">
      <c r="C84" s="271"/>
      <c r="D84" s="108"/>
      <c r="E84" s="276"/>
      <c r="I84"/>
      <c r="J84"/>
      <c r="K84"/>
      <c r="M84"/>
      <c r="N84"/>
    </row>
    <row r="85" spans="3:14" ht="15.75" x14ac:dyDescent="0.25">
      <c r="C85" s="271"/>
      <c r="D85" s="108"/>
      <c r="E85" s="276"/>
      <c r="I85"/>
      <c r="J85"/>
      <c r="K85"/>
      <c r="M85"/>
      <c r="N85"/>
    </row>
    <row r="86" spans="3:14" ht="15.75" x14ac:dyDescent="0.25">
      <c r="C86" s="271"/>
      <c r="D86" s="108"/>
      <c r="E86" s="276"/>
      <c r="I86"/>
      <c r="J86"/>
      <c r="K86"/>
      <c r="M86"/>
      <c r="N86"/>
    </row>
    <row r="87" spans="3:14" ht="15.75" x14ac:dyDescent="0.25">
      <c r="C87" s="271"/>
      <c r="D87" s="108"/>
      <c r="E87" s="276"/>
      <c r="I87"/>
      <c r="J87"/>
      <c r="K87"/>
      <c r="M87"/>
      <c r="N87"/>
    </row>
    <row r="88" spans="3:14" ht="15.75" x14ac:dyDescent="0.25">
      <c r="C88" s="271"/>
      <c r="D88" s="108"/>
      <c r="E88" s="276"/>
      <c r="I88"/>
      <c r="J88"/>
      <c r="K88"/>
      <c r="M88"/>
      <c r="N88"/>
    </row>
    <row r="89" spans="3:14" ht="15.75" x14ac:dyDescent="0.25">
      <c r="C89" s="271"/>
      <c r="D89" s="108"/>
      <c r="E89" s="276"/>
      <c r="I89"/>
      <c r="J89"/>
      <c r="K89"/>
      <c r="M89"/>
      <c r="N89"/>
    </row>
    <row r="90" spans="3:14" ht="15.75" x14ac:dyDescent="0.25">
      <c r="C90" s="271"/>
      <c r="D90" s="108"/>
      <c r="E90" s="276"/>
      <c r="I90"/>
      <c r="J90"/>
      <c r="K90"/>
      <c r="M90"/>
      <c r="N90"/>
    </row>
    <row r="91" spans="3:14" ht="15.75" x14ac:dyDescent="0.25">
      <c r="C91" s="271"/>
      <c r="D91" s="108"/>
      <c r="E91" s="276"/>
      <c r="I91"/>
      <c r="J91"/>
      <c r="K91"/>
      <c r="M91"/>
      <c r="N91"/>
    </row>
    <row r="92" spans="3:14" ht="15.75" x14ac:dyDescent="0.25">
      <c r="C92" s="271"/>
      <c r="D92" s="108"/>
      <c r="E92" s="276"/>
      <c r="I92"/>
      <c r="J92"/>
      <c r="K92"/>
      <c r="M92"/>
      <c r="N92"/>
    </row>
    <row r="93" spans="3:14" ht="15.75" x14ac:dyDescent="0.25">
      <c r="C93" s="271"/>
      <c r="D93" s="108"/>
      <c r="E93" s="276"/>
      <c r="I93"/>
      <c r="J93"/>
      <c r="K93"/>
      <c r="M93"/>
      <c r="N93"/>
    </row>
    <row r="94" spans="3:14" ht="15.75" x14ac:dyDescent="0.25">
      <c r="C94" s="271"/>
      <c r="D94" s="108"/>
      <c r="E94" s="276"/>
      <c r="I94"/>
      <c r="J94"/>
      <c r="K94"/>
      <c r="M94"/>
      <c r="N94"/>
    </row>
    <row r="95" spans="3:14" ht="15.75" x14ac:dyDescent="0.25">
      <c r="C95" s="271"/>
      <c r="D95" s="108"/>
      <c r="E95" s="276"/>
      <c r="I95"/>
      <c r="J95"/>
      <c r="K95"/>
      <c r="M95"/>
      <c r="N95"/>
    </row>
    <row r="96" spans="3:14" ht="15.75" x14ac:dyDescent="0.25">
      <c r="C96" s="271"/>
      <c r="D96" s="108"/>
      <c r="E96" s="276"/>
      <c r="I96"/>
      <c r="J96"/>
      <c r="K96"/>
      <c r="M96"/>
      <c r="N96"/>
    </row>
    <row r="97" spans="3:14" x14ac:dyDescent="0.25">
      <c r="C97" s="271"/>
      <c r="D97" s="189"/>
      <c r="E97" s="276"/>
      <c r="I97"/>
      <c r="J97"/>
      <c r="K97"/>
      <c r="M97"/>
      <c r="N97"/>
    </row>
    <row r="98" spans="3:14" x14ac:dyDescent="0.25">
      <c r="C98" s="271"/>
      <c r="D98" s="189"/>
      <c r="E98" s="276"/>
      <c r="I98"/>
      <c r="J98"/>
      <c r="K98"/>
      <c r="M98"/>
      <c r="N98"/>
    </row>
    <row r="99" spans="3:14" x14ac:dyDescent="0.25">
      <c r="C99" s="271"/>
      <c r="D99" s="189"/>
      <c r="E99" s="276"/>
      <c r="I99"/>
      <c r="J99"/>
      <c r="K99"/>
      <c r="M99"/>
      <c r="N99"/>
    </row>
    <row r="100" spans="3:14" x14ac:dyDescent="0.25">
      <c r="C100" s="271"/>
      <c r="D100" s="189"/>
      <c r="E100" s="276"/>
      <c r="I100"/>
      <c r="J100"/>
      <c r="K100"/>
      <c r="M100"/>
      <c r="N100"/>
    </row>
    <row r="101" spans="3:14" x14ac:dyDescent="0.25">
      <c r="C101" s="271"/>
      <c r="D101" s="189"/>
      <c r="E101" s="276"/>
      <c r="I101"/>
      <c r="J101"/>
      <c r="K101"/>
      <c r="M101"/>
      <c r="N101"/>
    </row>
    <row r="102" spans="3:14" x14ac:dyDescent="0.25">
      <c r="C102" s="271"/>
      <c r="E102" s="276"/>
      <c r="I102"/>
      <c r="J102"/>
      <c r="K102"/>
      <c r="M102"/>
      <c r="N102"/>
    </row>
    <row r="103" spans="3:14" x14ac:dyDescent="0.25">
      <c r="C103" s="271"/>
      <c r="E103" s="276"/>
      <c r="I103"/>
      <c r="J103"/>
      <c r="K103"/>
      <c r="M103"/>
      <c r="N103"/>
    </row>
    <row r="104" spans="3:14" x14ac:dyDescent="0.25">
      <c r="C104" s="271"/>
      <c r="E104" s="276"/>
      <c r="I104"/>
      <c r="J104"/>
      <c r="K104"/>
      <c r="M104"/>
      <c r="N104"/>
    </row>
    <row r="105" spans="3:14" x14ac:dyDescent="0.25">
      <c r="C105" s="271"/>
      <c r="E105" s="276"/>
      <c r="I105"/>
      <c r="J105"/>
      <c r="K105"/>
      <c r="M105"/>
      <c r="N105"/>
    </row>
    <row r="106" spans="3:14" x14ac:dyDescent="0.25">
      <c r="C106" s="271"/>
      <c r="E106" s="276"/>
      <c r="I106"/>
      <c r="J106"/>
      <c r="K106"/>
      <c r="M106"/>
      <c r="N106"/>
    </row>
    <row r="107" spans="3:14" x14ac:dyDescent="0.25">
      <c r="C107" s="271"/>
      <c r="E107" s="276"/>
      <c r="I107"/>
      <c r="J107"/>
      <c r="K107"/>
      <c r="M107"/>
      <c r="N107"/>
    </row>
    <row r="108" spans="3:14" x14ac:dyDescent="0.25">
      <c r="C108" s="271"/>
      <c r="E108" s="276"/>
      <c r="I108"/>
      <c r="J108"/>
      <c r="K108"/>
      <c r="M108"/>
      <c r="N108"/>
    </row>
    <row r="109" spans="3:14" x14ac:dyDescent="0.25">
      <c r="C109" s="271"/>
      <c r="E109" s="276"/>
      <c r="I109"/>
      <c r="J109"/>
      <c r="K109"/>
      <c r="M109"/>
      <c r="N109"/>
    </row>
    <row r="110" spans="3:14" x14ac:dyDescent="0.25">
      <c r="C110" s="271"/>
      <c r="E110" s="276"/>
      <c r="I110"/>
      <c r="J110"/>
      <c r="K110"/>
      <c r="M110"/>
      <c r="N110"/>
    </row>
    <row r="111" spans="3:14" x14ac:dyDescent="0.25">
      <c r="C111" s="271"/>
      <c r="E111" s="276"/>
      <c r="I111"/>
      <c r="J111"/>
      <c r="K111"/>
      <c r="M111"/>
      <c r="N111"/>
    </row>
    <row r="112" spans="3:14" x14ac:dyDescent="0.25">
      <c r="C112" s="271"/>
      <c r="E112" s="276"/>
      <c r="I112"/>
      <c r="J112"/>
      <c r="K112"/>
      <c r="M112"/>
      <c r="N112"/>
    </row>
    <row r="113" spans="3:14" x14ac:dyDescent="0.25">
      <c r="C113" s="271"/>
      <c r="E113" s="276"/>
      <c r="I113"/>
      <c r="J113"/>
      <c r="K113"/>
      <c r="M113"/>
      <c r="N113"/>
    </row>
    <row r="114" spans="3:14" x14ac:dyDescent="0.25">
      <c r="C114" s="271"/>
      <c r="E114" s="276"/>
      <c r="I114"/>
      <c r="J114"/>
      <c r="K114"/>
      <c r="M114"/>
      <c r="N114"/>
    </row>
    <row r="115" spans="3:14" x14ac:dyDescent="0.25">
      <c r="C115" s="271"/>
      <c r="E115" s="276"/>
      <c r="I115"/>
      <c r="J115"/>
      <c r="K115"/>
      <c r="M115"/>
      <c r="N115"/>
    </row>
    <row r="116" spans="3:14" x14ac:dyDescent="0.25">
      <c r="C116" s="271"/>
      <c r="E116" s="276"/>
      <c r="I116"/>
      <c r="J116"/>
      <c r="K116"/>
      <c r="M116"/>
      <c r="N116"/>
    </row>
    <row r="117" spans="3:14" x14ac:dyDescent="0.25">
      <c r="C117" s="271"/>
      <c r="E117" s="276"/>
      <c r="I117"/>
      <c r="J117"/>
      <c r="K117"/>
      <c r="M117"/>
      <c r="N117"/>
    </row>
    <row r="118" spans="3:14" x14ac:dyDescent="0.25">
      <c r="C118" s="271"/>
      <c r="E118" s="276"/>
      <c r="I118"/>
      <c r="J118"/>
      <c r="K118"/>
      <c r="M118"/>
      <c r="N118"/>
    </row>
    <row r="119" spans="3:14" x14ac:dyDescent="0.25">
      <c r="C119" s="271"/>
      <c r="E119" s="276"/>
      <c r="I119"/>
      <c r="J119"/>
      <c r="K119"/>
      <c r="M119"/>
      <c r="N119"/>
    </row>
    <row r="120" spans="3:14" x14ac:dyDescent="0.25">
      <c r="C120" s="271"/>
      <c r="E120" s="276"/>
      <c r="I120"/>
      <c r="J120"/>
      <c r="K120"/>
      <c r="M120"/>
      <c r="N120"/>
    </row>
    <row r="121" spans="3:14" x14ac:dyDescent="0.25">
      <c r="C121" s="271"/>
      <c r="E121" s="276"/>
      <c r="I121"/>
      <c r="J121"/>
      <c r="K121"/>
      <c r="M121"/>
      <c r="N121"/>
    </row>
    <row r="122" spans="3:14" x14ac:dyDescent="0.25">
      <c r="C122" s="271"/>
      <c r="E122" s="276"/>
      <c r="I122"/>
      <c r="J122"/>
      <c r="K122"/>
      <c r="M122"/>
      <c r="N122"/>
    </row>
    <row r="123" spans="3:14" x14ac:dyDescent="0.25">
      <c r="C123" s="271"/>
      <c r="E123" s="276"/>
      <c r="I123"/>
      <c r="J123"/>
      <c r="K123"/>
      <c r="M123"/>
      <c r="N123"/>
    </row>
  </sheetData>
  <sortState ref="B32:D35">
    <sortCondition ref="C32:C35"/>
  </sortState>
  <mergeCells count="4">
    <mergeCell ref="I36:L37"/>
    <mergeCell ref="I40:J42"/>
    <mergeCell ref="I67:J68"/>
    <mergeCell ref="G68:G6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Hoja1</vt:lpstr>
      <vt:lpstr>  E N E R O    2 0 2 3     </vt:lpstr>
      <vt:lpstr>COMPRAS  ENERO  2023  </vt:lpstr>
      <vt:lpstr>  F E B R E R O      2 0 2 3   </vt:lpstr>
      <vt:lpstr>COMPRAS   FEBRERERO  2023    </vt:lpstr>
      <vt:lpstr>   M A R Z O     2 0 2 3    </vt:lpstr>
      <vt:lpstr> COMPRAS  MARZO   2023     </vt:lpstr>
      <vt:lpstr>   A B R I L    2 0 2 3      </vt:lpstr>
      <vt:lpstr> COMPRAS   ABRIL   2023     </vt:lpstr>
      <vt:lpstr>Hoja10</vt:lpstr>
      <vt:lpstr>Hoja11</vt:lpstr>
      <vt:lpstr>Hoja12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2023-03-03T20:28:05Z</cp:lastPrinted>
  <dcterms:created xsi:type="dcterms:W3CDTF">2023-01-31T18:18:42Z</dcterms:created>
  <dcterms:modified xsi:type="dcterms:W3CDTF">2023-05-24T21:58:21Z</dcterms:modified>
</cp:coreProperties>
</file>