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0" yWindow="0" windowWidth="17190" windowHeight="10725" firstSheet="7" activeTab="8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D I C I E M B R E  2 0 2 1     " sheetId="11" r:id="rId9"/>
    <sheet name="REMISIONES  DICIEMBRE  2 0 2 1 " sheetId="12" r:id="rId10"/>
    <sheet name="Hoja3" sheetId="13" r:id="rId11"/>
    <sheet name="CANCELACIONES         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2" l="1"/>
  <c r="M32" i="11" l="1"/>
  <c r="M30" i="11"/>
  <c r="M29" i="11"/>
  <c r="M28" i="11"/>
  <c r="M27" i="11" l="1"/>
  <c r="M26" i="11" l="1"/>
  <c r="M25" i="11"/>
  <c r="M23" i="11"/>
  <c r="M22" i="11"/>
  <c r="M21" i="11"/>
  <c r="C21" i="11"/>
  <c r="M20" i="11"/>
  <c r="M19" i="11"/>
  <c r="M18" i="11"/>
  <c r="M17" i="11"/>
  <c r="L17" i="11"/>
  <c r="M16" i="11"/>
  <c r="M15" i="11"/>
  <c r="M14" i="11" l="1"/>
  <c r="M13" i="11" l="1"/>
  <c r="M12" i="11"/>
  <c r="M11" i="11"/>
  <c r="M10" i="11"/>
  <c r="M9" i="11"/>
  <c r="M8" i="11"/>
  <c r="M6" i="11" l="1"/>
  <c r="M5" i="11"/>
  <c r="E100" i="12" l="1"/>
  <c r="C100" i="12"/>
  <c r="F5" i="12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K57" i="11"/>
  <c r="L51" i="11"/>
  <c r="I51" i="11"/>
  <c r="F51" i="11"/>
  <c r="C51" i="11"/>
  <c r="N40" i="11"/>
  <c r="P39" i="11"/>
  <c r="Q39" i="11" s="1"/>
  <c r="P38" i="11"/>
  <c r="Q38" i="11" s="1"/>
  <c r="Q37" i="11"/>
  <c r="P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P8" i="11"/>
  <c r="Q8" i="11" s="1"/>
  <c r="P7" i="11"/>
  <c r="Q7" i="11" s="1"/>
  <c r="P6" i="11"/>
  <c r="Q6" i="11" s="1"/>
  <c r="P5" i="11"/>
  <c r="K53" i="11" l="1"/>
  <c r="F54" i="11" s="1"/>
  <c r="F57" i="11" s="1"/>
  <c r="K55" i="11" s="1"/>
  <c r="K59" i="11" s="1"/>
  <c r="P40" i="11"/>
  <c r="Q5" i="11"/>
  <c r="Q40" i="11" s="1"/>
  <c r="M40" i="11"/>
  <c r="M53" i="11" s="1"/>
  <c r="F10" i="10"/>
  <c r="F11" i="10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" i="10"/>
  <c r="F8" i="10"/>
  <c r="F7" i="10"/>
  <c r="F4" i="10"/>
  <c r="F3" i="10"/>
  <c r="M32" i="9"/>
  <c r="M31" i="9"/>
  <c r="M30" i="9"/>
  <c r="M29" i="9"/>
  <c r="M28" i="9"/>
  <c r="M27" i="9"/>
  <c r="M25" i="9" l="1"/>
  <c r="M26" i="9"/>
  <c r="M24" i="9" l="1"/>
  <c r="M23" i="9"/>
  <c r="M22" i="9"/>
  <c r="M21" i="9" l="1"/>
  <c r="M20" i="9"/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9" i="10"/>
  <c r="C99" i="10"/>
  <c r="F5" i="10"/>
  <c r="F6" i="10" s="1"/>
  <c r="F9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<sst xmlns="http://schemas.openxmlformats.org/spreadsheetml/2006/main" count="591" uniqueCount="386">
  <si>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</si>
  <si>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</si>
  <si>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</si>
  <si>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</si>
  <si>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</si>
  <si>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</si>
  <si>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</si>
  <si>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</si>
  <si>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</si>
  <si>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</si>
  <si>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</si>
  <si>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</si>
  <si>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</si>
  <si>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</si>
  <si>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</si>
  <si>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</si>
  <si>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</si>
  <si>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</si>
  <si>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</si>
  <si>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</si>
  <si>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</si>
  <si>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</si>
  <si>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</si>
  <si>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</si>
  <si>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</si>
  <si>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</si>
  <si>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</si>
  <si>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</si>
  <si>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</si>
  <si>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</si>
  <si>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</si>
  <si>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</si>
  <si>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</si>
  <si>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</si>
  <si>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</si>
  <si>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</si>
  <si>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</si>
  <si>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</si>
  <si>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</si>
  <si>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</si>
  <si>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</si>
  <si>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</si>
  <si>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</si>
  <si>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</si>
  <si>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</si>
  <si>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</si>
  <si>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</si>
  <si>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</si>
  <si>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</si>
  <si>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</si>
  <si>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</si>
  <si>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</si>
  <si>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</si>
  <si>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</si>
  <si>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</si>
  <si>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</si>
  <si>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</si>
  <si>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</si>
  <si>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</si>
  <si>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</si>
  <si>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</si>
  <si>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</si>
  <si>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</si>
  <si>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</si>
  <si>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</si>
  <si>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</si>
  <si>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</si>
  <si>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</si>
  <si>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</si>
  <si>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</si>
  <si>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</si>
  <si>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</si>
  <si>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</si>
  <si>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</si>
  <si>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</si>
  <si>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</si>
  <si>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</si>
  <si>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</si>
  <si>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</si>
  <si>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</si>
  <si>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</si>
  <si>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</si>
  <si>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</si>
  <si>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</si>
  <si>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</si>
  <si>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</si>
  <si>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</si>
  <si>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</si>
  <si>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</si>
  <si>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</si>
  <si>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</si>
  <si>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</si>
  <si>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</si>
  <si>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</si>
  <si>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</si>
  <si>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</si>
  <si>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</si>
  <si>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</si>
  <si>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</si>
  <si>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</si>
  <si>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</si>
  <si>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</si>
  <si>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</si>
  <si>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</si>
  <si>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</si>
  <si>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</si>
  <si>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</si>
  <si>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</si>
  <si>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</si>
  <si>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</si>
  <si>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</si>
  <si>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</si>
  <si>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</si>
  <si>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</si>
  <si>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</si>
  <si>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</si>
  <si>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</si>
  <si>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</si>
  <si>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</si>
  <si>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</si>
  <si>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</si>
  <si>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</si>
  <si>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</si>
  <si>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</si>
  <si>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</si>
  <si>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</si>
  <si>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</si>
  <si>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</si>
  <si>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</si>
  <si>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</si>
  <si>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</si>
  <si>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</si>
  <si>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</si>
  <si>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</si>
  <si>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</si>
  <si>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</si>
  <si>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</si>
  <si>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</si>
  <si>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</si>
  <si>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</si>
  <si>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</si>
  <si>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</si>
  <si>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</si>
  <si>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</si>
  <si>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</si>
  <si>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</si>
  <si>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</si>
  <si>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</si>
  <si>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</si>
  <si>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</si>
  <si>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</si>
  <si>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</si>
  <si>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</si>
  <si>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</si>
  <si>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</si>
  <si>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</si>
  <si>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</si>
  <si>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</si>
  <si>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</si>
  <si>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</si>
  <si>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</si>
  <si>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</si>
  <si>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</si>
  <si>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</si>
  <si>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</si>
  <si>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</si>
  <si>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</si>
  <si>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</si>
  <si>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</si>
  <si>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</si>
  <si>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</si>
  <si>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</si>
  <si>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</si>
  <si>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</si>
  <si>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</si>
  <si>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</si>
  <si>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</si>
  <si>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</si>
  <si>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</si>
  <si>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</si>
  <si>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</si>
  <si>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</si>
  <si>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</si>
  <si>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</si>
  <si>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</si>
  <si>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</si>
  <si>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</si>
  <si>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</si>
  <si>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</si>
  <si>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</si>
  <si>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</si>
  <si>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</si>
  <si>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</si>
  <si>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</si>
  <si>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</si>
  <si>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</si>
  <si>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</si>
  <si>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</si>
  <si>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</si>
  <si>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</si>
  <si>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</si>
  <si>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</si>
  <si>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</si>
  <si>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</si>
  <si>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</si>
  <si>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</si>
  <si>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</si>
  <si>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</si>
  <si>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</si>
  <si>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</si>
  <si>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</si>
  <si>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</si>
  <si>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</si>
  <si>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</si>
  <si>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</si>
  <si>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</si>
  <si>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</si>
  <si>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</si>
  <si>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</si>
  <si>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</si>
  <si>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</si>
  <si>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</si>
  <si>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</si>
  <si>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</si>
  <si>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</si>
  <si>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</si>
  <si>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</si>
  <si>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</si>
  <si>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</si>
  <si>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</si>
  <si>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</si>
  <si>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</si>
  <si>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</si>
  <si>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</si>
  <si>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</si>
  <si>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</si>
  <si>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</si>
  <si>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</si>
  <si>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</si>
  <si>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</si>
  <si>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</si>
  <si>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</si>
  <si>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</si>
  <si>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</si>
  <si>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</si>
  <si>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</si>
  <si>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</si>
  <si>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</si>
  <si>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</si>
  <si>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</si>
  <si>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</si>
  <si>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</si>
  <si>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</si>
  <si>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</si>
  <si>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</si>
  <si>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</si>
  <si>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</si>
  <si>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</si>
  <si>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</si>
  <si>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</si>
  <si>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</si>
  <si>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</si>
  <si>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</si>
  <si>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</si>
  <si>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</si>
  <si>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</si>
  <si>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</si>
  <si>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</si>
  <si>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</si>
  <si>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</si>
  <si>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</si>
  <si>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</si>
  <si>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</si>
  <si>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</si>
  <si>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</si>
  <si>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</si>
  <si>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</si>
  <si>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</si>
  <si>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</si>
  <si>
    <t>00972 C</t>
  </si>
  <si>
    <t>01243 C</t>
  </si>
  <si>
    <t>01245 C</t>
  </si>
  <si>
    <t>01256 C</t>
  </si>
  <si>
    <t>01328 C</t>
  </si>
  <si>
    <t>01540 C</t>
  </si>
  <si>
    <t>01556 C</t>
  </si>
  <si>
    <t>01597 C</t>
  </si>
  <si>
    <t>01626 C</t>
  </si>
  <si>
    <t>01761 C</t>
  </si>
  <si>
    <t>01781 C</t>
  </si>
  <si>
    <t>01976 C</t>
  </si>
  <si>
    <t>01977 C</t>
  </si>
  <si>
    <t>02046 C</t>
  </si>
  <si>
    <t>PEREJIL--CEBOLLA</t>
  </si>
  <si>
    <t>ARRACHERA-CONCHA DE RES</t>
  </si>
  <si>
    <t>NOMINA # 48</t>
  </si>
  <si>
    <t>RES-SALCHICHA-QUESO-JAMON</t>
  </si>
  <si>
    <t>LONGANIZA--ARABE</t>
  </si>
  <si>
    <t>NOMINA # 49</t>
  </si>
  <si>
    <t>02169 C</t>
  </si>
  <si>
    <t>02171 C</t>
  </si>
  <si>
    <t>02355 C</t>
  </si>
  <si>
    <t>02357 C</t>
  </si>
  <si>
    <t>02359 C</t>
  </si>
  <si>
    <t>02512 C</t>
  </si>
  <si>
    <t>02636 C</t>
  </si>
  <si>
    <t>02744 C</t>
  </si>
  <si>
    <t>02821 C</t>
  </si>
  <si>
    <t>02905 C</t>
  </si>
  <si>
    <t>03047 C</t>
  </si>
  <si>
    <t>03048 C</t>
  </si>
  <si>
    <t>03220 C</t>
  </si>
  <si>
    <t>03320 C</t>
  </si>
  <si>
    <t>03376 C</t>
  </si>
  <si>
    <t>03495 C</t>
  </si>
  <si>
    <t>03537 C</t>
  </si>
  <si>
    <t>03664 C</t>
  </si>
  <si>
    <t>03734 C</t>
  </si>
  <si>
    <t>03950 C</t>
  </si>
  <si>
    <t>04015 C</t>
  </si>
  <si>
    <t>04017 C</t>
  </si>
  <si>
    <t>04079 C</t>
  </si>
  <si>
    <t>BALANCE      ABASTO 4 CARNES    H E R R A D U R A     DICIEMBRE             2 0 2 1</t>
  </si>
  <si>
    <t>COMPRA VARIOS PRODUCTOS</t>
  </si>
  <si>
    <t>CREMA-TOTOPOS</t>
  </si>
  <si>
    <t xml:space="preserve">COMPRAS CENTRAL </t>
  </si>
  <si>
    <t>NOMINA # 52</t>
  </si>
  <si>
    <t>nomina 51 Aguinaldos</t>
  </si>
  <si>
    <t>NOMINA 50</t>
  </si>
  <si>
    <t>FESTIVO</t>
  </si>
  <si>
    <t>PAVO NATURAL</t>
  </si>
  <si>
    <t>BONOS DE ASISTENCIA</t>
  </si>
  <si>
    <t>NOMINA # 01</t>
  </si>
  <si>
    <t xml:space="preserve">LONGANIZA-CENTRAL VARIOS  </t>
  </si>
  <si>
    <t>04167 C</t>
  </si>
  <si>
    <t>04168 C</t>
  </si>
  <si>
    <t>04262 C</t>
  </si>
  <si>
    <t>04327 C</t>
  </si>
  <si>
    <t>04330 C</t>
  </si>
  <si>
    <t>04331 C</t>
  </si>
  <si>
    <t>04332 C</t>
  </si>
  <si>
    <t>04394 C</t>
  </si>
  <si>
    <t>04453 C</t>
  </si>
  <si>
    <t>04528 C</t>
  </si>
  <si>
    <t>04586 C</t>
  </si>
  <si>
    <t>04587 C</t>
  </si>
  <si>
    <t>04699 C</t>
  </si>
  <si>
    <t>04768 C</t>
  </si>
  <si>
    <t>04923 C</t>
  </si>
  <si>
    <t>04924 C</t>
  </si>
  <si>
    <t>04925 C</t>
  </si>
  <si>
    <t>04930 C</t>
  </si>
  <si>
    <t>04950 C</t>
  </si>
  <si>
    <t>04980 C</t>
  </si>
  <si>
    <t>05214 C</t>
  </si>
  <si>
    <t>05314 C</t>
  </si>
  <si>
    <t>05401 C</t>
  </si>
  <si>
    <t>05618 C</t>
  </si>
  <si>
    <t>05748 C</t>
  </si>
  <si>
    <t>05963 C</t>
  </si>
  <si>
    <t>05967 C</t>
  </si>
  <si>
    <t>06031 C</t>
  </si>
  <si>
    <t>06114 C</t>
  </si>
  <si>
    <t>06274 C</t>
  </si>
  <si>
    <t>06443 C</t>
  </si>
  <si>
    <t>06444 C</t>
  </si>
  <si>
    <t>06487 C</t>
  </si>
  <si>
    <t>06504 C</t>
  </si>
  <si>
    <t>06513 C</t>
  </si>
  <si>
    <t>06527 C</t>
  </si>
  <si>
    <t>06613 C</t>
  </si>
  <si>
    <t>06666 C</t>
  </si>
  <si>
    <t>06699 C</t>
  </si>
  <si>
    <t>06889 C</t>
  </si>
  <si>
    <t>06910 C</t>
  </si>
  <si>
    <t>07032 C</t>
  </si>
  <si>
    <t>07124 C</t>
  </si>
  <si>
    <t>07147 C</t>
  </si>
  <si>
    <t>07226 C</t>
  </si>
  <si>
    <t>07321 C</t>
  </si>
  <si>
    <t>07346 C</t>
  </si>
  <si>
    <t>Mat limpieza</t>
  </si>
  <si>
    <t>Fumigacion</t>
  </si>
  <si>
    <t xml:space="preserve">COMISIONES </t>
  </si>
  <si>
    <t>Delantales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</si>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</sst>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1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4" fillId="4" borderId="59" xfId="0" applyFont="1" applyFill="1" applyBorder="1" applyAlignment="1">
      <alignment vertical="center"/>
    </xf>
    <xf numFmtId="0" fontId="0" fillId="4" borderId="60" xfId="0" applyFill="1" applyBorder="1"/>
    <xf numFmtId="44" fontId="1" fillId="4" borderId="60" xfId="1" applyFill="1" applyBorder="1"/>
    <xf numFmtId="164" fontId="39" fillId="4" borderId="61" xfId="0" applyNumberFormat="1" applyFont="1" applyFill="1" applyBorder="1" applyAlignment="1">
      <alignment horizontal="center" vertical="center"/>
    </xf>
    <xf numFmtId="164" fontId="35" fillId="0" borderId="19" xfId="0" applyNumberFormat="1" applyFont="1" applyFill="1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44" fontId="45" fillId="0" borderId="50" xfId="1" applyFont="1" applyFill="1" applyBorder="1"/>
    <xf numFmtId="164" fontId="35" fillId="0" borderId="51" xfId="0" applyNumberFormat="1" applyFont="1" applyBorder="1" applyAlignment="1">
      <alignment horizontal="center"/>
    </xf>
    <xf numFmtId="1" fontId="36" fillId="0" borderId="5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164" fontId="0" fillId="0" borderId="7" xfId="0" applyNumberFormat="1" applyBorder="1" applyAlignment="1">
      <alignment horizontal="center"/>
    </xf>
    <xf numFmtId="44" fontId="2" fillId="0" borderId="48" xfId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4" fontId="20" fillId="7" borderId="0" xfId="1" applyFont="1" applyFill="1"/>
    <xf numFmtId="0" fontId="22" fillId="0" borderId="23" xfId="0" applyFont="1" applyFill="1" applyBorder="1"/>
    <xf numFmtId="44" fontId="2" fillId="10" borderId="16" xfId="1" applyFont="1" applyFill="1" applyBorder="1"/>
    <xf numFmtId="44" fontId="2" fillId="10" borderId="18" xfId="1" applyFont="1" applyFill="1" applyBorder="1"/>
    <xf numFmtId="0" fontId="0" fillId="10" borderId="0" xfId="0" applyFill="1"/>
    <xf numFmtId="15" fontId="2" fillId="10" borderId="23" xfId="0" applyNumberFormat="1" applyFont="1" applyFill="1" applyBorder="1"/>
    <xf numFmtId="44" fontId="2" fillId="10" borderId="20" xfId="1" applyFont="1" applyFill="1" applyBorder="1"/>
    <xf numFmtId="44" fontId="17" fillId="10" borderId="21" xfId="1" applyFont="1" applyFill="1" applyBorder="1"/>
    <xf numFmtId="44" fontId="2" fillId="10" borderId="22" xfId="1" applyFont="1" applyFill="1" applyBorder="1"/>
    <xf numFmtId="166" fontId="3" fillId="10" borderId="9" xfId="0" applyNumberFormat="1" applyFont="1" applyFill="1" applyBorder="1"/>
    <xf numFmtId="165" fontId="2" fillId="10" borderId="6" xfId="0" applyNumberFormat="1" applyFont="1" applyFill="1" applyBorder="1" applyAlignment="1">
      <alignment horizontal="center"/>
    </xf>
    <xf numFmtId="44" fontId="17" fillId="4" borderId="21" xfId="1" applyFont="1" applyFill="1" applyBorder="1"/>
    <xf numFmtId="44" fontId="2" fillId="8" borderId="0" xfId="1" applyFont="1" applyFill="1"/>
    <xf numFmtId="44" fontId="2" fillId="11" borderId="16" xfId="1" applyFont="1" applyFill="1" applyBorder="1"/>
    <xf numFmtId="166" fontId="12" fillId="11" borderId="23" xfId="0" applyNumberFormat="1" applyFont="1" applyFill="1" applyBorder="1"/>
    <xf numFmtId="44" fontId="2" fillId="11" borderId="18" xfId="1" applyFont="1" applyFill="1" applyBorder="1"/>
    <xf numFmtId="0" fontId="0" fillId="11" borderId="0" xfId="0" applyFill="1"/>
    <xf numFmtId="15" fontId="2" fillId="11" borderId="23" xfId="0" applyNumberFormat="1" applyFont="1" applyFill="1" applyBorder="1"/>
    <xf numFmtId="44" fontId="2" fillId="11" borderId="20" xfId="1" applyFont="1" applyFill="1" applyBorder="1"/>
    <xf numFmtId="165" fontId="20" fillId="11" borderId="23" xfId="1" applyNumberFormat="1" applyFont="1" applyFill="1" applyBorder="1" applyAlignment="1">
      <alignment horizontal="center"/>
    </xf>
    <xf numFmtId="44" fontId="17" fillId="11" borderId="21" xfId="1" applyFont="1" applyFill="1" applyBorder="1"/>
    <xf numFmtId="44" fontId="2" fillId="11" borderId="22" xfId="1" applyFont="1" applyFill="1" applyBorder="1"/>
    <xf numFmtId="44" fontId="46" fillId="0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0" fillId="7" borderId="0" xfId="0" applyFont="1" applyFill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75"/>
      <c r="C1" s="284" t="s">
        <v>19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18" ht="16.5" thickBot="1" x14ac:dyDescent="0.3">
      <c r="B2" s="276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7" t="s">
        <v>0</v>
      </c>
      <c r="C3" s="278"/>
      <c r="D3" s="10"/>
      <c r="E3" s="11"/>
      <c r="F3" s="11"/>
      <c r="H3" s="279" t="s">
        <v>18</v>
      </c>
      <c r="I3" s="279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80" t="s">
        <v>2</v>
      </c>
      <c r="F4" s="281"/>
      <c r="H4" s="282" t="s">
        <v>3</v>
      </c>
      <c r="I4" s="283"/>
      <c r="J4" s="17"/>
      <c r="K4" s="18"/>
      <c r="L4" s="19"/>
      <c r="M4" s="159" t="s">
        <v>20</v>
      </c>
      <c r="N4" s="160" t="s">
        <v>29</v>
      </c>
      <c r="P4" s="269" t="s">
        <v>28</v>
      </c>
      <c r="Q4" s="270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71">
        <f>SUM(M5:M38)</f>
        <v>1393675.5</v>
      </c>
      <c r="N39" s="273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72"/>
      <c r="N40" s="274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95" t="s">
        <v>8</v>
      </c>
      <c r="I52" s="296"/>
      <c r="J52" s="106"/>
      <c r="K52" s="297">
        <f>I50+L50</f>
        <v>80916.84</v>
      </c>
      <c r="L52" s="298"/>
      <c r="M52" s="286">
        <f>N39+M39</f>
        <v>1422075.47</v>
      </c>
      <c r="N52" s="287"/>
      <c r="P52" s="83"/>
      <c r="Q52" s="9"/>
    </row>
    <row r="53" spans="1:17" ht="15.75" x14ac:dyDescent="0.25">
      <c r="D53" s="299" t="s">
        <v>9</v>
      </c>
      <c r="E53" s="299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300" t="s">
        <v>10</v>
      </c>
      <c r="E54" s="300"/>
      <c r="F54" s="102">
        <v>-1523111</v>
      </c>
      <c r="I54" s="301" t="s">
        <v>11</v>
      </c>
      <c r="J54" s="302"/>
      <c r="K54" s="303">
        <f>F56+F57+F58</f>
        <v>9305.2099999999336</v>
      </c>
      <c r="L54" s="304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88">
        <v>0</v>
      </c>
      <c r="L56" s="289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90" t="s">
        <v>16</v>
      </c>
      <c r="E58" s="291"/>
      <c r="F58" s="121">
        <v>136234.76999999999</v>
      </c>
      <c r="I58" s="292" t="s">
        <v>17</v>
      </c>
      <c r="J58" s="293"/>
      <c r="K58" s="294">
        <f>K54+K56</f>
        <v>9305.2099999999336</v>
      </c>
      <c r="L58" s="294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36"/>
  <sheetViews>
    <sheetView topLeftCell="A39" workbookViewId="0">
      <selection activeCell="A51" sqref="A51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42" t="s">
        <v>22</v>
      </c>
      <c r="B2" s="243" t="s">
        <v>23</v>
      </c>
      <c r="C2" s="231" t="s">
        <v>24</v>
      </c>
      <c r="D2" s="243" t="s">
        <v>25</v>
      </c>
      <c r="E2" s="231" t="s">
        <v>26</v>
      </c>
      <c r="F2" s="232" t="s">
        <v>24</v>
      </c>
    </row>
    <row r="3" spans="1:7" ht="18.75" x14ac:dyDescent="0.3">
      <c r="A3" s="267">
        <v>44540</v>
      </c>
      <c r="B3" s="201"/>
      <c r="C3" s="202"/>
      <c r="D3" s="201"/>
      <c r="E3" s="202"/>
      <c r="F3" s="266">
        <v>-5106</v>
      </c>
    </row>
    <row r="4" spans="1:7" ht="18.75" x14ac:dyDescent="0.3">
      <c r="A4" s="144">
        <v>44536</v>
      </c>
      <c r="B4" s="142" t="s">
        <v>334</v>
      </c>
      <c r="C4" s="79">
        <v>50552.160000000003</v>
      </c>
      <c r="D4" s="144"/>
      <c r="E4" s="202"/>
      <c r="F4" s="143">
        <f>C4-E4+F3</f>
        <v>45446.16</v>
      </c>
    </row>
    <row r="5" spans="1:7" ht="18.75" x14ac:dyDescent="0.3">
      <c r="A5" s="144">
        <v>44536</v>
      </c>
      <c r="B5" s="142" t="s">
        <v>335</v>
      </c>
      <c r="C5" s="79">
        <v>1650</v>
      </c>
      <c r="D5" s="144"/>
      <c r="E5" s="79"/>
      <c r="F5" s="143">
        <f>C5-E5+F4</f>
        <v>47096.160000000003</v>
      </c>
    </row>
    <row r="6" spans="1:7" ht="18.75" x14ac:dyDescent="0.3">
      <c r="A6" s="144">
        <v>44536</v>
      </c>
      <c r="B6" s="142" t="s">
        <v>336</v>
      </c>
      <c r="C6" s="79">
        <v>10134.700000000001</v>
      </c>
      <c r="D6" s="144"/>
      <c r="E6" s="79"/>
      <c r="F6" s="145">
        <f>F5+C6-E6</f>
        <v>57230.86</v>
      </c>
      <c r="G6" s="146"/>
    </row>
    <row r="7" spans="1:7" ht="15.75" x14ac:dyDescent="0.25">
      <c r="A7" s="144">
        <v>44537</v>
      </c>
      <c r="B7" s="142" t="s">
        <v>337</v>
      </c>
      <c r="C7" s="79">
        <v>74141.899999999994</v>
      </c>
      <c r="D7" s="144"/>
      <c r="E7" s="79"/>
      <c r="F7" s="145">
        <f t="shared" ref="F7" si="0">F6+C7-E7</f>
        <v>131372.76</v>
      </c>
    </row>
    <row r="8" spans="1:7" ht="15.75" x14ac:dyDescent="0.25">
      <c r="A8" s="144">
        <v>44537</v>
      </c>
      <c r="B8" s="142" t="s">
        <v>338</v>
      </c>
      <c r="C8" s="79">
        <v>3315</v>
      </c>
      <c r="D8" s="144"/>
      <c r="E8" s="79"/>
      <c r="F8" s="145">
        <f>F7+C8-E8</f>
        <v>134687.76</v>
      </c>
    </row>
    <row r="9" spans="1:7" ht="15.75" x14ac:dyDescent="0.25">
      <c r="A9" s="144">
        <v>44537</v>
      </c>
      <c r="B9" s="142" t="s">
        <v>339</v>
      </c>
      <c r="C9" s="79">
        <v>1906.8</v>
      </c>
      <c r="D9" s="144"/>
      <c r="E9" s="79"/>
      <c r="F9" s="145">
        <f>F8+C9-E9</f>
        <v>136594.56</v>
      </c>
    </row>
    <row r="10" spans="1:7" ht="15.75" x14ac:dyDescent="0.25">
      <c r="A10" s="144">
        <v>44537</v>
      </c>
      <c r="B10" s="142" t="s">
        <v>340</v>
      </c>
      <c r="C10" s="79">
        <v>1144</v>
      </c>
      <c r="D10" s="144"/>
      <c r="E10" s="79"/>
      <c r="F10" s="145">
        <f>F9+C10-E10</f>
        <v>137738.56</v>
      </c>
    </row>
    <row r="11" spans="1:7" ht="15.75" x14ac:dyDescent="0.25">
      <c r="A11" s="144">
        <v>44537</v>
      </c>
      <c r="B11" s="142" t="s">
        <v>341</v>
      </c>
      <c r="C11" s="79">
        <v>2257.8000000000002</v>
      </c>
      <c r="D11" s="144"/>
      <c r="E11" s="79"/>
      <c r="F11" s="145">
        <f t="shared" ref="F11:F74" si="1">F10+C11-E11</f>
        <v>139996.35999999999</v>
      </c>
    </row>
    <row r="12" spans="1:7" ht="18.75" x14ac:dyDescent="0.3">
      <c r="A12" s="144">
        <v>44538</v>
      </c>
      <c r="B12" s="142" t="s">
        <v>342</v>
      </c>
      <c r="C12" s="79">
        <v>1095</v>
      </c>
      <c r="D12" s="144"/>
      <c r="E12" s="79"/>
      <c r="F12" s="145">
        <f t="shared" si="1"/>
        <v>141091.35999999999</v>
      </c>
      <c r="G12" s="146"/>
    </row>
    <row r="13" spans="1:7" ht="15.75" x14ac:dyDescent="0.25">
      <c r="A13" s="144">
        <v>44538</v>
      </c>
      <c r="B13" s="142" t="s">
        <v>343</v>
      </c>
      <c r="C13" s="79">
        <v>23096.799999999999</v>
      </c>
      <c r="D13" s="144"/>
      <c r="E13" s="79"/>
      <c r="F13" s="145">
        <f t="shared" si="1"/>
        <v>164188.15999999997</v>
      </c>
    </row>
    <row r="14" spans="1:7" ht="15.75" x14ac:dyDescent="0.25">
      <c r="A14" s="144">
        <v>44539</v>
      </c>
      <c r="B14" s="142" t="s">
        <v>344</v>
      </c>
      <c r="C14" s="79">
        <v>95356.479999999996</v>
      </c>
      <c r="D14" s="144"/>
      <c r="E14" s="79"/>
      <c r="F14" s="145">
        <f t="shared" si="1"/>
        <v>259544.63999999996</v>
      </c>
    </row>
    <row r="15" spans="1:7" ht="18.75" x14ac:dyDescent="0.3">
      <c r="A15" s="144">
        <v>44539</v>
      </c>
      <c r="B15" s="142" t="s">
        <v>345</v>
      </c>
      <c r="C15" s="79">
        <v>8295.6</v>
      </c>
      <c r="D15" s="144">
        <v>44540</v>
      </c>
      <c r="E15" s="79">
        <v>272946.24</v>
      </c>
      <c r="F15" s="233">
        <f t="shared" si="1"/>
        <v>-5106.0000000000582</v>
      </c>
    </row>
    <row r="16" spans="1:7" ht="15.75" x14ac:dyDescent="0.25">
      <c r="A16" s="144">
        <v>44540</v>
      </c>
      <c r="B16" s="142" t="s">
        <v>346</v>
      </c>
      <c r="C16" s="79">
        <v>97744.18</v>
      </c>
      <c r="D16" s="144"/>
      <c r="E16" s="79"/>
      <c r="F16" s="145">
        <f t="shared" si="1"/>
        <v>92638.179999999935</v>
      </c>
    </row>
    <row r="17" spans="1:7" ht="15.75" x14ac:dyDescent="0.25">
      <c r="A17" s="144">
        <v>44540</v>
      </c>
      <c r="B17" s="142" t="s">
        <v>347</v>
      </c>
      <c r="C17" s="79">
        <v>1492.7</v>
      </c>
      <c r="D17" s="144"/>
      <c r="E17" s="79"/>
      <c r="F17" s="145">
        <f t="shared" si="1"/>
        <v>94130.879999999932</v>
      </c>
    </row>
    <row r="18" spans="1:7" ht="15.75" x14ac:dyDescent="0.25">
      <c r="A18" s="144">
        <v>44541</v>
      </c>
      <c r="B18" s="142" t="s">
        <v>348</v>
      </c>
      <c r="C18" s="79">
        <v>132231.6</v>
      </c>
      <c r="D18" s="144"/>
      <c r="E18" s="79"/>
      <c r="F18" s="145">
        <f t="shared" si="1"/>
        <v>226362.47999999992</v>
      </c>
    </row>
    <row r="19" spans="1:7" ht="15.75" x14ac:dyDescent="0.25">
      <c r="A19" s="144">
        <v>44541</v>
      </c>
      <c r="B19" s="142" t="s">
        <v>349</v>
      </c>
      <c r="C19" s="79">
        <v>30024.3</v>
      </c>
      <c r="D19" s="144"/>
      <c r="E19" s="79"/>
      <c r="F19" s="145">
        <f t="shared" si="1"/>
        <v>256386.77999999991</v>
      </c>
    </row>
    <row r="20" spans="1:7" ht="15.75" x14ac:dyDescent="0.25">
      <c r="A20" s="144">
        <v>44541</v>
      </c>
      <c r="B20" s="142" t="s">
        <v>350</v>
      </c>
      <c r="C20" s="79">
        <v>15963</v>
      </c>
      <c r="D20" s="144"/>
      <c r="E20" s="79"/>
      <c r="F20" s="145">
        <f t="shared" si="1"/>
        <v>272349.77999999991</v>
      </c>
    </row>
    <row r="21" spans="1:7" ht="15.75" x14ac:dyDescent="0.25">
      <c r="A21" s="144">
        <v>44542</v>
      </c>
      <c r="B21" s="142" t="s">
        <v>351</v>
      </c>
      <c r="C21" s="79">
        <v>9518.15</v>
      </c>
      <c r="D21" s="144"/>
      <c r="E21" s="79"/>
      <c r="F21" s="145">
        <f t="shared" si="1"/>
        <v>281867.92999999993</v>
      </c>
    </row>
    <row r="22" spans="1:7" ht="15.75" x14ac:dyDescent="0.25">
      <c r="A22" s="144">
        <v>44542</v>
      </c>
      <c r="B22" s="142" t="s">
        <v>352</v>
      </c>
      <c r="C22" s="79">
        <v>21076.6</v>
      </c>
      <c r="D22" s="144"/>
      <c r="E22" s="79"/>
      <c r="F22" s="145">
        <f t="shared" si="1"/>
        <v>302944.52999999991</v>
      </c>
    </row>
    <row r="23" spans="1:7" ht="15.75" x14ac:dyDescent="0.25">
      <c r="A23" s="144">
        <v>44543</v>
      </c>
      <c r="B23" s="142" t="s">
        <v>353</v>
      </c>
      <c r="C23" s="79">
        <v>8399.7000000000007</v>
      </c>
      <c r="D23" s="144"/>
      <c r="E23" s="79"/>
      <c r="F23" s="145">
        <f t="shared" si="1"/>
        <v>311344.22999999992</v>
      </c>
    </row>
    <row r="24" spans="1:7" ht="18.75" x14ac:dyDescent="0.3">
      <c r="A24" s="144">
        <v>44544</v>
      </c>
      <c r="B24" s="142" t="s">
        <v>354</v>
      </c>
      <c r="C24" s="79">
        <v>129251.6</v>
      </c>
      <c r="D24" s="144"/>
      <c r="E24" s="79"/>
      <c r="F24" s="145">
        <f t="shared" si="1"/>
        <v>440595.82999999996</v>
      </c>
      <c r="G24" s="146"/>
    </row>
    <row r="25" spans="1:7" ht="15.75" x14ac:dyDescent="0.25">
      <c r="A25" s="144">
        <v>44545</v>
      </c>
      <c r="B25" s="142" t="s">
        <v>355</v>
      </c>
      <c r="C25" s="79">
        <v>20740.8</v>
      </c>
      <c r="D25" s="144">
        <v>44547</v>
      </c>
      <c r="E25" s="79">
        <v>461336.63</v>
      </c>
      <c r="F25" s="145">
        <f t="shared" si="1"/>
        <v>0</v>
      </c>
    </row>
    <row r="26" spans="1:7" ht="15.75" x14ac:dyDescent="0.25">
      <c r="A26" s="144">
        <v>44547</v>
      </c>
      <c r="B26" s="142" t="s">
        <v>356</v>
      </c>
      <c r="C26" s="79">
        <v>106234.58</v>
      </c>
      <c r="D26" s="144"/>
      <c r="E26" s="79"/>
      <c r="F26" s="145">
        <f t="shared" si="1"/>
        <v>106234.58</v>
      </c>
    </row>
    <row r="27" spans="1:7" ht="15.75" x14ac:dyDescent="0.25">
      <c r="A27" s="144">
        <v>44547</v>
      </c>
      <c r="B27" s="142" t="s">
        <v>357</v>
      </c>
      <c r="C27" s="79">
        <v>122077.45</v>
      </c>
      <c r="D27" s="144"/>
      <c r="E27" s="79"/>
      <c r="F27" s="145">
        <f t="shared" si="1"/>
        <v>228312.03</v>
      </c>
    </row>
    <row r="28" spans="1:7" ht="15.75" x14ac:dyDescent="0.25">
      <c r="A28" s="144">
        <v>44548</v>
      </c>
      <c r="B28" s="142" t="s">
        <v>358</v>
      </c>
      <c r="C28" s="79">
        <v>94508.2</v>
      </c>
      <c r="D28" s="144"/>
      <c r="E28" s="79"/>
      <c r="F28" s="145">
        <f t="shared" si="1"/>
        <v>322820.23</v>
      </c>
    </row>
    <row r="29" spans="1:7" ht="15.75" x14ac:dyDescent="0.25">
      <c r="A29" s="144">
        <v>44550</v>
      </c>
      <c r="B29" s="142" t="s">
        <v>359</v>
      </c>
      <c r="C29" s="79">
        <v>29292</v>
      </c>
      <c r="D29" s="144"/>
      <c r="E29" s="79"/>
      <c r="F29" s="145">
        <f t="shared" si="1"/>
        <v>352112.23</v>
      </c>
    </row>
    <row r="30" spans="1:7" ht="15.75" x14ac:dyDescent="0.25">
      <c r="A30" s="144">
        <v>44550</v>
      </c>
      <c r="B30" s="142" t="s">
        <v>360</v>
      </c>
      <c r="C30" s="79">
        <v>12831.14</v>
      </c>
      <c r="D30" s="144"/>
      <c r="E30" s="79"/>
      <c r="F30" s="145">
        <f t="shared" si="1"/>
        <v>364943.37</v>
      </c>
    </row>
    <row r="31" spans="1:7" ht="15.75" x14ac:dyDescent="0.25">
      <c r="A31" s="144">
        <v>44551</v>
      </c>
      <c r="B31" s="142" t="s">
        <v>361</v>
      </c>
      <c r="C31" s="79">
        <v>147762.1</v>
      </c>
      <c r="D31" s="144"/>
      <c r="E31" s="79"/>
      <c r="F31" s="145">
        <f t="shared" si="1"/>
        <v>512705.47</v>
      </c>
    </row>
    <row r="32" spans="1:7" ht="18.75" x14ac:dyDescent="0.3">
      <c r="A32" s="144">
        <v>44551</v>
      </c>
      <c r="B32" s="142" t="s">
        <v>362</v>
      </c>
      <c r="C32" s="79">
        <v>35170.1</v>
      </c>
      <c r="D32" s="144"/>
      <c r="E32" s="79"/>
      <c r="F32" s="145">
        <f t="shared" si="1"/>
        <v>547875.56999999995</v>
      </c>
      <c r="G32" s="146"/>
    </row>
    <row r="33" spans="1:6" ht="15.75" x14ac:dyDescent="0.25">
      <c r="A33" s="144">
        <v>44552</v>
      </c>
      <c r="B33" s="142" t="s">
        <v>363</v>
      </c>
      <c r="C33" s="79">
        <v>99249.75</v>
      </c>
      <c r="D33" s="144"/>
      <c r="E33" s="79"/>
      <c r="F33" s="145">
        <f t="shared" si="1"/>
        <v>647125.31999999995</v>
      </c>
    </row>
    <row r="34" spans="1:6" ht="15.75" x14ac:dyDescent="0.25">
      <c r="A34" s="144">
        <v>44553</v>
      </c>
      <c r="B34" s="142" t="s">
        <v>364</v>
      </c>
      <c r="C34" s="79">
        <v>27407.599999999999</v>
      </c>
      <c r="D34" s="144"/>
      <c r="E34" s="79"/>
      <c r="F34" s="145">
        <f t="shared" si="1"/>
        <v>674532.91999999993</v>
      </c>
    </row>
    <row r="35" spans="1:6" ht="15.75" x14ac:dyDescent="0.25">
      <c r="A35" s="144">
        <v>44553</v>
      </c>
      <c r="B35" s="142" t="s">
        <v>365</v>
      </c>
      <c r="C35" s="79">
        <v>39549.300000000003</v>
      </c>
      <c r="D35" s="144"/>
      <c r="E35" s="79"/>
      <c r="F35" s="145">
        <f t="shared" si="1"/>
        <v>714082.22</v>
      </c>
    </row>
    <row r="36" spans="1:6" ht="15.75" x14ac:dyDescent="0.25">
      <c r="A36" s="144">
        <v>44554</v>
      </c>
      <c r="B36" s="142" t="s">
        <v>366</v>
      </c>
      <c r="C36" s="79">
        <v>12137.4</v>
      </c>
      <c r="D36" s="144"/>
      <c r="E36" s="79"/>
      <c r="F36" s="145">
        <f t="shared" si="1"/>
        <v>726219.62</v>
      </c>
    </row>
    <row r="37" spans="1:6" ht="15.75" x14ac:dyDescent="0.25">
      <c r="A37" s="144">
        <v>44554</v>
      </c>
      <c r="B37" s="142" t="s">
        <v>367</v>
      </c>
      <c r="C37" s="79">
        <v>38625</v>
      </c>
      <c r="D37" s="144"/>
      <c r="E37" s="79"/>
      <c r="F37" s="145">
        <f t="shared" si="1"/>
        <v>764844.62</v>
      </c>
    </row>
    <row r="38" spans="1:6" ht="15.75" x14ac:dyDescent="0.25">
      <c r="A38" s="144">
        <v>44554</v>
      </c>
      <c r="B38" s="142" t="s">
        <v>368</v>
      </c>
      <c r="C38" s="79">
        <v>7894.8</v>
      </c>
      <c r="D38" s="144"/>
      <c r="E38" s="79"/>
      <c r="F38" s="145">
        <f t="shared" si="1"/>
        <v>772739.42</v>
      </c>
    </row>
    <row r="39" spans="1:6" ht="15.75" x14ac:dyDescent="0.25">
      <c r="A39" s="144">
        <v>44554</v>
      </c>
      <c r="B39" s="142" t="s">
        <v>369</v>
      </c>
      <c r="C39" s="79">
        <v>12400</v>
      </c>
      <c r="D39" s="144">
        <v>44554</v>
      </c>
      <c r="E39" s="79">
        <v>785139.42</v>
      </c>
      <c r="F39" s="145">
        <f t="shared" si="1"/>
        <v>0</v>
      </c>
    </row>
    <row r="40" spans="1:6" ht="15.75" x14ac:dyDescent="0.25">
      <c r="A40" s="144">
        <v>44554</v>
      </c>
      <c r="B40" s="142" t="s">
        <v>370</v>
      </c>
      <c r="C40" s="79">
        <v>141299</v>
      </c>
      <c r="D40" s="144"/>
      <c r="E40" s="79"/>
      <c r="F40" s="145">
        <f t="shared" si="1"/>
        <v>141299</v>
      </c>
    </row>
    <row r="41" spans="1:6" ht="15.75" x14ac:dyDescent="0.25">
      <c r="A41" s="144">
        <v>44556</v>
      </c>
      <c r="B41" s="142" t="s">
        <v>371</v>
      </c>
      <c r="C41" s="79">
        <v>105673.2</v>
      </c>
      <c r="D41" s="144"/>
      <c r="E41" s="79"/>
      <c r="F41" s="145">
        <f t="shared" si="1"/>
        <v>246972.2</v>
      </c>
    </row>
    <row r="42" spans="1:6" ht="15.75" x14ac:dyDescent="0.25">
      <c r="A42" s="144">
        <v>44556</v>
      </c>
      <c r="B42" s="142" t="s">
        <v>372</v>
      </c>
      <c r="C42" s="79">
        <v>76624.800000000003</v>
      </c>
      <c r="D42" s="144"/>
      <c r="E42" s="79"/>
      <c r="F42" s="145">
        <f t="shared" si="1"/>
        <v>323597</v>
      </c>
    </row>
    <row r="43" spans="1:6" ht="15.75" x14ac:dyDescent="0.25">
      <c r="A43" s="144">
        <v>44558</v>
      </c>
      <c r="B43" s="142" t="s">
        <v>373</v>
      </c>
      <c r="C43" s="79">
        <v>37453.699999999997</v>
      </c>
      <c r="D43" s="144"/>
      <c r="E43" s="79"/>
      <c r="F43" s="145">
        <f t="shared" si="1"/>
        <v>361050.7</v>
      </c>
    </row>
    <row r="44" spans="1:6" ht="15.75" x14ac:dyDescent="0.25">
      <c r="A44" s="144">
        <v>44558</v>
      </c>
      <c r="B44" s="142" t="s">
        <v>374</v>
      </c>
      <c r="C44" s="79">
        <v>67804.800000000003</v>
      </c>
      <c r="D44" s="144"/>
      <c r="E44" s="79"/>
      <c r="F44" s="145">
        <f t="shared" si="1"/>
        <v>428855.5</v>
      </c>
    </row>
    <row r="45" spans="1:6" ht="15.75" x14ac:dyDescent="0.25">
      <c r="A45" s="144">
        <v>44559</v>
      </c>
      <c r="B45" s="142" t="s">
        <v>375</v>
      </c>
      <c r="C45" s="79">
        <v>19518.400000000001</v>
      </c>
      <c r="D45" s="144"/>
      <c r="E45" s="79"/>
      <c r="F45" s="145">
        <f t="shared" si="1"/>
        <v>448373.9</v>
      </c>
    </row>
    <row r="46" spans="1:6" ht="15.75" x14ac:dyDescent="0.25">
      <c r="A46" s="144">
        <v>44560</v>
      </c>
      <c r="B46" s="142" t="s">
        <v>376</v>
      </c>
      <c r="C46" s="79">
        <v>128090.52</v>
      </c>
      <c r="D46" s="144">
        <v>44564</v>
      </c>
      <c r="E46" s="79">
        <v>537944.96</v>
      </c>
      <c r="F46" s="145">
        <f t="shared" si="1"/>
        <v>38519.460000000079</v>
      </c>
    </row>
    <row r="47" spans="1:6" ht="15.75" x14ac:dyDescent="0.25">
      <c r="A47" s="144">
        <v>44560</v>
      </c>
      <c r="B47" s="142" t="s">
        <v>377</v>
      </c>
      <c r="C47" s="79">
        <v>1934.4</v>
      </c>
      <c r="D47" s="144"/>
      <c r="E47" s="79"/>
      <c r="F47" s="145">
        <f t="shared" si="1"/>
        <v>40453.860000000081</v>
      </c>
    </row>
    <row r="48" spans="1:6" ht="15.75" x14ac:dyDescent="0.25">
      <c r="A48" s="144">
        <v>44560</v>
      </c>
      <c r="B48" s="142" t="s">
        <v>378</v>
      </c>
      <c r="C48" s="79">
        <v>21726</v>
      </c>
      <c r="D48" s="144"/>
      <c r="E48" s="79"/>
      <c r="F48" s="145">
        <f t="shared" si="1"/>
        <v>62179.860000000081</v>
      </c>
    </row>
    <row r="49" spans="1:6" ht="15.75" x14ac:dyDescent="0.25">
      <c r="A49" s="144">
        <v>44561</v>
      </c>
      <c r="B49" s="142" t="s">
        <v>379</v>
      </c>
      <c r="C49" s="79">
        <v>60528.7</v>
      </c>
      <c r="D49" s="144"/>
      <c r="E49" s="79"/>
      <c r="F49" s="145">
        <f t="shared" si="1"/>
        <v>122708.56000000008</v>
      </c>
    </row>
    <row r="50" spans="1:6" ht="15.75" x14ac:dyDescent="0.25">
      <c r="A50" s="144">
        <v>44561</v>
      </c>
      <c r="B50" s="142" t="s">
        <v>380</v>
      </c>
      <c r="C50" s="79">
        <v>39068.25</v>
      </c>
      <c r="D50" s="144"/>
      <c r="E50" s="79"/>
      <c r="F50" s="145">
        <f t="shared" si="1"/>
        <v>161776.81000000008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161776.81000000008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161776.81000000008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161776.81000000008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161776.81000000008</v>
      </c>
    </row>
    <row r="55" spans="1:6" ht="15.75" x14ac:dyDescent="0.25">
      <c r="A55" s="144"/>
      <c r="B55" s="142"/>
      <c r="C55" s="79"/>
      <c r="D55" s="144"/>
      <c r="E55" s="79"/>
      <c r="F55" s="145">
        <f t="shared" si="1"/>
        <v>161776.81000000008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161776.81000000008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161776.81000000008</v>
      </c>
    </row>
    <row r="58" spans="1:6" ht="15.75" x14ac:dyDescent="0.25">
      <c r="A58" s="141"/>
      <c r="B58" s="142"/>
      <c r="C58" s="79"/>
      <c r="D58" s="144"/>
      <c r="E58" s="79"/>
      <c r="F58" s="145">
        <f t="shared" si="1"/>
        <v>161776.81000000008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161776.81000000008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161776.81000000008</v>
      </c>
    </row>
    <row r="61" spans="1:6" ht="15.75" x14ac:dyDescent="0.25">
      <c r="A61" s="144"/>
      <c r="B61" s="142"/>
      <c r="C61" s="79"/>
      <c r="D61" s="144"/>
      <c r="E61" s="79"/>
      <c r="F61" s="145">
        <f t="shared" si="1"/>
        <v>161776.81000000008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161776.81000000008</v>
      </c>
    </row>
    <row r="63" spans="1:6" ht="15.75" x14ac:dyDescent="0.25">
      <c r="A63" s="141"/>
      <c r="B63" s="142"/>
      <c r="C63" s="79"/>
      <c r="D63" s="144"/>
      <c r="E63" s="79"/>
      <c r="F63" s="145">
        <f t="shared" si="1"/>
        <v>161776.81000000008</v>
      </c>
    </row>
    <row r="64" spans="1:6" ht="16.5" thickBot="1" x14ac:dyDescent="0.3">
      <c r="A64" s="141"/>
      <c r="B64" s="142"/>
      <c r="C64" s="79"/>
      <c r="D64" s="144"/>
      <c r="E64" s="79"/>
      <c r="F64" s="145">
        <f t="shared" si="1"/>
        <v>161776.81000000008</v>
      </c>
    </row>
    <row r="65" spans="1:6" ht="15" hidden="1" customHeight="1" x14ac:dyDescent="0.25">
      <c r="A65" s="188"/>
      <c r="B65" s="185"/>
      <c r="C65" s="186"/>
      <c r="D65" s="144"/>
      <c r="E65" s="79"/>
      <c r="F65" s="145">
        <f t="shared" si="1"/>
        <v>161776.81000000008</v>
      </c>
    </row>
    <row r="66" spans="1:6" ht="16.5" hidden="1" thickBot="1" x14ac:dyDescent="0.3">
      <c r="A66" s="188"/>
      <c r="B66" s="185"/>
      <c r="C66" s="186"/>
      <c r="D66" s="144"/>
      <c r="E66" s="79"/>
      <c r="F66" s="145">
        <f t="shared" si="1"/>
        <v>161776.81000000008</v>
      </c>
    </row>
    <row r="67" spans="1:6" ht="16.5" hidden="1" thickBot="1" x14ac:dyDescent="0.3">
      <c r="A67" s="188"/>
      <c r="B67" s="185"/>
      <c r="C67" s="186"/>
      <c r="D67" s="144"/>
      <c r="E67" s="79"/>
      <c r="F67" s="145">
        <f t="shared" si="1"/>
        <v>161776.81000000008</v>
      </c>
    </row>
    <row r="68" spans="1:6" ht="16.5" hidden="1" thickBot="1" x14ac:dyDescent="0.3">
      <c r="A68" s="188"/>
      <c r="B68" s="185"/>
      <c r="C68" s="186"/>
      <c r="D68" s="144"/>
      <c r="E68" s="79"/>
      <c r="F68" s="145">
        <f t="shared" si="1"/>
        <v>161776.81000000008</v>
      </c>
    </row>
    <row r="69" spans="1:6" ht="16.5" hidden="1" thickBot="1" x14ac:dyDescent="0.3">
      <c r="A69" s="188"/>
      <c r="B69" s="185"/>
      <c r="C69" s="186"/>
      <c r="D69" s="144"/>
      <c r="E69" s="79"/>
      <c r="F69" s="145">
        <f t="shared" si="1"/>
        <v>161776.81000000008</v>
      </c>
    </row>
    <row r="70" spans="1:6" ht="16.5" hidden="1" thickBot="1" x14ac:dyDescent="0.3">
      <c r="A70" s="188"/>
      <c r="B70" s="185"/>
      <c r="C70" s="186"/>
      <c r="D70" s="144"/>
      <c r="E70" s="79"/>
      <c r="F70" s="145">
        <f t="shared" si="1"/>
        <v>161776.81000000008</v>
      </c>
    </row>
    <row r="71" spans="1:6" ht="16.5" hidden="1" thickBot="1" x14ac:dyDescent="0.3">
      <c r="A71" s="188"/>
      <c r="B71" s="185"/>
      <c r="C71" s="186"/>
      <c r="D71" s="144"/>
      <c r="E71" s="79"/>
      <c r="F71" s="145">
        <f t="shared" si="1"/>
        <v>161776.81000000008</v>
      </c>
    </row>
    <row r="72" spans="1:6" ht="16.5" hidden="1" thickBot="1" x14ac:dyDescent="0.3">
      <c r="A72" s="188"/>
      <c r="B72" s="185"/>
      <c r="C72" s="186"/>
      <c r="D72" s="144"/>
      <c r="E72" s="79"/>
      <c r="F72" s="145">
        <f t="shared" si="1"/>
        <v>161776.81000000008</v>
      </c>
    </row>
    <row r="73" spans="1:6" ht="16.5" hidden="1" thickBot="1" x14ac:dyDescent="0.3">
      <c r="A73" s="188"/>
      <c r="B73" s="185"/>
      <c r="C73" s="186"/>
      <c r="D73" s="144"/>
      <c r="E73" s="79"/>
      <c r="F73" s="145">
        <f t="shared" si="1"/>
        <v>161776.81000000008</v>
      </c>
    </row>
    <row r="74" spans="1:6" ht="16.5" hidden="1" thickBot="1" x14ac:dyDescent="0.3">
      <c r="A74" s="188"/>
      <c r="B74" s="185"/>
      <c r="C74" s="186"/>
      <c r="D74" s="144"/>
      <c r="E74" s="79"/>
      <c r="F74" s="145">
        <f t="shared" si="1"/>
        <v>161776.81000000008</v>
      </c>
    </row>
    <row r="75" spans="1:6" ht="16.5" hidden="1" thickBot="1" x14ac:dyDescent="0.3">
      <c r="A75" s="188"/>
      <c r="B75" s="185"/>
      <c r="C75" s="186"/>
      <c r="D75" s="144"/>
      <c r="E75" s="79"/>
      <c r="F75" s="145">
        <f t="shared" ref="F75:F99" si="2">F74+C75-E75</f>
        <v>161776.81000000008</v>
      </c>
    </row>
    <row r="76" spans="1:6" ht="16.5" hidden="1" thickBot="1" x14ac:dyDescent="0.3">
      <c r="A76" s="188"/>
      <c r="B76" s="185"/>
      <c r="C76" s="186"/>
      <c r="D76" s="144"/>
      <c r="E76" s="79"/>
      <c r="F76" s="145">
        <f t="shared" si="2"/>
        <v>161776.81000000008</v>
      </c>
    </row>
    <row r="77" spans="1:6" ht="16.5" hidden="1" thickBot="1" x14ac:dyDescent="0.3">
      <c r="A77" s="188"/>
      <c r="B77" s="185"/>
      <c r="C77" s="186"/>
      <c r="D77" s="144"/>
      <c r="E77" s="79"/>
      <c r="F77" s="145">
        <f t="shared" si="2"/>
        <v>161776.81000000008</v>
      </c>
    </row>
    <row r="78" spans="1:6" ht="16.5" hidden="1" thickBot="1" x14ac:dyDescent="0.3">
      <c r="A78" s="188"/>
      <c r="B78" s="185"/>
      <c r="C78" s="186"/>
      <c r="D78" s="144"/>
      <c r="E78" s="79"/>
      <c r="F78" s="145">
        <f t="shared" si="2"/>
        <v>161776.81000000008</v>
      </c>
    </row>
    <row r="79" spans="1:6" ht="16.5" hidden="1" thickBot="1" x14ac:dyDescent="0.3">
      <c r="A79" s="188"/>
      <c r="B79" s="185"/>
      <c r="C79" s="186"/>
      <c r="D79" s="144"/>
      <c r="E79" s="79"/>
      <c r="F79" s="145">
        <f t="shared" si="2"/>
        <v>161776.81000000008</v>
      </c>
    </row>
    <row r="80" spans="1:6" ht="16.5" hidden="1" thickBot="1" x14ac:dyDescent="0.3">
      <c r="A80" s="188"/>
      <c r="B80" s="185"/>
      <c r="C80" s="186"/>
      <c r="D80" s="144"/>
      <c r="E80" s="79"/>
      <c r="F80" s="145">
        <f t="shared" si="2"/>
        <v>161776.81000000008</v>
      </c>
    </row>
    <row r="81" spans="1:6" ht="16.5" hidden="1" thickBot="1" x14ac:dyDescent="0.3">
      <c r="A81" s="188"/>
      <c r="B81" s="185"/>
      <c r="C81" s="186"/>
      <c r="D81" s="144"/>
      <c r="E81" s="79"/>
      <c r="F81" s="145">
        <f t="shared" si="2"/>
        <v>161776.81000000008</v>
      </c>
    </row>
    <row r="82" spans="1:6" ht="16.5" hidden="1" thickBot="1" x14ac:dyDescent="0.3">
      <c r="A82" s="188"/>
      <c r="B82" s="185"/>
      <c r="C82" s="186"/>
      <c r="D82" s="144"/>
      <c r="E82" s="79"/>
      <c r="F82" s="145">
        <f t="shared" si="2"/>
        <v>161776.81000000008</v>
      </c>
    </row>
    <row r="83" spans="1:6" ht="16.5" hidden="1" thickBot="1" x14ac:dyDescent="0.3">
      <c r="A83" s="189"/>
      <c r="B83" s="190"/>
      <c r="C83" s="191"/>
      <c r="D83" s="147"/>
      <c r="E83" s="83"/>
      <c r="F83" s="145">
        <f t="shared" si="2"/>
        <v>161776.81000000008</v>
      </c>
    </row>
    <row r="84" spans="1:6" ht="16.5" hidden="1" thickBot="1" x14ac:dyDescent="0.3">
      <c r="A84" s="189"/>
      <c r="B84" s="190"/>
      <c r="C84" s="191"/>
      <c r="D84" s="147"/>
      <c r="E84" s="83"/>
      <c r="F84" s="145">
        <f t="shared" si="2"/>
        <v>161776.81000000008</v>
      </c>
    </row>
    <row r="85" spans="1:6" ht="16.5" hidden="1" thickBot="1" x14ac:dyDescent="0.3">
      <c r="A85" s="189"/>
      <c r="B85" s="190"/>
      <c r="C85" s="191"/>
      <c r="D85" s="147"/>
      <c r="E85" s="83"/>
      <c r="F85" s="145">
        <f t="shared" si="2"/>
        <v>161776.81000000008</v>
      </c>
    </row>
    <row r="86" spans="1:6" ht="16.5" hidden="1" thickBot="1" x14ac:dyDescent="0.3">
      <c r="A86" s="189"/>
      <c r="B86" s="190"/>
      <c r="C86" s="191"/>
      <c r="D86" s="147"/>
      <c r="E86" s="83"/>
      <c r="F86" s="145">
        <f t="shared" si="2"/>
        <v>161776.81000000008</v>
      </c>
    </row>
    <row r="87" spans="1:6" ht="16.5" hidden="1" thickBot="1" x14ac:dyDescent="0.3">
      <c r="A87" s="189"/>
      <c r="B87" s="190"/>
      <c r="C87" s="191"/>
      <c r="D87" s="147"/>
      <c r="E87" s="83"/>
      <c r="F87" s="145">
        <f t="shared" si="2"/>
        <v>161776.81000000008</v>
      </c>
    </row>
    <row r="88" spans="1:6" ht="16.5" hidden="1" thickBot="1" x14ac:dyDescent="0.3">
      <c r="A88" s="189"/>
      <c r="B88" s="190"/>
      <c r="C88" s="191"/>
      <c r="D88" s="147"/>
      <c r="E88" s="83"/>
      <c r="F88" s="145">
        <f t="shared" si="2"/>
        <v>161776.81000000008</v>
      </c>
    </row>
    <row r="89" spans="1:6" ht="16.5" hidden="1" thickBot="1" x14ac:dyDescent="0.3">
      <c r="A89" s="188"/>
      <c r="B89" s="185"/>
      <c r="C89" s="186"/>
      <c r="D89" s="148"/>
      <c r="E89" s="79"/>
      <c r="F89" s="145">
        <f t="shared" si="2"/>
        <v>161776.81000000008</v>
      </c>
    </row>
    <row r="90" spans="1:6" ht="16.5" hidden="1" thickBot="1" x14ac:dyDescent="0.3">
      <c r="A90" s="188"/>
      <c r="B90" s="185"/>
      <c r="C90" s="186"/>
      <c r="D90" s="148"/>
      <c r="E90" s="79"/>
      <c r="F90" s="145">
        <f t="shared" si="2"/>
        <v>161776.81000000008</v>
      </c>
    </row>
    <row r="91" spans="1:6" ht="16.5" hidden="1" thickBot="1" x14ac:dyDescent="0.3">
      <c r="A91" s="188"/>
      <c r="B91" s="185"/>
      <c r="C91" s="186"/>
      <c r="D91" s="148"/>
      <c r="E91" s="79"/>
      <c r="F91" s="145">
        <f t="shared" si="2"/>
        <v>161776.81000000008</v>
      </c>
    </row>
    <row r="92" spans="1:6" ht="16.5" hidden="1" thickBot="1" x14ac:dyDescent="0.3">
      <c r="A92" s="188"/>
      <c r="B92" s="185"/>
      <c r="C92" s="186"/>
      <c r="D92" s="148"/>
      <c r="E92" s="79"/>
      <c r="F92" s="145">
        <f t="shared" si="2"/>
        <v>161776.81000000008</v>
      </c>
    </row>
    <row r="93" spans="1:6" ht="16.5" hidden="1" thickBot="1" x14ac:dyDescent="0.3">
      <c r="A93" s="188"/>
      <c r="B93" s="185"/>
      <c r="C93" s="186"/>
      <c r="D93" s="148"/>
      <c r="E93" s="79"/>
      <c r="F93" s="145">
        <f t="shared" si="2"/>
        <v>161776.81000000008</v>
      </c>
    </row>
    <row r="94" spans="1:6" ht="16.5" hidden="1" thickBot="1" x14ac:dyDescent="0.3">
      <c r="A94" s="188"/>
      <c r="B94" s="185"/>
      <c r="C94" s="186"/>
      <c r="D94" s="148"/>
      <c r="E94" s="79"/>
      <c r="F94" s="145">
        <f t="shared" si="2"/>
        <v>161776.81000000008</v>
      </c>
    </row>
    <row r="95" spans="1:6" ht="16.5" hidden="1" thickBot="1" x14ac:dyDescent="0.3">
      <c r="A95" s="188"/>
      <c r="B95" s="185"/>
      <c r="C95" s="186"/>
      <c r="D95" s="148"/>
      <c r="E95" s="79"/>
      <c r="F95" s="145">
        <f t="shared" si="2"/>
        <v>161776.81000000008</v>
      </c>
    </row>
    <row r="96" spans="1:6" ht="16.5" hidden="1" thickBot="1" x14ac:dyDescent="0.3">
      <c r="A96" s="188"/>
      <c r="B96" s="185"/>
      <c r="C96" s="186"/>
      <c r="D96" s="148"/>
      <c r="E96" s="79"/>
      <c r="F96" s="145">
        <f t="shared" si="2"/>
        <v>161776.81000000008</v>
      </c>
    </row>
    <row r="97" spans="1:6" ht="16.5" hidden="1" thickBot="1" x14ac:dyDescent="0.3">
      <c r="A97" s="188"/>
      <c r="B97" s="185"/>
      <c r="C97" s="186"/>
      <c r="D97" s="148"/>
      <c r="E97" s="79"/>
      <c r="F97" s="145">
        <f t="shared" si="2"/>
        <v>161776.81000000008</v>
      </c>
    </row>
    <row r="98" spans="1:6" ht="16.5" hidden="1" thickBot="1" x14ac:dyDescent="0.3">
      <c r="A98" s="188"/>
      <c r="B98" s="185"/>
      <c r="C98" s="186"/>
      <c r="D98" s="148"/>
      <c r="E98" s="79"/>
      <c r="F98" s="145">
        <f t="shared" si="2"/>
        <v>161776.81000000008</v>
      </c>
    </row>
    <row r="99" spans="1:6" ht="16.5" hidden="1" thickBot="1" x14ac:dyDescent="0.3">
      <c r="A99" s="234"/>
      <c r="B99" s="235"/>
      <c r="C99" s="83">
        <v>0</v>
      </c>
      <c r="D99" s="236"/>
      <c r="E99" s="83"/>
      <c r="F99" s="145">
        <f t="shared" si="2"/>
        <v>161776.81000000008</v>
      </c>
    </row>
    <row r="100" spans="1:6" ht="19.5" thickBot="1" x14ac:dyDescent="0.35">
      <c r="A100" s="237"/>
      <c r="B100" s="238"/>
      <c r="C100" s="239">
        <f>SUM(C5:C99)</f>
        <v>2173697.9</v>
      </c>
      <c r="D100" s="240"/>
      <c r="E100" s="241">
        <f>SUM(E5:E99)</f>
        <v>2057367.25</v>
      </c>
      <c r="F100" s="153">
        <f>F99</f>
        <v>161776.81000000008</v>
      </c>
    </row>
    <row r="101" spans="1:6" x14ac:dyDescent="0.25">
      <c r="B101" s="104"/>
      <c r="C101" s="3"/>
      <c r="D101" s="103"/>
      <c r="E101" s="4"/>
      <c r="F101" s="3"/>
    </row>
    <row r="102" spans="1:6" x14ac:dyDescent="0.25">
      <c r="B102" s="104"/>
      <c r="C102" s="3"/>
      <c r="D102" s="103"/>
      <c r="E102" s="4"/>
      <c r="F102" s="3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A120"/>
      <c r="B120" s="20"/>
      <c r="D120" s="20"/>
      <c r="E120"/>
      <c r="F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5" x14ac:dyDescent="0.25">
      <c r="B129" s="20"/>
      <c r="D129" s="20"/>
      <c r="E129"/>
    </row>
    <row r="130" spans="2:5" x14ac:dyDescent="0.25">
      <c r="B130" s="20"/>
    </row>
    <row r="131" spans="2:5" x14ac:dyDescent="0.25">
      <c r="B131" s="20"/>
    </row>
    <row r="132" spans="2:5" x14ac:dyDescent="0.25">
      <c r="B132" s="20"/>
      <c r="D132" s="20"/>
    </row>
    <row r="133" spans="2:5" x14ac:dyDescent="0.25">
      <c r="B133" s="20"/>
    </row>
    <row r="134" spans="2:5" x14ac:dyDescent="0.25">
      <c r="B134" s="20"/>
    </row>
    <row r="135" spans="2:5" x14ac:dyDescent="0.25">
      <c r="B135" s="20"/>
    </row>
    <row r="136" spans="2:5" ht="18.75" x14ac:dyDescent="0.3">
      <c r="C136" s="15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308" t="s">
        <v>31</v>
      </c>
      <c r="C45" s="309"/>
      <c r="D45" s="309"/>
      <c r="E45" s="310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305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306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306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306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306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306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306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307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75"/>
      <c r="C1" s="284" t="s">
        <v>112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18" ht="16.5" thickBot="1" x14ac:dyDescent="0.3">
      <c r="B2" s="276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7" t="s">
        <v>0</v>
      </c>
      <c r="C3" s="278"/>
      <c r="D3" s="10"/>
      <c r="E3" s="11"/>
      <c r="F3" s="11"/>
      <c r="H3" s="279" t="s">
        <v>18</v>
      </c>
      <c r="I3" s="279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80" t="s">
        <v>2</v>
      </c>
      <c r="F4" s="281"/>
      <c r="H4" s="282" t="s">
        <v>3</v>
      </c>
      <c r="I4" s="283"/>
      <c r="J4" s="17"/>
      <c r="K4" s="18"/>
      <c r="L4" s="19"/>
      <c r="M4" s="159" t="s">
        <v>20</v>
      </c>
      <c r="N4" s="160" t="s">
        <v>29</v>
      </c>
      <c r="P4" s="269" t="s">
        <v>28</v>
      </c>
      <c r="Q4" s="270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71">
        <f>SUM(M5:M38)</f>
        <v>1464441</v>
      </c>
      <c r="N39" s="273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72"/>
      <c r="N40" s="274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95" t="s">
        <v>8</v>
      </c>
      <c r="I52" s="296"/>
      <c r="J52" s="106"/>
      <c r="K52" s="297">
        <f>I50+L50</f>
        <v>69642.26999999999</v>
      </c>
      <c r="L52" s="298"/>
      <c r="M52" s="286">
        <f>N39+M39</f>
        <v>1517935</v>
      </c>
      <c r="N52" s="287"/>
      <c r="P52" s="83"/>
      <c r="Q52" s="9"/>
    </row>
    <row r="53" spans="1:17" ht="15.75" x14ac:dyDescent="0.25">
      <c r="D53" s="299" t="s">
        <v>9</v>
      </c>
      <c r="E53" s="299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300" t="s">
        <v>10</v>
      </c>
      <c r="E54" s="300"/>
      <c r="F54" s="102">
        <v>-1424333.95</v>
      </c>
      <c r="I54" s="301" t="s">
        <v>11</v>
      </c>
      <c r="J54" s="302"/>
      <c r="K54" s="303">
        <f>F56+F57+F58</f>
        <v>222140.17000000004</v>
      </c>
      <c r="L54" s="304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88">
        <f>-C4</f>
        <v>-136234.76999999999</v>
      </c>
      <c r="L56" s="289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90" t="s">
        <v>16</v>
      </c>
      <c r="E58" s="291"/>
      <c r="F58" s="121">
        <v>134848.89000000001</v>
      </c>
      <c r="I58" s="292" t="s">
        <v>17</v>
      </c>
      <c r="J58" s="293"/>
      <c r="K58" s="294">
        <f>K54+K56</f>
        <v>85905.400000000052</v>
      </c>
      <c r="L58" s="294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37" workbookViewId="0">
      <selection activeCell="F50" sqref="F50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75"/>
      <c r="C1" s="284" t="s">
        <v>185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18" ht="16.5" thickBot="1" x14ac:dyDescent="0.3">
      <c r="B2" s="276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7" t="s">
        <v>0</v>
      </c>
      <c r="C3" s="278"/>
      <c r="D3" s="10"/>
      <c r="E3" s="11"/>
      <c r="F3" s="11"/>
      <c r="H3" s="279" t="s">
        <v>18</v>
      </c>
      <c r="I3" s="279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80" t="s">
        <v>2</v>
      </c>
      <c r="F4" s="281"/>
      <c r="H4" s="282" t="s">
        <v>3</v>
      </c>
      <c r="I4" s="283"/>
      <c r="J4" s="17"/>
      <c r="K4" s="18"/>
      <c r="L4" s="19"/>
      <c r="M4" s="159" t="s">
        <v>20</v>
      </c>
      <c r="N4" s="160" t="s">
        <v>29</v>
      </c>
      <c r="P4" s="269" t="s">
        <v>28</v>
      </c>
      <c r="Q4" s="270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71">
        <f>SUM(M5:M39)</f>
        <v>1982944.5</v>
      </c>
      <c r="N40" s="273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72"/>
      <c r="N41" s="274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95" t="s">
        <v>8</v>
      </c>
      <c r="I53" s="296"/>
      <c r="J53" s="106"/>
      <c r="K53" s="297">
        <f>I51+L51</f>
        <v>104139.16999999998</v>
      </c>
      <c r="L53" s="298"/>
      <c r="M53" s="286">
        <f>N40+M40</f>
        <v>2044992.5</v>
      </c>
      <c r="N53" s="287"/>
      <c r="P53" s="83"/>
      <c r="Q53" s="9"/>
    </row>
    <row r="54" spans="1:17" ht="15.75" x14ac:dyDescent="0.25">
      <c r="D54" s="299" t="s">
        <v>9</v>
      </c>
      <c r="E54" s="299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300" t="s">
        <v>10</v>
      </c>
      <c r="E55" s="300"/>
      <c r="F55" s="102">
        <v>-2026393.17</v>
      </c>
      <c r="I55" s="301" t="s">
        <v>11</v>
      </c>
      <c r="J55" s="302"/>
      <c r="K55" s="303">
        <f>F57+F58+F59</f>
        <v>178711.56000000014</v>
      </c>
      <c r="L55" s="304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88">
        <f>-C4</f>
        <v>-134848.89000000001</v>
      </c>
      <c r="L57" s="289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90" t="s">
        <v>16</v>
      </c>
      <c r="E59" s="291"/>
      <c r="F59" s="121">
        <v>192529.4</v>
      </c>
      <c r="I59" s="292" t="s">
        <v>17</v>
      </c>
      <c r="J59" s="293"/>
      <c r="K59" s="294">
        <f>K55+K57</f>
        <v>43862.670000000129</v>
      </c>
      <c r="L59" s="294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0" workbookViewId="0">
      <selection activeCell="E59" sqref="E59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44">
        <v>44503</v>
      </c>
      <c r="B50" s="142" t="s">
        <v>253</v>
      </c>
      <c r="C50" s="79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44">
        <v>44503</v>
      </c>
      <c r="B51" s="142" t="s">
        <v>254</v>
      </c>
      <c r="C51" s="79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79">
        <v>0</v>
      </c>
      <c r="D52" s="144"/>
      <c r="E52" s="79"/>
      <c r="F52" s="145">
        <f t="shared" si="0"/>
        <v>90153.1</v>
      </c>
    </row>
    <row r="53" spans="1:6" ht="15.75" x14ac:dyDescent="0.25">
      <c r="A53" s="144">
        <v>44504</v>
      </c>
      <c r="B53" s="142" t="s">
        <v>256</v>
      </c>
      <c r="C53" s="79">
        <v>2750</v>
      </c>
      <c r="D53" s="144"/>
      <c r="E53" s="79"/>
      <c r="F53" s="145">
        <f t="shared" si="0"/>
        <v>92903.1</v>
      </c>
    </row>
    <row r="54" spans="1:6" ht="15.75" x14ac:dyDescent="0.25">
      <c r="A54" s="141">
        <v>44504</v>
      </c>
      <c r="B54" s="142" t="s">
        <v>257</v>
      </c>
      <c r="C54" s="79">
        <v>5694</v>
      </c>
      <c r="D54" s="144"/>
      <c r="E54" s="79"/>
      <c r="F54" s="145">
        <f t="shared" si="0"/>
        <v>98597.1</v>
      </c>
    </row>
    <row r="55" spans="1:6" ht="15.75" x14ac:dyDescent="0.25">
      <c r="A55" s="141">
        <v>44505</v>
      </c>
      <c r="B55" s="142" t="s">
        <v>258</v>
      </c>
      <c r="C55" s="79">
        <v>97618</v>
      </c>
      <c r="D55" s="144"/>
      <c r="E55" s="79"/>
      <c r="F55" s="145">
        <f t="shared" si="0"/>
        <v>196215.1</v>
      </c>
    </row>
    <row r="56" spans="1:6" ht="15.75" x14ac:dyDescent="0.25">
      <c r="A56" s="141">
        <v>44505</v>
      </c>
      <c r="B56" s="142" t="s">
        <v>259</v>
      </c>
      <c r="C56" s="79">
        <v>6914</v>
      </c>
      <c r="D56" s="144"/>
      <c r="E56" s="79"/>
      <c r="F56" s="145">
        <f t="shared" si="0"/>
        <v>203129.1</v>
      </c>
    </row>
    <row r="57" spans="1:6" ht="15.75" x14ac:dyDescent="0.25">
      <c r="A57" s="144">
        <v>44506</v>
      </c>
      <c r="B57" s="142" t="s">
        <v>260</v>
      </c>
      <c r="C57" s="79">
        <v>96936.9</v>
      </c>
      <c r="D57" s="144"/>
      <c r="E57" s="79"/>
      <c r="F57" s="145">
        <f t="shared" si="0"/>
        <v>300066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306643.20000000001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>
        <v>44512</v>
      </c>
      <c r="E59" s="79">
        <v>307249.2</v>
      </c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2021287.17</v>
      </c>
      <c r="D98" s="103"/>
      <c r="E98" s="3">
        <f>SUM(E3:E97)</f>
        <v>2021287.17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opLeftCell="E34" workbookViewId="0">
      <selection activeCell="O59" sqref="O59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75"/>
      <c r="C1" s="284" t="s">
        <v>266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18" ht="16.5" thickBot="1" x14ac:dyDescent="0.3">
      <c r="B2" s="276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7" t="s">
        <v>0</v>
      </c>
      <c r="C3" s="278"/>
      <c r="D3" s="10"/>
      <c r="E3" s="11"/>
      <c r="F3" s="11"/>
      <c r="H3" s="279" t="s">
        <v>18</v>
      </c>
      <c r="I3" s="279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80" t="s">
        <v>2</v>
      </c>
      <c r="F4" s="281"/>
      <c r="H4" s="282" t="s">
        <v>3</v>
      </c>
      <c r="I4" s="283"/>
      <c r="J4" s="17"/>
      <c r="K4" s="18"/>
      <c r="L4" s="19"/>
      <c r="M4" s="159" t="s">
        <v>20</v>
      </c>
      <c r="N4" s="160" t="s">
        <v>29</v>
      </c>
      <c r="P4" s="269" t="s">
        <v>28</v>
      </c>
      <c r="Q4" s="270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>
        <v>0</v>
      </c>
      <c r="D20" s="31"/>
      <c r="E20" s="24">
        <v>44523</v>
      </c>
      <c r="F20" s="25">
        <v>38803</v>
      </c>
      <c r="G20" s="26"/>
      <c r="H20" s="32">
        <v>44523</v>
      </c>
      <c r="I20" s="28">
        <v>15</v>
      </c>
      <c r="J20" s="33"/>
      <c r="K20" s="50"/>
      <c r="L20" s="43"/>
      <c r="M20" s="138">
        <f>20000+18790</f>
        <v>38790</v>
      </c>
      <c r="N20" s="30">
        <v>0</v>
      </c>
      <c r="P20" s="83">
        <f t="shared" si="0"/>
        <v>38805</v>
      </c>
      <c r="Q20" s="9">
        <f t="shared" si="1"/>
        <v>2</v>
      </c>
      <c r="R20" s="26"/>
    </row>
    <row r="21" spans="1:19" ht="18" thickBot="1" x14ac:dyDescent="0.35">
      <c r="A21" s="20"/>
      <c r="B21" s="21">
        <v>44524</v>
      </c>
      <c r="C21" s="22">
        <v>4880</v>
      </c>
      <c r="D21" s="31" t="s">
        <v>267</v>
      </c>
      <c r="E21" s="24">
        <v>44524</v>
      </c>
      <c r="F21" s="25">
        <v>41176</v>
      </c>
      <c r="G21" s="26"/>
      <c r="H21" s="32">
        <v>44524</v>
      </c>
      <c r="I21" s="28">
        <v>35</v>
      </c>
      <c r="J21" s="33"/>
      <c r="K21" s="177"/>
      <c r="L21" s="43"/>
      <c r="M21" s="138">
        <f>20000+16260</f>
        <v>36260</v>
      </c>
      <c r="N21" s="30">
        <v>0</v>
      </c>
      <c r="P21" s="83">
        <f t="shared" si="0"/>
        <v>41175</v>
      </c>
      <c r="Q21" s="217">
        <f t="shared" si="1"/>
        <v>-1</v>
      </c>
      <c r="R21" s="26"/>
    </row>
    <row r="22" spans="1:19" ht="18" thickBot="1" x14ac:dyDescent="0.35">
      <c r="A22" s="20"/>
      <c r="B22" s="21">
        <v>44525</v>
      </c>
      <c r="C22" s="22">
        <v>0</v>
      </c>
      <c r="D22" s="31"/>
      <c r="E22" s="24">
        <v>44525</v>
      </c>
      <c r="F22" s="25">
        <v>62185</v>
      </c>
      <c r="G22" s="26"/>
      <c r="H22" s="32">
        <v>44525</v>
      </c>
      <c r="I22" s="28">
        <v>15</v>
      </c>
      <c r="J22" s="33"/>
      <c r="K22" s="51"/>
      <c r="L22" s="52"/>
      <c r="M22" s="138">
        <f>25000+37170</f>
        <v>62170</v>
      </c>
      <c r="N22" s="30">
        <v>0</v>
      </c>
      <c r="P22" s="83">
        <f t="shared" si="0"/>
        <v>62185</v>
      </c>
      <c r="Q22" s="136">
        <f t="shared" si="1"/>
        <v>0</v>
      </c>
      <c r="R22" s="26"/>
    </row>
    <row r="23" spans="1:19" ht="18" thickBot="1" x14ac:dyDescent="0.35">
      <c r="A23" s="20"/>
      <c r="B23" s="21">
        <v>44526</v>
      </c>
      <c r="C23" s="22">
        <v>11</v>
      </c>
      <c r="D23" s="31" t="s">
        <v>293</v>
      </c>
      <c r="E23" s="24">
        <v>44526</v>
      </c>
      <c r="F23" s="25">
        <v>76130</v>
      </c>
      <c r="G23" s="26"/>
      <c r="H23" s="32">
        <v>44526</v>
      </c>
      <c r="I23" s="28">
        <v>68</v>
      </c>
      <c r="J23" s="53"/>
      <c r="K23" s="54"/>
      <c r="L23" s="43"/>
      <c r="M23" s="138">
        <f>40000+35720</f>
        <v>75720</v>
      </c>
      <c r="N23" s="30">
        <v>325</v>
      </c>
      <c r="P23" s="83">
        <f t="shared" si="0"/>
        <v>76124</v>
      </c>
      <c r="Q23" s="217">
        <f t="shared" si="1"/>
        <v>-6</v>
      </c>
      <c r="R23" s="26"/>
    </row>
    <row r="24" spans="1:19" ht="18" thickBot="1" x14ac:dyDescent="0.35">
      <c r="A24" s="20"/>
      <c r="B24" s="21">
        <v>44527</v>
      </c>
      <c r="C24" s="22">
        <v>2932</v>
      </c>
      <c r="D24" s="31" t="s">
        <v>294</v>
      </c>
      <c r="E24" s="24">
        <v>44527</v>
      </c>
      <c r="F24" s="25">
        <v>81104</v>
      </c>
      <c r="G24" s="26"/>
      <c r="H24" s="32">
        <v>44527</v>
      </c>
      <c r="I24" s="28">
        <v>64</v>
      </c>
      <c r="J24" s="55">
        <v>44527</v>
      </c>
      <c r="K24" s="56" t="s">
        <v>295</v>
      </c>
      <c r="L24" s="57">
        <v>11641.34</v>
      </c>
      <c r="M24" s="138">
        <f>25000+32590</f>
        <v>57590</v>
      </c>
      <c r="N24" s="30">
        <v>8884</v>
      </c>
      <c r="P24" s="83">
        <f t="shared" si="0"/>
        <v>81111.34</v>
      </c>
      <c r="Q24" s="136">
        <f t="shared" si="1"/>
        <v>7.3399999999965075</v>
      </c>
      <c r="R24" s="26"/>
    </row>
    <row r="25" spans="1:19" ht="18" thickBot="1" x14ac:dyDescent="0.35">
      <c r="A25" s="20"/>
      <c r="B25" s="21">
        <v>44528</v>
      </c>
      <c r="C25" s="22">
        <v>0</v>
      </c>
      <c r="D25" s="31"/>
      <c r="E25" s="24">
        <v>44528</v>
      </c>
      <c r="F25" s="25">
        <v>114169</v>
      </c>
      <c r="G25" s="26"/>
      <c r="H25" s="32">
        <v>44528</v>
      </c>
      <c r="I25" s="28">
        <v>0</v>
      </c>
      <c r="J25" s="58"/>
      <c r="K25" s="59"/>
      <c r="L25" s="60"/>
      <c r="M25" s="138">
        <f>100000+14124</f>
        <v>114124</v>
      </c>
      <c r="N25" s="30">
        <v>45</v>
      </c>
      <c r="O25" t="s">
        <v>4</v>
      </c>
      <c r="P25" s="83">
        <f t="shared" si="0"/>
        <v>114169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>
        <v>0</v>
      </c>
      <c r="D26" s="31"/>
      <c r="E26" s="24">
        <v>44529</v>
      </c>
      <c r="F26" s="25">
        <v>57148</v>
      </c>
      <c r="G26" s="26"/>
      <c r="H26" s="32">
        <v>44529</v>
      </c>
      <c r="I26" s="28">
        <v>43</v>
      </c>
      <c r="J26" s="33"/>
      <c r="K26" s="56"/>
      <c r="L26" s="43"/>
      <c r="M26" s="138">
        <f>24705+32400</f>
        <v>57105</v>
      </c>
      <c r="N26" s="30">
        <v>0</v>
      </c>
      <c r="P26" s="83">
        <f t="shared" si="0"/>
        <v>57148</v>
      </c>
      <c r="Q26" s="136">
        <f t="shared" si="1"/>
        <v>0</v>
      </c>
      <c r="R26" s="51"/>
    </row>
    <row r="27" spans="1:19" ht="18" thickBot="1" x14ac:dyDescent="0.35">
      <c r="A27" s="20"/>
      <c r="B27" s="21">
        <v>44530</v>
      </c>
      <c r="C27" s="22">
        <v>0</v>
      </c>
      <c r="D27" s="38"/>
      <c r="E27" s="24">
        <v>44530</v>
      </c>
      <c r="F27" s="25">
        <v>60332</v>
      </c>
      <c r="G27" s="26"/>
      <c r="H27" s="32">
        <v>44530</v>
      </c>
      <c r="I27" s="28">
        <v>3010</v>
      </c>
      <c r="J27" s="61"/>
      <c r="K27" s="62"/>
      <c r="L27" s="60"/>
      <c r="M27" s="138">
        <f>20000+37065</f>
        <v>57065</v>
      </c>
      <c r="N27" s="30">
        <v>257</v>
      </c>
      <c r="P27" s="83">
        <f t="shared" si="0"/>
        <v>60332</v>
      </c>
      <c r="Q27" s="136">
        <f t="shared" si="1"/>
        <v>0</v>
      </c>
      <c r="R27" s="26"/>
    </row>
    <row r="28" spans="1:19" ht="18" thickBot="1" x14ac:dyDescent="0.35">
      <c r="A28" s="20"/>
      <c r="B28" s="21">
        <v>44531</v>
      </c>
      <c r="C28" s="22">
        <v>0</v>
      </c>
      <c r="D28" s="38"/>
      <c r="E28" s="24">
        <v>44531</v>
      </c>
      <c r="F28" s="25">
        <v>56883</v>
      </c>
      <c r="G28" s="26"/>
      <c r="H28" s="32">
        <v>44531</v>
      </c>
      <c r="I28" s="28">
        <v>440</v>
      </c>
      <c r="J28" s="63"/>
      <c r="K28" s="34"/>
      <c r="L28" s="60"/>
      <c r="M28" s="138">
        <f>25000+31450</f>
        <v>56450</v>
      </c>
      <c r="N28" s="30">
        <v>0</v>
      </c>
      <c r="P28" s="83">
        <f t="shared" si="0"/>
        <v>56890</v>
      </c>
      <c r="Q28" s="136">
        <f t="shared" si="1"/>
        <v>7</v>
      </c>
      <c r="R28" s="26"/>
    </row>
    <row r="29" spans="1:19" ht="18" thickBot="1" x14ac:dyDescent="0.35">
      <c r="A29" s="20"/>
      <c r="B29" s="21">
        <v>44532</v>
      </c>
      <c r="C29" s="22">
        <v>0</v>
      </c>
      <c r="D29" s="64"/>
      <c r="E29" s="24">
        <v>44532</v>
      </c>
      <c r="F29" s="25">
        <v>57610</v>
      </c>
      <c r="G29" s="26"/>
      <c r="H29" s="32">
        <v>44532</v>
      </c>
      <c r="I29" s="28">
        <v>15</v>
      </c>
      <c r="J29" s="65"/>
      <c r="K29" s="66"/>
      <c r="L29" s="60"/>
      <c r="M29" s="138">
        <f>15000+42590</f>
        <v>57590</v>
      </c>
      <c r="N29" s="30">
        <v>0</v>
      </c>
      <c r="P29" s="83">
        <f t="shared" si="0"/>
        <v>57605</v>
      </c>
      <c r="Q29" s="136">
        <f t="shared" si="1"/>
        <v>-5</v>
      </c>
      <c r="R29" s="26"/>
    </row>
    <row r="30" spans="1:19" ht="18" thickBot="1" x14ac:dyDescent="0.35">
      <c r="A30" s="20"/>
      <c r="B30" s="21">
        <v>44533</v>
      </c>
      <c r="C30" s="22">
        <v>10946</v>
      </c>
      <c r="D30" s="64" t="s">
        <v>296</v>
      </c>
      <c r="E30" s="24">
        <v>44533</v>
      </c>
      <c r="F30" s="25">
        <v>96473</v>
      </c>
      <c r="G30" s="26"/>
      <c r="H30" s="32">
        <v>44533</v>
      </c>
      <c r="I30" s="28">
        <v>68</v>
      </c>
      <c r="J30" s="67"/>
      <c r="K30" s="68"/>
      <c r="L30" s="69"/>
      <c r="M30" s="138">
        <f>30000+55460</f>
        <v>85460</v>
      </c>
      <c r="N30" s="30">
        <v>0</v>
      </c>
      <c r="P30" s="83">
        <f t="shared" si="0"/>
        <v>96474</v>
      </c>
      <c r="Q30" s="9">
        <f t="shared" si="1"/>
        <v>1</v>
      </c>
      <c r="R30" s="26"/>
    </row>
    <row r="31" spans="1:19" ht="18" thickBot="1" x14ac:dyDescent="0.35">
      <c r="A31" s="20"/>
      <c r="B31" s="21">
        <v>44534</v>
      </c>
      <c r="C31" s="22">
        <v>5370</v>
      </c>
      <c r="D31" s="70" t="s">
        <v>297</v>
      </c>
      <c r="E31" s="24">
        <v>44534</v>
      </c>
      <c r="F31" s="25">
        <v>89958</v>
      </c>
      <c r="G31" s="26"/>
      <c r="H31" s="32">
        <v>44534</v>
      </c>
      <c r="I31" s="28">
        <v>30</v>
      </c>
      <c r="J31" s="67">
        <v>44534</v>
      </c>
      <c r="K31" s="71" t="s">
        <v>298</v>
      </c>
      <c r="L31" s="72">
        <v>9900</v>
      </c>
      <c r="M31" s="138">
        <f>35000+32120</f>
        <v>67120</v>
      </c>
      <c r="N31" s="30">
        <v>7539</v>
      </c>
      <c r="P31" s="83">
        <f t="shared" si="0"/>
        <v>89959</v>
      </c>
      <c r="Q31" s="9">
        <f t="shared" si="1"/>
        <v>1</v>
      </c>
      <c r="R31" s="26"/>
    </row>
    <row r="32" spans="1:19" ht="18" thickBot="1" x14ac:dyDescent="0.35">
      <c r="A32" s="20"/>
      <c r="B32" s="21">
        <v>44535</v>
      </c>
      <c r="C32" s="22">
        <v>0</v>
      </c>
      <c r="D32" s="73"/>
      <c r="E32" s="24">
        <v>44535</v>
      </c>
      <c r="F32" s="25">
        <v>127971</v>
      </c>
      <c r="G32" s="26"/>
      <c r="H32" s="32">
        <v>44535</v>
      </c>
      <c r="I32" s="28">
        <v>10</v>
      </c>
      <c r="J32" s="67"/>
      <c r="K32" s="68"/>
      <c r="L32" s="69"/>
      <c r="M32" s="138">
        <f>60000+50000+17482</f>
        <v>127482</v>
      </c>
      <c r="N32" s="30">
        <v>479</v>
      </c>
      <c r="P32" s="83">
        <f t="shared" si="0"/>
        <v>127971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>
        <v>44516</v>
      </c>
      <c r="K33" s="71" t="s">
        <v>381</v>
      </c>
      <c r="L33" s="75">
        <v>1289.4000000000001</v>
      </c>
      <c r="M33" s="138">
        <v>0</v>
      </c>
      <c r="N33" s="30">
        <v>0</v>
      </c>
      <c r="P33" s="83">
        <f t="shared" si="0"/>
        <v>1289.4000000000001</v>
      </c>
      <c r="Q33" s="9">
        <f t="shared" si="1"/>
        <v>1289.4000000000001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>
        <v>44530</v>
      </c>
      <c r="K34" s="215" t="s">
        <v>382</v>
      </c>
      <c r="L34" s="76">
        <v>1392</v>
      </c>
      <c r="M34" s="138">
        <v>0</v>
      </c>
      <c r="N34" s="30">
        <v>0</v>
      </c>
      <c r="P34" s="83">
        <f t="shared" si="0"/>
        <v>1392</v>
      </c>
      <c r="Q34" s="9">
        <f t="shared" si="1"/>
        <v>1392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>
        <v>44532</v>
      </c>
      <c r="K35" s="71" t="s">
        <v>184</v>
      </c>
      <c r="L35" s="75">
        <v>1055.9100000000001</v>
      </c>
      <c r="M35" s="138">
        <v>0</v>
      </c>
      <c r="N35" s="30">
        <v>0</v>
      </c>
      <c r="P35" s="83">
        <f t="shared" si="0"/>
        <v>1055.9100000000001</v>
      </c>
      <c r="Q35" s="9">
        <f t="shared" si="1"/>
        <v>1055.9100000000001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 t="s">
        <v>383</v>
      </c>
      <c r="L36" s="76">
        <v>1963.78</v>
      </c>
      <c r="M36" s="138">
        <v>0</v>
      </c>
      <c r="N36" s="30">
        <v>0</v>
      </c>
      <c r="P36" s="83">
        <f t="shared" si="0"/>
        <v>1963.78</v>
      </c>
      <c r="Q36" s="9">
        <f t="shared" si="1"/>
        <v>1963.78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71">
        <f>SUM(M5:M39)</f>
        <v>1799884</v>
      </c>
      <c r="N40" s="273">
        <f>SUM(N5:N39)</f>
        <v>38112</v>
      </c>
      <c r="P40" s="83">
        <f>SUM(P5:P39)</f>
        <v>1962220.7699999998</v>
      </c>
      <c r="Q40" s="222">
        <f>SUM(Q5:Q38)</f>
        <v>13706.769999999993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72"/>
      <c r="N41" s="274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62023</v>
      </c>
      <c r="D51" s="94"/>
      <c r="E51" s="95" t="s">
        <v>5</v>
      </c>
      <c r="F51" s="96">
        <f>SUM(F5:F50)</f>
        <v>1948514</v>
      </c>
      <c r="G51" s="94"/>
      <c r="H51" s="97" t="s">
        <v>6</v>
      </c>
      <c r="I51" s="98">
        <f>SUM(I5:I50)</f>
        <v>9518</v>
      </c>
      <c r="J51" s="99"/>
      <c r="K51" s="100" t="s">
        <v>7</v>
      </c>
      <c r="L51" s="101">
        <f>SUM(L5:L50)</f>
        <v>52683.770000000004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95" t="s">
        <v>8</v>
      </c>
      <c r="I53" s="296"/>
      <c r="J53" s="106"/>
      <c r="K53" s="297">
        <f>I51+L51</f>
        <v>62201.770000000004</v>
      </c>
      <c r="L53" s="298"/>
      <c r="M53" s="286">
        <f>N40+M40</f>
        <v>1837996</v>
      </c>
      <c r="N53" s="287"/>
      <c r="P53" s="83"/>
      <c r="Q53" s="9"/>
    </row>
    <row r="54" spans="1:17" ht="15.75" x14ac:dyDescent="0.25">
      <c r="D54" s="299" t="s">
        <v>9</v>
      </c>
      <c r="E54" s="299"/>
      <c r="F54" s="107">
        <f>F51-K53-C51</f>
        <v>1824289.23</v>
      </c>
      <c r="I54" s="108"/>
      <c r="J54" s="109"/>
      <c r="P54" s="83"/>
      <c r="Q54" s="9"/>
    </row>
    <row r="55" spans="1:17" ht="18.75" x14ac:dyDescent="0.3">
      <c r="D55" s="300" t="s">
        <v>10</v>
      </c>
      <c r="E55" s="300"/>
      <c r="F55" s="102">
        <v>-1751881.55</v>
      </c>
      <c r="I55" s="301" t="s">
        <v>11</v>
      </c>
      <c r="J55" s="302"/>
      <c r="K55" s="303">
        <f>F57+F58+F59</f>
        <v>270906.23999999993</v>
      </c>
      <c r="L55" s="304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72407.679999999935</v>
      </c>
      <c r="H57" s="20"/>
      <c r="I57" s="116" t="s">
        <v>13</v>
      </c>
      <c r="J57" s="117"/>
      <c r="K57" s="288">
        <f>-C4</f>
        <v>-192529.4</v>
      </c>
      <c r="L57" s="289"/>
    </row>
    <row r="58" spans="1:17" ht="16.5" thickBot="1" x14ac:dyDescent="0.3">
      <c r="D58" s="118" t="s">
        <v>14</v>
      </c>
      <c r="E58" s="104" t="s">
        <v>15</v>
      </c>
      <c r="F58" s="119">
        <v>8806</v>
      </c>
    </row>
    <row r="59" spans="1:17" ht="20.25" thickTop="1" thickBot="1" x14ac:dyDescent="0.35">
      <c r="C59" s="120">
        <v>44535</v>
      </c>
      <c r="D59" s="290" t="s">
        <v>16</v>
      </c>
      <c r="E59" s="291"/>
      <c r="F59" s="121">
        <v>189692.56</v>
      </c>
      <c r="I59" s="292" t="s">
        <v>17</v>
      </c>
      <c r="J59" s="293"/>
      <c r="K59" s="294">
        <f>K55+K57</f>
        <v>78376.839999999938</v>
      </c>
      <c r="L59" s="294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5"/>
  <sheetViews>
    <sheetView topLeftCell="A19" workbookViewId="0">
      <selection activeCell="C47" sqref="C47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24" t="s">
        <v>22</v>
      </c>
      <c r="B2" s="225" t="s">
        <v>23</v>
      </c>
      <c r="C2" s="231" t="s">
        <v>24</v>
      </c>
      <c r="D2" s="225" t="s">
        <v>25</v>
      </c>
      <c r="E2" s="231" t="s">
        <v>26</v>
      </c>
      <c r="F2" s="232" t="s">
        <v>24</v>
      </c>
    </row>
    <row r="3" spans="1:7" ht="18.75" x14ac:dyDescent="0.3">
      <c r="A3" s="230">
        <v>44507</v>
      </c>
      <c r="B3" s="201" t="s">
        <v>255</v>
      </c>
      <c r="C3" s="202">
        <v>5106</v>
      </c>
      <c r="D3" s="201"/>
      <c r="E3" s="202"/>
      <c r="F3" s="143">
        <f>C3-E3</f>
        <v>5106</v>
      </c>
    </row>
    <row r="4" spans="1:7" ht="18.75" x14ac:dyDescent="0.3">
      <c r="A4" s="141">
        <v>44508</v>
      </c>
      <c r="B4" s="179" t="s">
        <v>279</v>
      </c>
      <c r="C4" s="79">
        <v>21631.48</v>
      </c>
      <c r="D4" s="203"/>
      <c r="E4" s="79"/>
      <c r="F4" s="143">
        <f>C4-E4+F3</f>
        <v>26737.48</v>
      </c>
    </row>
    <row r="5" spans="1:7" ht="18.75" x14ac:dyDescent="0.3">
      <c r="A5" s="141">
        <v>44510</v>
      </c>
      <c r="B5" s="179" t="s">
        <v>280</v>
      </c>
      <c r="C5" s="79">
        <v>95563.8</v>
      </c>
      <c r="D5" s="203"/>
      <c r="E5" s="79"/>
      <c r="F5" s="145">
        <f>F4+C5-E5</f>
        <v>122301.28</v>
      </c>
      <c r="G5" s="146"/>
    </row>
    <row r="6" spans="1:7" ht="15.75" x14ac:dyDescent="0.25">
      <c r="A6" s="141">
        <v>44510</v>
      </c>
      <c r="B6" s="179" t="s">
        <v>281</v>
      </c>
      <c r="C6" s="79">
        <v>23572.27</v>
      </c>
      <c r="D6" s="221">
        <v>44512</v>
      </c>
      <c r="E6" s="79">
        <v>140767.54999999999</v>
      </c>
      <c r="F6" s="145">
        <f t="shared" ref="F6" si="0">F5+C6-E6</f>
        <v>5106</v>
      </c>
    </row>
    <row r="7" spans="1:7" ht="15.75" x14ac:dyDescent="0.25">
      <c r="A7" s="141">
        <v>44510</v>
      </c>
      <c r="B7" s="179" t="s">
        <v>282</v>
      </c>
      <c r="C7" s="79">
        <v>504</v>
      </c>
      <c r="D7" s="203"/>
      <c r="E7" s="79"/>
      <c r="F7" s="145">
        <f>F6+C7-E7</f>
        <v>5610</v>
      </c>
    </row>
    <row r="8" spans="1:7" ht="15.75" x14ac:dyDescent="0.25">
      <c r="A8" s="141">
        <v>44511</v>
      </c>
      <c r="B8" s="179" t="s">
        <v>283</v>
      </c>
      <c r="C8" s="79">
        <v>40140.839999999997</v>
      </c>
      <c r="D8" s="203"/>
      <c r="E8" s="79"/>
      <c r="F8" s="145">
        <f>F7+C8-E8</f>
        <v>45750.84</v>
      </c>
    </row>
    <row r="9" spans="1:7" ht="15.75" x14ac:dyDescent="0.25">
      <c r="A9" s="141">
        <v>44513</v>
      </c>
      <c r="B9" s="179" t="s">
        <v>284</v>
      </c>
      <c r="C9" s="79">
        <v>123754.4</v>
      </c>
      <c r="D9" s="203"/>
      <c r="E9" s="79"/>
      <c r="F9" s="145">
        <f>F8+C9-E9</f>
        <v>169505.24</v>
      </c>
    </row>
    <row r="10" spans="1:7" ht="15.75" x14ac:dyDescent="0.25">
      <c r="A10" s="141">
        <v>44513</v>
      </c>
      <c r="B10" s="179" t="s">
        <v>285</v>
      </c>
      <c r="C10" s="79">
        <v>27945.79</v>
      </c>
      <c r="D10" s="203"/>
      <c r="E10" s="79"/>
      <c r="F10" s="145">
        <f t="shared" ref="F10:F73" si="1">F9+C10-E10</f>
        <v>197451.03</v>
      </c>
    </row>
    <row r="11" spans="1:7" ht="18.75" x14ac:dyDescent="0.3">
      <c r="A11" s="141">
        <v>44513</v>
      </c>
      <c r="B11" s="179" t="s">
        <v>286</v>
      </c>
      <c r="C11" s="79">
        <v>4108</v>
      </c>
      <c r="D11" s="203"/>
      <c r="E11" s="79"/>
      <c r="F11" s="145">
        <f t="shared" si="1"/>
        <v>201559.03</v>
      </c>
      <c r="G11" s="146"/>
    </row>
    <row r="12" spans="1:7" ht="15.75" x14ac:dyDescent="0.25">
      <c r="A12" s="141">
        <v>44513</v>
      </c>
      <c r="B12" s="142" t="s">
        <v>287</v>
      </c>
      <c r="C12" s="79">
        <v>20972</v>
      </c>
      <c r="D12" s="144"/>
      <c r="E12" s="79"/>
      <c r="F12" s="145">
        <f t="shared" si="1"/>
        <v>222531.03</v>
      </c>
    </row>
    <row r="13" spans="1:7" ht="15.75" x14ac:dyDescent="0.25">
      <c r="A13" s="144">
        <v>44515</v>
      </c>
      <c r="B13" s="142" t="s">
        <v>288</v>
      </c>
      <c r="C13" s="79">
        <v>41874.6</v>
      </c>
      <c r="D13" s="144"/>
      <c r="E13" s="79"/>
      <c r="F13" s="145">
        <f t="shared" si="1"/>
        <v>264405.63</v>
      </c>
    </row>
    <row r="14" spans="1:7" ht="15.75" x14ac:dyDescent="0.25">
      <c r="A14" s="144">
        <v>15111</v>
      </c>
      <c r="B14" s="142" t="s">
        <v>289</v>
      </c>
      <c r="C14" s="79">
        <v>10480.799999999999</v>
      </c>
      <c r="D14" s="144"/>
      <c r="E14" s="79"/>
      <c r="F14" s="145">
        <f t="shared" si="1"/>
        <v>274886.43</v>
      </c>
    </row>
    <row r="15" spans="1:7" ht="15.75" x14ac:dyDescent="0.25">
      <c r="A15" s="144">
        <v>44516</v>
      </c>
      <c r="B15" s="142" t="s">
        <v>290</v>
      </c>
      <c r="C15" s="79">
        <v>3918.4</v>
      </c>
      <c r="D15" s="144"/>
      <c r="E15" s="79"/>
      <c r="F15" s="145">
        <f t="shared" si="1"/>
        <v>278804.83</v>
      </c>
    </row>
    <row r="16" spans="1:7" ht="15.75" x14ac:dyDescent="0.25">
      <c r="A16" s="144">
        <v>44516</v>
      </c>
      <c r="B16" s="142" t="s">
        <v>291</v>
      </c>
      <c r="C16" s="79">
        <v>107092.1</v>
      </c>
      <c r="D16" s="144"/>
      <c r="E16" s="79"/>
      <c r="F16" s="145">
        <f t="shared" si="1"/>
        <v>385896.93000000005</v>
      </c>
    </row>
    <row r="17" spans="1:7" ht="15.75" x14ac:dyDescent="0.25">
      <c r="A17" s="144">
        <v>44517</v>
      </c>
      <c r="B17" s="142" t="s">
        <v>292</v>
      </c>
      <c r="C17" s="79">
        <v>84186.4</v>
      </c>
      <c r="D17" s="144">
        <v>44519</v>
      </c>
      <c r="E17" s="79">
        <v>385896.93</v>
      </c>
      <c r="F17" s="145">
        <f t="shared" si="1"/>
        <v>84186.400000000081</v>
      </c>
    </row>
    <row r="18" spans="1:7" ht="15.75" x14ac:dyDescent="0.25">
      <c r="A18" s="144">
        <v>44518</v>
      </c>
      <c r="B18" s="142" t="s">
        <v>299</v>
      </c>
      <c r="C18" s="79">
        <v>54533.45</v>
      </c>
      <c r="D18" s="144"/>
      <c r="E18" s="79"/>
      <c r="F18" s="145">
        <f t="shared" si="1"/>
        <v>138719.85000000009</v>
      </c>
    </row>
    <row r="19" spans="1:7" ht="15.75" x14ac:dyDescent="0.25">
      <c r="A19" s="144">
        <v>44518</v>
      </c>
      <c r="B19" s="142" t="s">
        <v>300</v>
      </c>
      <c r="C19" s="79">
        <v>7216.2</v>
      </c>
      <c r="D19" s="144"/>
      <c r="E19" s="79"/>
      <c r="F19" s="145">
        <f t="shared" si="1"/>
        <v>145936.0500000001</v>
      </c>
    </row>
    <row r="20" spans="1:7" ht="15.75" x14ac:dyDescent="0.25">
      <c r="A20" s="144">
        <v>44519</v>
      </c>
      <c r="B20" s="142" t="s">
        <v>301</v>
      </c>
      <c r="C20" s="79">
        <v>62008.36</v>
      </c>
      <c r="D20" s="144"/>
      <c r="E20" s="79"/>
      <c r="F20" s="145">
        <f t="shared" si="1"/>
        <v>207944.41000000009</v>
      </c>
    </row>
    <row r="21" spans="1:7" ht="15.75" x14ac:dyDescent="0.25">
      <c r="A21" s="144">
        <v>44519</v>
      </c>
      <c r="B21" s="142" t="s">
        <v>302</v>
      </c>
      <c r="C21" s="79">
        <v>10455</v>
      </c>
      <c r="D21" s="144"/>
      <c r="E21" s="79"/>
      <c r="F21" s="145">
        <f t="shared" si="1"/>
        <v>218399.41000000009</v>
      </c>
    </row>
    <row r="22" spans="1:7" ht="15.75" x14ac:dyDescent="0.25">
      <c r="A22" s="144">
        <v>44519</v>
      </c>
      <c r="B22" s="142" t="s">
        <v>303</v>
      </c>
      <c r="C22" s="79">
        <v>34732.5</v>
      </c>
      <c r="D22" s="144"/>
      <c r="E22" s="79"/>
      <c r="F22" s="145">
        <f t="shared" si="1"/>
        <v>253131.91000000009</v>
      </c>
    </row>
    <row r="23" spans="1:7" ht="18.75" x14ac:dyDescent="0.3">
      <c r="A23" s="144">
        <v>44520</v>
      </c>
      <c r="B23" s="142" t="s">
        <v>304</v>
      </c>
      <c r="C23" s="79">
        <v>71484.81</v>
      </c>
      <c r="D23" s="144"/>
      <c r="E23" s="79"/>
      <c r="F23" s="145">
        <f t="shared" si="1"/>
        <v>324616.72000000009</v>
      </c>
      <c r="G23" s="146"/>
    </row>
    <row r="24" spans="1:7" ht="15.75" x14ac:dyDescent="0.25">
      <c r="A24" s="144">
        <v>44522</v>
      </c>
      <c r="B24" s="142" t="s">
        <v>305</v>
      </c>
      <c r="C24" s="79">
        <v>29617.200000000001</v>
      </c>
      <c r="D24" s="144"/>
      <c r="E24" s="79"/>
      <c r="F24" s="145">
        <f t="shared" si="1"/>
        <v>354233.9200000001</v>
      </c>
    </row>
    <row r="25" spans="1:7" ht="15.75" x14ac:dyDescent="0.25">
      <c r="A25" s="144">
        <v>44523</v>
      </c>
      <c r="B25" s="142" t="s">
        <v>306</v>
      </c>
      <c r="C25" s="79">
        <v>95359.5</v>
      </c>
      <c r="D25" s="144"/>
      <c r="E25" s="79"/>
      <c r="F25" s="145">
        <f t="shared" si="1"/>
        <v>449593.4200000001</v>
      </c>
    </row>
    <row r="26" spans="1:7" ht="15.75" x14ac:dyDescent="0.25">
      <c r="A26" s="144">
        <v>44524</v>
      </c>
      <c r="B26" s="142" t="s">
        <v>307</v>
      </c>
      <c r="C26" s="79">
        <v>48460.6</v>
      </c>
      <c r="D26" s="144">
        <v>44526</v>
      </c>
      <c r="E26" s="79">
        <v>454699.42</v>
      </c>
      <c r="F26" s="145">
        <f t="shared" si="1"/>
        <v>43354.600000000093</v>
      </c>
    </row>
    <row r="27" spans="1:7" ht="15.75" x14ac:dyDescent="0.25">
      <c r="A27" s="144">
        <v>44524</v>
      </c>
      <c r="B27" s="142" t="s">
        <v>308</v>
      </c>
      <c r="C27" s="79">
        <v>7008</v>
      </c>
      <c r="D27" s="144"/>
      <c r="E27" s="79"/>
      <c r="F27" s="145">
        <f t="shared" si="1"/>
        <v>50362.600000000093</v>
      </c>
    </row>
    <row r="28" spans="1:7" ht="15.75" x14ac:dyDescent="0.25">
      <c r="A28" s="144">
        <v>44526</v>
      </c>
      <c r="B28" s="142" t="s">
        <v>309</v>
      </c>
      <c r="C28" s="79">
        <v>107660.79</v>
      </c>
      <c r="D28" s="144"/>
      <c r="E28" s="79"/>
      <c r="F28" s="145">
        <f t="shared" si="1"/>
        <v>158023.39000000007</v>
      </c>
    </row>
    <row r="29" spans="1:7" ht="15.75" x14ac:dyDescent="0.25">
      <c r="A29" s="144">
        <v>44526</v>
      </c>
      <c r="B29" s="142" t="s">
        <v>310</v>
      </c>
      <c r="C29" s="79">
        <v>11072.4</v>
      </c>
      <c r="D29" s="144"/>
      <c r="E29" s="79"/>
      <c r="F29" s="145">
        <f t="shared" si="1"/>
        <v>169095.79000000007</v>
      </c>
    </row>
    <row r="30" spans="1:7" ht="15.75" x14ac:dyDescent="0.25">
      <c r="A30" s="144">
        <v>44527</v>
      </c>
      <c r="B30" s="142" t="s">
        <v>311</v>
      </c>
      <c r="C30" s="79">
        <v>56836.33</v>
      </c>
      <c r="D30" s="144"/>
      <c r="E30" s="79"/>
      <c r="F30" s="145">
        <f t="shared" si="1"/>
        <v>225932.12000000005</v>
      </c>
    </row>
    <row r="31" spans="1:7" ht="18.75" x14ac:dyDescent="0.3">
      <c r="A31" s="144">
        <v>44528</v>
      </c>
      <c r="B31" s="142" t="s">
        <v>312</v>
      </c>
      <c r="C31" s="79">
        <v>7691.4</v>
      </c>
      <c r="D31" s="144"/>
      <c r="E31" s="79"/>
      <c r="F31" s="145">
        <f t="shared" si="1"/>
        <v>233623.52000000005</v>
      </c>
      <c r="G31" s="146"/>
    </row>
    <row r="32" spans="1:7" ht="15.75" x14ac:dyDescent="0.25">
      <c r="A32" s="144">
        <v>44529</v>
      </c>
      <c r="B32" s="142" t="s">
        <v>313</v>
      </c>
      <c r="C32" s="79">
        <v>100226.7</v>
      </c>
      <c r="D32" s="144"/>
      <c r="E32" s="79"/>
      <c r="F32" s="145">
        <f t="shared" si="1"/>
        <v>333850.22000000003</v>
      </c>
    </row>
    <row r="33" spans="1:6" ht="15.75" x14ac:dyDescent="0.25">
      <c r="A33" s="144">
        <v>44530</v>
      </c>
      <c r="B33" s="142" t="s">
        <v>314</v>
      </c>
      <c r="C33" s="79">
        <v>23788.3</v>
      </c>
      <c r="D33" s="144"/>
      <c r="E33" s="79"/>
      <c r="F33" s="145">
        <f t="shared" si="1"/>
        <v>357638.52</v>
      </c>
    </row>
    <row r="34" spans="1:6" ht="15.75" x14ac:dyDescent="0.25">
      <c r="A34" s="144">
        <v>44530</v>
      </c>
      <c r="B34" s="142" t="s">
        <v>315</v>
      </c>
      <c r="C34" s="79">
        <v>43255.9</v>
      </c>
      <c r="D34" s="144"/>
      <c r="E34" s="79"/>
      <c r="F34" s="145">
        <f t="shared" si="1"/>
        <v>400894.42000000004</v>
      </c>
    </row>
    <row r="35" spans="1:6" ht="15.75" x14ac:dyDescent="0.25">
      <c r="A35" s="144">
        <v>44531</v>
      </c>
      <c r="B35" s="142" t="s">
        <v>316</v>
      </c>
      <c r="C35" s="79">
        <v>64118.29</v>
      </c>
      <c r="D35" s="144"/>
      <c r="E35" s="79"/>
      <c r="F35" s="145">
        <f t="shared" si="1"/>
        <v>465012.71</v>
      </c>
    </row>
    <row r="36" spans="1:6" ht="18.75" x14ac:dyDescent="0.3">
      <c r="A36" s="144">
        <v>44532</v>
      </c>
      <c r="B36" s="142" t="s">
        <v>317</v>
      </c>
      <c r="C36" s="79">
        <v>70389.42</v>
      </c>
      <c r="D36" s="144">
        <v>44533</v>
      </c>
      <c r="E36" s="79">
        <v>540508.13</v>
      </c>
      <c r="F36" s="233">
        <f t="shared" si="1"/>
        <v>-5106</v>
      </c>
    </row>
    <row r="37" spans="1:6" ht="15.75" x14ac:dyDescent="0.25">
      <c r="A37" s="144">
        <v>44533</v>
      </c>
      <c r="B37" s="142" t="s">
        <v>318</v>
      </c>
      <c r="C37" s="79">
        <v>62199.35</v>
      </c>
      <c r="D37" s="144"/>
      <c r="E37" s="79"/>
      <c r="F37" s="145">
        <f t="shared" si="1"/>
        <v>57093.35</v>
      </c>
    </row>
    <row r="38" spans="1:6" ht="15.75" x14ac:dyDescent="0.25">
      <c r="A38" s="144">
        <v>44534</v>
      </c>
      <c r="B38" s="142" t="s">
        <v>319</v>
      </c>
      <c r="C38" s="79">
        <v>50323.32</v>
      </c>
      <c r="D38" s="144"/>
      <c r="E38" s="79"/>
      <c r="F38" s="145">
        <f t="shared" si="1"/>
        <v>107416.67</v>
      </c>
    </row>
    <row r="39" spans="1:6" ht="15.75" x14ac:dyDescent="0.25">
      <c r="A39" s="144">
        <v>44534</v>
      </c>
      <c r="B39" s="142" t="s">
        <v>320</v>
      </c>
      <c r="C39" s="79">
        <v>100271.25</v>
      </c>
      <c r="D39" s="144"/>
      <c r="E39" s="79"/>
      <c r="F39" s="145">
        <f t="shared" si="1"/>
        <v>207687.91999999998</v>
      </c>
    </row>
    <row r="40" spans="1:6" ht="18.75" x14ac:dyDescent="0.3">
      <c r="A40" s="144">
        <v>44534</v>
      </c>
      <c r="B40" s="142" t="s">
        <v>321</v>
      </c>
      <c r="C40" s="79">
        <v>27427.599999999999</v>
      </c>
      <c r="D40" s="144">
        <v>44540</v>
      </c>
      <c r="E40" s="79">
        <v>240221.52</v>
      </c>
      <c r="F40" s="233">
        <f t="shared" si="1"/>
        <v>-5106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-5106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-5106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-5106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-5106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-5106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-5106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-5106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-5106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-5106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-5106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-5106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-5106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-5106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-5106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-5106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-5106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-5106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-5106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-5106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-5106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-5106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-5106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-5106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-5106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1"/>
        <v>-5106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1"/>
        <v>-5106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1"/>
        <v>-5106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1"/>
        <v>-5106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si="1"/>
        <v>-5106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-5106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-5106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-5106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-5106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ref="F74:F98" si="2">F73+C74-E74</f>
        <v>-5106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2"/>
        <v>-5106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2"/>
        <v>-5106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2"/>
        <v>-5106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2"/>
        <v>-5106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2"/>
        <v>-5106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2"/>
        <v>-5106</v>
      </c>
    </row>
    <row r="81" spans="1:6" ht="15.75" hidden="1" x14ac:dyDescent="0.25">
      <c r="A81" s="188"/>
      <c r="B81" s="185"/>
      <c r="C81" s="186"/>
      <c r="D81" s="144"/>
      <c r="E81" s="79"/>
      <c r="F81" s="145">
        <f t="shared" si="2"/>
        <v>-5106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2"/>
        <v>-5106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2"/>
        <v>-5106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2"/>
        <v>-5106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2"/>
        <v>-5106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2"/>
        <v>-5106</v>
      </c>
    </row>
    <row r="87" spans="1:6" ht="15.75" hidden="1" x14ac:dyDescent="0.25">
      <c r="A87" s="189"/>
      <c r="B87" s="190"/>
      <c r="C87" s="191"/>
      <c r="D87" s="147"/>
      <c r="E87" s="83"/>
      <c r="F87" s="145">
        <f t="shared" si="2"/>
        <v>-5106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2"/>
        <v>-5106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2"/>
        <v>-5106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2"/>
        <v>-5106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2"/>
        <v>-5106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2"/>
        <v>-5106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2"/>
        <v>-5106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2"/>
        <v>-5106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2"/>
        <v>-5106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2"/>
        <v>-5106</v>
      </c>
    </row>
    <row r="97" spans="1:6" ht="15.75" hidden="1" x14ac:dyDescent="0.25">
      <c r="A97" s="188"/>
      <c r="B97" s="185"/>
      <c r="C97" s="186"/>
      <c r="D97" s="148"/>
      <c r="E97" s="79"/>
      <c r="F97" s="145">
        <f t="shared" si="2"/>
        <v>-5106</v>
      </c>
    </row>
    <row r="98" spans="1:6" ht="15.75" hidden="1" x14ac:dyDescent="0.25">
      <c r="A98" s="234"/>
      <c r="B98" s="235"/>
      <c r="C98" s="83">
        <v>0</v>
      </c>
      <c r="D98" s="236"/>
      <c r="E98" s="83"/>
      <c r="F98" s="145">
        <f t="shared" si="2"/>
        <v>-5106</v>
      </c>
    </row>
    <row r="99" spans="1:6" ht="19.5" thickBot="1" x14ac:dyDescent="0.35">
      <c r="A99" s="237"/>
      <c r="B99" s="238"/>
      <c r="C99" s="239">
        <f>SUM(C4:C98)</f>
        <v>1751881.5499999998</v>
      </c>
      <c r="D99" s="240"/>
      <c r="E99" s="241">
        <f>SUM(E4:E98)</f>
        <v>1762093.5499999998</v>
      </c>
      <c r="F99" s="153">
        <f>F98</f>
        <v>-5106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S81"/>
  <sheetViews>
    <sheetView tabSelected="1" topLeftCell="A34" workbookViewId="0">
      <selection activeCell="J40" sqref="J40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75"/>
      <c r="C1" s="284" t="s">
        <v>322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18" ht="16.5" thickBot="1" x14ac:dyDescent="0.3">
      <c r="B2" s="276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7" t="s">
        <v>0</v>
      </c>
      <c r="C3" s="278"/>
      <c r="D3" s="10"/>
      <c r="E3" s="11"/>
      <c r="F3" s="11"/>
      <c r="H3" s="279" t="s">
        <v>18</v>
      </c>
      <c r="I3" s="279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189692.56</v>
      </c>
      <c r="D4" s="16">
        <v>44535</v>
      </c>
      <c r="E4" s="280" t="s">
        <v>2</v>
      </c>
      <c r="F4" s="281"/>
      <c r="H4" s="282" t="s">
        <v>3</v>
      </c>
      <c r="I4" s="283"/>
      <c r="J4" s="17"/>
      <c r="K4" s="18"/>
      <c r="L4" s="19"/>
      <c r="M4" s="159" t="s">
        <v>20</v>
      </c>
      <c r="N4" s="160" t="s">
        <v>29</v>
      </c>
      <c r="P4" s="269" t="s">
        <v>28</v>
      </c>
      <c r="Q4" s="270"/>
    </row>
    <row r="5" spans="1:18" ht="18" thickBot="1" x14ac:dyDescent="0.35">
      <c r="A5" s="20" t="s">
        <v>4</v>
      </c>
      <c r="B5" s="21">
        <v>44536</v>
      </c>
      <c r="C5" s="22">
        <v>0</v>
      </c>
      <c r="D5" s="23"/>
      <c r="E5" s="24">
        <v>44536</v>
      </c>
      <c r="F5" s="25">
        <v>61580</v>
      </c>
      <c r="G5" s="26"/>
      <c r="H5" s="27">
        <v>44536</v>
      </c>
      <c r="I5" s="28">
        <v>61</v>
      </c>
      <c r="J5" s="7"/>
      <c r="K5" s="29"/>
      <c r="L5" s="9"/>
      <c r="M5" s="138">
        <f>42500+19019</f>
        <v>61519</v>
      </c>
      <c r="N5" s="30">
        <v>0</v>
      </c>
      <c r="O5" s="26"/>
      <c r="P5" s="83">
        <f>N5+M5+L5+I5+C5</f>
        <v>61580</v>
      </c>
      <c r="Q5" s="136">
        <f>P5-F5</f>
        <v>0</v>
      </c>
      <c r="R5" s="51"/>
    </row>
    <row r="6" spans="1:18" ht="18" thickBot="1" x14ac:dyDescent="0.35">
      <c r="A6" s="20"/>
      <c r="B6" s="21">
        <v>44537</v>
      </c>
      <c r="C6" s="22">
        <v>800</v>
      </c>
      <c r="D6" s="31" t="s">
        <v>200</v>
      </c>
      <c r="E6" s="24">
        <v>44537</v>
      </c>
      <c r="F6" s="25">
        <v>53498</v>
      </c>
      <c r="G6" s="26"/>
      <c r="H6" s="32">
        <v>44537</v>
      </c>
      <c r="I6" s="28">
        <v>310</v>
      </c>
      <c r="J6" s="33"/>
      <c r="K6" s="46"/>
      <c r="L6" s="35"/>
      <c r="M6" s="138">
        <f>20000+31890</f>
        <v>51890</v>
      </c>
      <c r="N6" s="30">
        <v>500</v>
      </c>
      <c r="O6" s="26"/>
      <c r="P6" s="83">
        <f t="shared" ref="P6:P39" si="0">N6+M6+L6+I6+C6</f>
        <v>53500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44538</v>
      </c>
      <c r="C7" s="22">
        <v>22988</v>
      </c>
      <c r="D7" s="38" t="s">
        <v>323</v>
      </c>
      <c r="E7" s="24">
        <v>44538</v>
      </c>
      <c r="F7" s="25">
        <v>55260</v>
      </c>
      <c r="G7" s="26"/>
      <c r="H7" s="32">
        <v>44538</v>
      </c>
      <c r="I7" s="28">
        <v>25</v>
      </c>
      <c r="J7" s="33"/>
      <c r="K7" s="37"/>
      <c r="L7" s="35"/>
      <c r="M7" s="138">
        <v>31720</v>
      </c>
      <c r="N7" s="30">
        <v>524</v>
      </c>
      <c r="O7" s="26"/>
      <c r="P7" s="83">
        <f t="shared" si="0"/>
        <v>55257</v>
      </c>
      <c r="Q7" s="211">
        <f t="shared" si="1"/>
        <v>-3</v>
      </c>
      <c r="R7" s="26"/>
    </row>
    <row r="8" spans="1:18" ht="18" thickBot="1" x14ac:dyDescent="0.35">
      <c r="A8" s="20"/>
      <c r="B8" s="21">
        <v>44539</v>
      </c>
      <c r="C8" s="22">
        <v>0</v>
      </c>
      <c r="D8" s="38"/>
      <c r="E8" s="24">
        <v>44539</v>
      </c>
      <c r="F8" s="25">
        <v>65723</v>
      </c>
      <c r="G8" s="26"/>
      <c r="H8" s="32">
        <v>44539</v>
      </c>
      <c r="I8" s="28">
        <v>53</v>
      </c>
      <c r="J8" s="39"/>
      <c r="K8" s="40"/>
      <c r="L8" s="35"/>
      <c r="M8" s="138">
        <f>48131+25000</f>
        <v>73131</v>
      </c>
      <c r="N8" s="30">
        <v>1345</v>
      </c>
      <c r="O8" s="26"/>
      <c r="P8" s="83">
        <f t="shared" si="0"/>
        <v>74529</v>
      </c>
      <c r="Q8" s="244">
        <f t="shared" si="1"/>
        <v>8806</v>
      </c>
      <c r="R8" s="51"/>
    </row>
    <row r="9" spans="1:18" ht="18" thickBot="1" x14ac:dyDescent="0.35">
      <c r="A9" s="20"/>
      <c r="B9" s="21">
        <v>44540</v>
      </c>
      <c r="C9" s="22">
        <v>0</v>
      </c>
      <c r="D9" s="38"/>
      <c r="E9" s="24">
        <v>44540</v>
      </c>
      <c r="F9" s="25">
        <v>96355</v>
      </c>
      <c r="G9" s="26"/>
      <c r="H9" s="32">
        <v>44540</v>
      </c>
      <c r="I9" s="28">
        <v>30</v>
      </c>
      <c r="J9" s="33"/>
      <c r="K9" s="41"/>
      <c r="L9" s="35"/>
      <c r="M9" s="138">
        <f>30000+26125+40000</f>
        <v>96125</v>
      </c>
      <c r="N9" s="30">
        <v>200</v>
      </c>
      <c r="O9" s="26"/>
      <c r="P9" s="83">
        <f>N9+M9+L9+I9+C9</f>
        <v>96355</v>
      </c>
      <c r="Q9" s="9">
        <f>P9-F9</f>
        <v>0</v>
      </c>
      <c r="R9" s="26"/>
    </row>
    <row r="10" spans="1:18" ht="18" thickBot="1" x14ac:dyDescent="0.35">
      <c r="A10" s="20"/>
      <c r="B10" s="21">
        <v>44541</v>
      </c>
      <c r="C10" s="22">
        <v>26</v>
      </c>
      <c r="D10" s="31" t="s">
        <v>275</v>
      </c>
      <c r="E10" s="24">
        <v>44541</v>
      </c>
      <c r="F10" s="25">
        <v>102077</v>
      </c>
      <c r="G10" s="26"/>
      <c r="H10" s="32">
        <v>44541</v>
      </c>
      <c r="I10" s="28">
        <v>252</v>
      </c>
      <c r="J10" s="33">
        <v>44541</v>
      </c>
      <c r="K10" s="42" t="s">
        <v>328</v>
      </c>
      <c r="L10" s="43">
        <v>11000</v>
      </c>
      <c r="M10" s="138">
        <f>37975+45000</f>
        <v>82975</v>
      </c>
      <c r="N10" s="30">
        <v>7824</v>
      </c>
      <c r="O10" s="26"/>
      <c r="P10" s="83">
        <f t="shared" si="0"/>
        <v>102077</v>
      </c>
      <c r="Q10" s="136">
        <f t="shared" si="1"/>
        <v>0</v>
      </c>
      <c r="R10" s="51"/>
    </row>
    <row r="11" spans="1:18" ht="18" thickBot="1" x14ac:dyDescent="0.35">
      <c r="A11" s="20"/>
      <c r="B11" s="21">
        <v>44542</v>
      </c>
      <c r="C11" s="22">
        <v>0</v>
      </c>
      <c r="D11" s="31"/>
      <c r="E11" s="24">
        <v>44542</v>
      </c>
      <c r="F11" s="25">
        <v>120679</v>
      </c>
      <c r="G11" s="26"/>
      <c r="H11" s="32">
        <v>44542</v>
      </c>
      <c r="I11" s="28">
        <v>0</v>
      </c>
      <c r="J11" s="39"/>
      <c r="K11" s="44"/>
      <c r="L11" s="35"/>
      <c r="M11" s="138">
        <f>50000+50000+19940</f>
        <v>119940</v>
      </c>
      <c r="N11" s="30">
        <v>742</v>
      </c>
      <c r="O11" s="26"/>
      <c r="P11" s="83">
        <f>N11+M11+L11+I11+C11</f>
        <v>120682</v>
      </c>
      <c r="Q11" s="136">
        <f t="shared" si="1"/>
        <v>3</v>
      </c>
      <c r="R11" s="26"/>
    </row>
    <row r="12" spans="1:18" ht="18" thickBot="1" x14ac:dyDescent="0.35">
      <c r="A12" s="20"/>
      <c r="B12" s="21">
        <v>44543</v>
      </c>
      <c r="C12" s="22">
        <v>1062</v>
      </c>
      <c r="D12" s="31" t="s">
        <v>324</v>
      </c>
      <c r="E12" s="24">
        <v>44543</v>
      </c>
      <c r="F12" s="25">
        <v>55645</v>
      </c>
      <c r="G12" s="26"/>
      <c r="H12" s="32">
        <v>44543</v>
      </c>
      <c r="I12" s="28">
        <v>1008</v>
      </c>
      <c r="J12" s="33"/>
      <c r="K12" s="45"/>
      <c r="L12" s="35"/>
      <c r="M12" s="138">
        <f>27400+25000</f>
        <v>52400</v>
      </c>
      <c r="N12" s="30">
        <v>1170</v>
      </c>
      <c r="O12" s="26"/>
      <c r="P12" s="83">
        <f t="shared" si="0"/>
        <v>55640</v>
      </c>
      <c r="Q12" s="211">
        <f t="shared" si="1"/>
        <v>-5</v>
      </c>
      <c r="R12" s="26"/>
    </row>
    <row r="13" spans="1:18" ht="18" thickBot="1" x14ac:dyDescent="0.35">
      <c r="A13" s="20"/>
      <c r="B13" s="21">
        <v>44544</v>
      </c>
      <c r="C13" s="22">
        <v>0</v>
      </c>
      <c r="D13" s="38"/>
      <c r="E13" s="24">
        <v>44544</v>
      </c>
      <c r="F13" s="25">
        <v>53907</v>
      </c>
      <c r="G13" s="26"/>
      <c r="H13" s="32">
        <v>44544</v>
      </c>
      <c r="I13" s="28">
        <v>0</v>
      </c>
      <c r="J13" s="33"/>
      <c r="K13" s="46"/>
      <c r="L13" s="35"/>
      <c r="M13" s="138">
        <f>33362+20000</f>
        <v>53362</v>
      </c>
      <c r="N13" s="30">
        <v>545</v>
      </c>
      <c r="O13" s="26"/>
      <c r="P13" s="83">
        <f t="shared" si="0"/>
        <v>53907</v>
      </c>
      <c r="Q13" s="136">
        <f t="shared" si="1"/>
        <v>0</v>
      </c>
      <c r="R13" s="204"/>
    </row>
    <row r="14" spans="1:18" ht="18" thickBot="1" x14ac:dyDescent="0.35">
      <c r="A14" s="20"/>
      <c r="B14" s="21">
        <v>44545</v>
      </c>
      <c r="C14" s="22">
        <v>30</v>
      </c>
      <c r="D14" s="36" t="s">
        <v>275</v>
      </c>
      <c r="E14" s="24">
        <v>44545</v>
      </c>
      <c r="F14" s="25">
        <v>41538</v>
      </c>
      <c r="G14" s="26"/>
      <c r="H14" s="32">
        <v>44545</v>
      </c>
      <c r="I14" s="28">
        <v>51</v>
      </c>
      <c r="J14" s="33"/>
      <c r="K14" s="40"/>
      <c r="L14" s="35"/>
      <c r="M14" s="138">
        <f>25100+15000</f>
        <v>40100</v>
      </c>
      <c r="N14" s="30">
        <v>1357</v>
      </c>
      <c r="O14" s="26"/>
      <c r="P14" s="83">
        <f t="shared" si="0"/>
        <v>41538</v>
      </c>
      <c r="Q14" s="136">
        <f t="shared" si="1"/>
        <v>0</v>
      </c>
      <c r="R14" s="204"/>
    </row>
    <row r="15" spans="1:18" ht="18" thickBot="1" x14ac:dyDescent="0.35">
      <c r="A15" s="20"/>
      <c r="B15" s="21">
        <v>44546</v>
      </c>
      <c r="C15" s="22">
        <v>0</v>
      </c>
      <c r="D15" s="36"/>
      <c r="E15" s="24">
        <v>44546</v>
      </c>
      <c r="F15" s="25">
        <v>105648</v>
      </c>
      <c r="G15" s="26"/>
      <c r="H15" s="32">
        <v>44546</v>
      </c>
      <c r="I15" s="28">
        <v>43</v>
      </c>
      <c r="J15" s="33"/>
      <c r="K15" s="40"/>
      <c r="L15" s="35"/>
      <c r="M15" s="138">
        <f>40000+24340+25000</f>
        <v>89340</v>
      </c>
      <c r="N15" s="30">
        <v>16270</v>
      </c>
      <c r="P15" s="83">
        <f t="shared" si="0"/>
        <v>105653</v>
      </c>
      <c r="Q15" s="136">
        <f t="shared" si="1"/>
        <v>5</v>
      </c>
      <c r="R15" s="26"/>
    </row>
    <row r="16" spans="1:18" ht="18" thickBot="1" x14ac:dyDescent="0.35">
      <c r="A16" s="20"/>
      <c r="B16" s="21">
        <v>44547</v>
      </c>
      <c r="C16" s="22">
        <v>3120</v>
      </c>
      <c r="D16" s="31" t="s">
        <v>267</v>
      </c>
      <c r="E16" s="24">
        <v>44547</v>
      </c>
      <c r="F16" s="25">
        <v>86325</v>
      </c>
      <c r="G16" s="26"/>
      <c r="H16" s="32">
        <v>44547</v>
      </c>
      <c r="I16" s="28">
        <v>51</v>
      </c>
      <c r="J16" s="33"/>
      <c r="K16" s="40"/>
      <c r="L16" s="9"/>
      <c r="M16" s="138">
        <f>30000+30000+20690</f>
        <v>80690</v>
      </c>
      <c r="N16" s="30">
        <v>2460</v>
      </c>
      <c r="P16" s="83">
        <f t="shared" si="0"/>
        <v>86321</v>
      </c>
      <c r="Q16" s="211">
        <f t="shared" si="1"/>
        <v>-4</v>
      </c>
      <c r="R16" s="26"/>
    </row>
    <row r="17" spans="1:19" ht="18" thickBot="1" x14ac:dyDescent="0.35">
      <c r="A17" s="20"/>
      <c r="B17" s="21">
        <v>44548</v>
      </c>
      <c r="C17" s="22">
        <v>0</v>
      </c>
      <c r="D17" s="38"/>
      <c r="E17" s="24">
        <v>44548</v>
      </c>
      <c r="F17" s="25">
        <v>103705</v>
      </c>
      <c r="G17" s="26"/>
      <c r="H17" s="32">
        <v>44548</v>
      </c>
      <c r="I17" s="28">
        <v>36</v>
      </c>
      <c r="J17" s="33">
        <v>44548</v>
      </c>
      <c r="K17" s="245" t="s">
        <v>327</v>
      </c>
      <c r="L17" s="43">
        <f>12786+17357</f>
        <v>30143</v>
      </c>
      <c r="M17" s="138">
        <f>15920+50000</f>
        <v>65920</v>
      </c>
      <c r="N17" s="30">
        <v>7608</v>
      </c>
      <c r="P17" s="83">
        <f t="shared" si="0"/>
        <v>103707</v>
      </c>
      <c r="Q17" s="136">
        <f t="shared" si="1"/>
        <v>2</v>
      </c>
      <c r="R17" s="26"/>
    </row>
    <row r="18" spans="1:19" ht="18" thickBot="1" x14ac:dyDescent="0.35">
      <c r="A18" s="20"/>
      <c r="B18" s="21">
        <v>44549</v>
      </c>
      <c r="C18" s="22">
        <v>0</v>
      </c>
      <c r="D18" s="31"/>
      <c r="E18" s="24">
        <v>44549</v>
      </c>
      <c r="F18" s="25">
        <v>110543</v>
      </c>
      <c r="G18" s="26"/>
      <c r="H18" s="32">
        <v>44549</v>
      </c>
      <c r="I18" s="28">
        <v>15</v>
      </c>
      <c r="J18" s="33"/>
      <c r="K18" s="47"/>
      <c r="L18" s="35"/>
      <c r="M18" s="138">
        <f>90000+19450</f>
        <v>109450</v>
      </c>
      <c r="N18" s="30">
        <v>1082</v>
      </c>
      <c r="P18" s="83">
        <f t="shared" si="0"/>
        <v>110547</v>
      </c>
      <c r="Q18" s="9">
        <f t="shared" si="1"/>
        <v>4</v>
      </c>
      <c r="R18" s="26"/>
    </row>
    <row r="19" spans="1:19" ht="18" thickBot="1" x14ac:dyDescent="0.35">
      <c r="A19" s="20"/>
      <c r="B19" s="21">
        <v>44550</v>
      </c>
      <c r="C19" s="22">
        <v>0</v>
      </c>
      <c r="D19" s="31"/>
      <c r="E19" s="24">
        <v>44550</v>
      </c>
      <c r="F19" s="25">
        <v>71144</v>
      </c>
      <c r="G19" s="26"/>
      <c r="H19" s="32">
        <v>44550</v>
      </c>
      <c r="I19" s="28">
        <v>52</v>
      </c>
      <c r="J19" s="33"/>
      <c r="K19" s="48"/>
      <c r="L19" s="49"/>
      <c r="M19" s="138">
        <f>35000+35970</f>
        <v>70970</v>
      </c>
      <c r="N19" s="30">
        <v>120</v>
      </c>
      <c r="P19" s="83">
        <f t="shared" si="0"/>
        <v>71142</v>
      </c>
      <c r="Q19" s="211">
        <f t="shared" si="1"/>
        <v>-2</v>
      </c>
      <c r="R19" s="26"/>
    </row>
    <row r="20" spans="1:19" ht="18" thickBot="1" x14ac:dyDescent="0.35">
      <c r="A20" s="20"/>
      <c r="B20" s="21">
        <v>44551</v>
      </c>
      <c r="C20" s="22">
        <v>3400</v>
      </c>
      <c r="D20" s="31" t="s">
        <v>267</v>
      </c>
      <c r="E20" s="24">
        <v>44551</v>
      </c>
      <c r="F20" s="25">
        <v>99474</v>
      </c>
      <c r="G20" s="26"/>
      <c r="H20" s="32">
        <v>44551</v>
      </c>
      <c r="I20" s="28">
        <v>154</v>
      </c>
      <c r="J20" s="33"/>
      <c r="K20" s="50"/>
      <c r="L20" s="43"/>
      <c r="M20" s="138">
        <f>50000+43150</f>
        <v>93150</v>
      </c>
      <c r="N20" s="30">
        <v>2787</v>
      </c>
      <c r="P20" s="83">
        <f t="shared" si="0"/>
        <v>99491</v>
      </c>
      <c r="Q20" s="9">
        <f t="shared" si="1"/>
        <v>17</v>
      </c>
      <c r="R20" s="26"/>
    </row>
    <row r="21" spans="1:19" ht="18" thickBot="1" x14ac:dyDescent="0.35">
      <c r="A21" s="20"/>
      <c r="B21" s="21">
        <v>44552</v>
      </c>
      <c r="C21" s="22">
        <f>33259+28</f>
        <v>33287</v>
      </c>
      <c r="D21" s="31" t="s">
        <v>325</v>
      </c>
      <c r="E21" s="24">
        <v>44552</v>
      </c>
      <c r="F21" s="25">
        <v>126486</v>
      </c>
      <c r="G21" s="26"/>
      <c r="H21" s="32">
        <v>44552</v>
      </c>
      <c r="I21" s="28">
        <v>152</v>
      </c>
      <c r="J21" s="33"/>
      <c r="K21" s="177"/>
      <c r="L21" s="43"/>
      <c r="M21" s="138">
        <f>35000+40000+17550</f>
        <v>92550</v>
      </c>
      <c r="N21" s="30">
        <v>500</v>
      </c>
      <c r="P21" s="83">
        <f t="shared" si="0"/>
        <v>126489</v>
      </c>
      <c r="Q21" s="136">
        <f t="shared" si="1"/>
        <v>3</v>
      </c>
      <c r="R21" s="26"/>
    </row>
    <row r="22" spans="1:19" ht="18" thickBot="1" x14ac:dyDescent="0.35">
      <c r="A22" s="20"/>
      <c r="B22" s="21">
        <v>44553</v>
      </c>
      <c r="C22" s="22">
        <v>0</v>
      </c>
      <c r="D22" s="31"/>
      <c r="E22" s="24">
        <v>44553</v>
      </c>
      <c r="F22" s="25">
        <v>154210</v>
      </c>
      <c r="G22" s="26"/>
      <c r="H22" s="32">
        <v>44553</v>
      </c>
      <c r="I22" s="28">
        <v>133</v>
      </c>
      <c r="J22" s="33"/>
      <c r="K22" s="51"/>
      <c r="L22" s="52"/>
      <c r="M22" s="138">
        <f>60000+65000+27050</f>
        <v>152050</v>
      </c>
      <c r="N22" s="30">
        <v>2030</v>
      </c>
      <c r="P22" s="83">
        <f t="shared" si="0"/>
        <v>154213</v>
      </c>
      <c r="Q22" s="136">
        <f t="shared" si="1"/>
        <v>3</v>
      </c>
      <c r="R22" s="26"/>
    </row>
    <row r="23" spans="1:19" ht="18" thickBot="1" x14ac:dyDescent="0.35">
      <c r="A23" s="20"/>
      <c r="B23" s="21">
        <v>44554</v>
      </c>
      <c r="C23" s="22">
        <v>0</v>
      </c>
      <c r="D23" s="31"/>
      <c r="E23" s="24">
        <v>44554</v>
      </c>
      <c r="F23" s="25">
        <v>157979</v>
      </c>
      <c r="G23" s="26"/>
      <c r="H23" s="32">
        <v>44554</v>
      </c>
      <c r="I23" s="28">
        <v>322</v>
      </c>
      <c r="J23" s="53">
        <v>44554</v>
      </c>
      <c r="K23" s="54" t="s">
        <v>326</v>
      </c>
      <c r="L23" s="43">
        <v>14586</v>
      </c>
      <c r="M23" s="138">
        <f>80000+30000+22570</f>
        <v>132570</v>
      </c>
      <c r="N23" s="30">
        <v>10498</v>
      </c>
      <c r="P23" s="83">
        <f t="shared" si="0"/>
        <v>157976</v>
      </c>
      <c r="Q23" s="217">
        <f t="shared" si="1"/>
        <v>-3</v>
      </c>
      <c r="R23" s="26"/>
    </row>
    <row r="24" spans="1:19" ht="18" thickBot="1" x14ac:dyDescent="0.35">
      <c r="A24" s="20"/>
      <c r="B24" s="21">
        <v>44555</v>
      </c>
      <c r="C24" s="246">
        <v>0</v>
      </c>
      <c r="D24" s="253" t="s">
        <v>329</v>
      </c>
      <c r="E24" s="24">
        <v>44555</v>
      </c>
      <c r="F24" s="247"/>
      <c r="G24" s="248"/>
      <c r="H24" s="249">
        <v>44555</v>
      </c>
      <c r="I24" s="250"/>
      <c r="J24" s="254" t="s">
        <v>329</v>
      </c>
      <c r="K24" s="56">
        <v>0</v>
      </c>
      <c r="L24" s="57">
        <v>0</v>
      </c>
      <c r="M24" s="251">
        <v>0</v>
      </c>
      <c r="N24" s="252">
        <v>0</v>
      </c>
      <c r="P24" s="83">
        <f t="shared" si="0"/>
        <v>0</v>
      </c>
      <c r="Q24" s="136">
        <f t="shared" si="1"/>
        <v>0</v>
      </c>
      <c r="R24" s="26"/>
    </row>
    <row r="25" spans="1:19" ht="18" thickBot="1" x14ac:dyDescent="0.35">
      <c r="A25" s="20"/>
      <c r="B25" s="21">
        <v>44556</v>
      </c>
      <c r="C25" s="22">
        <v>0</v>
      </c>
      <c r="D25" s="31"/>
      <c r="E25" s="24">
        <v>44556</v>
      </c>
      <c r="F25" s="25">
        <v>123482</v>
      </c>
      <c r="G25" s="26"/>
      <c r="H25" s="32">
        <v>44556</v>
      </c>
      <c r="I25" s="28">
        <v>15</v>
      </c>
      <c r="J25" s="58"/>
      <c r="K25" s="59"/>
      <c r="L25" s="60"/>
      <c r="M25" s="138">
        <f>100000+22425</f>
        <v>122425</v>
      </c>
      <c r="N25" s="30">
        <v>1043</v>
      </c>
      <c r="O25" t="s">
        <v>4</v>
      </c>
      <c r="P25" s="83">
        <f t="shared" si="0"/>
        <v>123483</v>
      </c>
      <c r="Q25" s="136">
        <f t="shared" si="1"/>
        <v>1</v>
      </c>
      <c r="R25" s="26"/>
      <c r="S25" t="s">
        <v>4</v>
      </c>
    </row>
    <row r="26" spans="1:19" ht="18" thickBot="1" x14ac:dyDescent="0.35">
      <c r="A26" s="20"/>
      <c r="B26" s="21">
        <v>44557</v>
      </c>
      <c r="C26" s="22">
        <v>4234</v>
      </c>
      <c r="D26" s="31" t="s">
        <v>267</v>
      </c>
      <c r="E26" s="24">
        <v>44557</v>
      </c>
      <c r="F26" s="25">
        <v>65323</v>
      </c>
      <c r="G26" s="26"/>
      <c r="H26" s="32">
        <v>44557</v>
      </c>
      <c r="I26" s="28">
        <v>15</v>
      </c>
      <c r="J26" s="33"/>
      <c r="K26" s="56"/>
      <c r="L26" s="43"/>
      <c r="M26" s="138">
        <f>25000+35875</f>
        <v>60875</v>
      </c>
      <c r="N26" s="30">
        <v>200</v>
      </c>
      <c r="P26" s="83">
        <f t="shared" si="0"/>
        <v>65324</v>
      </c>
      <c r="Q26" s="136">
        <f t="shared" si="1"/>
        <v>1</v>
      </c>
      <c r="R26" s="51"/>
    </row>
    <row r="27" spans="1:19" ht="18" thickBot="1" x14ac:dyDescent="0.35">
      <c r="A27" s="20"/>
      <c r="B27" s="21">
        <v>44558</v>
      </c>
      <c r="C27" s="22">
        <v>5253</v>
      </c>
      <c r="D27" s="38" t="s">
        <v>330</v>
      </c>
      <c r="E27" s="24">
        <v>44558</v>
      </c>
      <c r="F27" s="25">
        <v>66810</v>
      </c>
      <c r="G27" s="26"/>
      <c r="H27" s="32">
        <v>44558</v>
      </c>
      <c r="I27" s="28">
        <v>44</v>
      </c>
      <c r="J27" s="65">
        <v>44558</v>
      </c>
      <c r="K27" s="62" t="s">
        <v>331</v>
      </c>
      <c r="L27" s="60">
        <v>16500</v>
      </c>
      <c r="M27" s="138">
        <f>30000+15055</f>
        <v>45055</v>
      </c>
      <c r="N27" s="30">
        <v>0</v>
      </c>
      <c r="P27" s="83">
        <f t="shared" si="0"/>
        <v>66852</v>
      </c>
      <c r="Q27" s="136">
        <f t="shared" si="1"/>
        <v>42</v>
      </c>
      <c r="R27" s="26"/>
    </row>
    <row r="28" spans="1:19" ht="18" thickBot="1" x14ac:dyDescent="0.35">
      <c r="A28" s="20"/>
      <c r="B28" s="21">
        <v>44559</v>
      </c>
      <c r="C28" s="22">
        <v>24</v>
      </c>
      <c r="D28" s="38" t="s">
        <v>275</v>
      </c>
      <c r="E28" s="24">
        <v>44559</v>
      </c>
      <c r="F28" s="25">
        <v>92430</v>
      </c>
      <c r="G28" s="26"/>
      <c r="H28" s="32">
        <v>44559</v>
      </c>
      <c r="I28" s="28">
        <v>36</v>
      </c>
      <c r="J28" s="63"/>
      <c r="K28" s="34"/>
      <c r="L28" s="60"/>
      <c r="M28" s="138">
        <f>45000+47210</f>
        <v>92210</v>
      </c>
      <c r="N28" s="30">
        <v>161</v>
      </c>
      <c r="P28" s="83">
        <f t="shared" si="0"/>
        <v>92431</v>
      </c>
      <c r="Q28" s="136">
        <f t="shared" si="1"/>
        <v>1</v>
      </c>
      <c r="R28" s="26"/>
    </row>
    <row r="29" spans="1:19" ht="18" thickBot="1" x14ac:dyDescent="0.35">
      <c r="A29" s="20"/>
      <c r="B29" s="21">
        <v>44560</v>
      </c>
      <c r="C29" s="22">
        <v>0</v>
      </c>
      <c r="D29" s="64"/>
      <c r="E29" s="24">
        <v>44560</v>
      </c>
      <c r="F29" s="25">
        <v>115083</v>
      </c>
      <c r="G29" s="26"/>
      <c r="H29" s="32">
        <v>44560</v>
      </c>
      <c r="I29" s="28">
        <v>0</v>
      </c>
      <c r="J29" s="65"/>
      <c r="K29" s="66"/>
      <c r="L29" s="60"/>
      <c r="M29" s="138">
        <f>40000+28410+45000</f>
        <v>113410</v>
      </c>
      <c r="N29" s="30">
        <v>1671</v>
      </c>
      <c r="P29" s="83">
        <f t="shared" si="0"/>
        <v>115081</v>
      </c>
      <c r="Q29" s="136">
        <f t="shared" si="1"/>
        <v>-2</v>
      </c>
      <c r="R29" s="26"/>
    </row>
    <row r="30" spans="1:19" ht="18" thickBot="1" x14ac:dyDescent="0.35">
      <c r="A30" s="20"/>
      <c r="B30" s="21">
        <v>44561</v>
      </c>
      <c r="C30" s="22">
        <v>0</v>
      </c>
      <c r="D30" s="64"/>
      <c r="E30" s="24">
        <v>44561</v>
      </c>
      <c r="F30" s="25">
        <v>147231</v>
      </c>
      <c r="G30" s="26"/>
      <c r="H30" s="32">
        <v>44561</v>
      </c>
      <c r="I30" s="28">
        <v>36</v>
      </c>
      <c r="J30" s="67">
        <v>44561</v>
      </c>
      <c r="K30" s="68" t="s">
        <v>332</v>
      </c>
      <c r="L30" s="69">
        <v>12129</v>
      </c>
      <c r="M30" s="255">
        <f>100000</f>
        <v>100000</v>
      </c>
      <c r="N30" s="30">
        <v>9300</v>
      </c>
      <c r="P30" s="83">
        <f t="shared" si="0"/>
        <v>121465</v>
      </c>
      <c r="Q30" s="256">
        <f t="shared" si="1"/>
        <v>-25766</v>
      </c>
      <c r="R30" s="26"/>
    </row>
    <row r="31" spans="1:19" ht="18" thickBot="1" x14ac:dyDescent="0.35">
      <c r="A31" s="20"/>
      <c r="B31" s="21">
        <v>44562</v>
      </c>
      <c r="C31" s="257">
        <v>0</v>
      </c>
      <c r="D31" s="258" t="s">
        <v>329</v>
      </c>
      <c r="E31" s="24">
        <v>44562</v>
      </c>
      <c r="F31" s="259">
        <v>0</v>
      </c>
      <c r="G31" s="260"/>
      <c r="H31" s="261">
        <v>44562</v>
      </c>
      <c r="I31" s="262">
        <v>0</v>
      </c>
      <c r="J31" s="263" t="s">
        <v>329</v>
      </c>
      <c r="K31" s="71"/>
      <c r="L31" s="72"/>
      <c r="M31" s="264">
        <v>0</v>
      </c>
      <c r="N31" s="265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44563</v>
      </c>
      <c r="C32" s="22">
        <v>31365</v>
      </c>
      <c r="D32" s="73" t="s">
        <v>333</v>
      </c>
      <c r="E32" s="24">
        <v>44563</v>
      </c>
      <c r="F32" s="25">
        <v>82275</v>
      </c>
      <c r="G32" s="26"/>
      <c r="H32" s="32">
        <v>44563</v>
      </c>
      <c r="I32" s="28">
        <v>43</v>
      </c>
      <c r="J32" s="67"/>
      <c r="K32" s="68"/>
      <c r="L32" s="69"/>
      <c r="M32" s="255">
        <f>16727</f>
        <v>16727</v>
      </c>
      <c r="N32" s="30">
        <v>640</v>
      </c>
      <c r="P32" s="83">
        <f t="shared" si="0"/>
        <v>48775</v>
      </c>
      <c r="Q32" s="256">
        <f t="shared" si="1"/>
        <v>-33500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>
        <v>44544</v>
      </c>
      <c r="K34" s="215" t="s">
        <v>381</v>
      </c>
      <c r="L34" s="76">
        <v>1274.9000000000001</v>
      </c>
      <c r="M34" s="138">
        <v>0</v>
      </c>
      <c r="N34" s="30">
        <v>0</v>
      </c>
      <c r="P34" s="83">
        <f t="shared" si="0"/>
        <v>1274.9000000000001</v>
      </c>
      <c r="Q34" s="9">
        <f t="shared" si="1"/>
        <v>1274.9000000000001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>
        <v>44554</v>
      </c>
      <c r="K35" s="71" t="s">
        <v>382</v>
      </c>
      <c r="L35" s="75">
        <v>1392</v>
      </c>
      <c r="M35" s="138">
        <v>0</v>
      </c>
      <c r="N35" s="30">
        <v>0</v>
      </c>
      <c r="P35" s="83">
        <f t="shared" si="0"/>
        <v>1392</v>
      </c>
      <c r="Q35" s="9">
        <f t="shared" si="1"/>
        <v>1392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>
        <v>44553</v>
      </c>
      <c r="K36" s="268" t="s">
        <v>46</v>
      </c>
      <c r="L36" s="76">
        <v>25296</v>
      </c>
      <c r="M36" s="138">
        <v>0</v>
      </c>
      <c r="N36" s="30">
        <v>0</v>
      </c>
      <c r="P36" s="83">
        <f t="shared" si="0"/>
        <v>25296</v>
      </c>
      <c r="Q36" s="9">
        <f t="shared" si="1"/>
        <v>25296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>
        <v>44554</v>
      </c>
      <c r="K37" s="215" t="s">
        <v>384</v>
      </c>
      <c r="L37" s="76">
        <v>3480</v>
      </c>
      <c r="M37" s="138">
        <v>0</v>
      </c>
      <c r="N37" s="30">
        <v>0</v>
      </c>
      <c r="P37" s="83">
        <f t="shared" si="0"/>
        <v>3480</v>
      </c>
      <c r="Q37" s="9">
        <f t="shared" si="1"/>
        <v>3480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>
        <v>44561</v>
      </c>
      <c r="K38" s="71" t="s">
        <v>184</v>
      </c>
      <c r="L38" s="75">
        <v>617.77</v>
      </c>
      <c r="M38" s="138">
        <v>0</v>
      </c>
      <c r="N38" s="30">
        <v>0</v>
      </c>
      <c r="P38" s="83">
        <f t="shared" si="0"/>
        <v>617.77</v>
      </c>
      <c r="Q38" s="9">
        <f t="shared" si="1"/>
        <v>617.77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 t="s">
        <v>385</v>
      </c>
      <c r="K39" s="71" t="s">
        <v>47</v>
      </c>
      <c r="L39" s="69">
        <v>549</v>
      </c>
      <c r="M39" s="138">
        <v>0</v>
      </c>
      <c r="N39" s="30">
        <v>0</v>
      </c>
      <c r="P39" s="83">
        <f t="shared" si="0"/>
        <v>549</v>
      </c>
      <c r="Q39" s="9">
        <f t="shared" si="1"/>
        <v>549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71">
        <f>SUM(M5:M39)</f>
        <v>2100554</v>
      </c>
      <c r="N40" s="273">
        <f>SUM(N5:N39)</f>
        <v>70577</v>
      </c>
      <c r="P40" s="83">
        <f>SUM(P5:P39)</f>
        <v>2396624.67</v>
      </c>
      <c r="Q40" s="222">
        <f>SUM(Q5:Q38)</f>
        <v>-18334.329999999998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72"/>
      <c r="N41" s="274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105589</v>
      </c>
      <c r="D51" s="94"/>
      <c r="E51" s="95" t="s">
        <v>5</v>
      </c>
      <c r="F51" s="96">
        <f>SUM(F5:F50)</f>
        <v>2414410</v>
      </c>
      <c r="G51" s="94"/>
      <c r="H51" s="97" t="s">
        <v>6</v>
      </c>
      <c r="I51" s="98">
        <f>SUM(I5:I50)</f>
        <v>2937</v>
      </c>
      <c r="J51" s="99"/>
      <c r="K51" s="100" t="s">
        <v>7</v>
      </c>
      <c r="L51" s="101">
        <f>SUM(L5:L50)</f>
        <v>116967.67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95" t="s">
        <v>8</v>
      </c>
      <c r="I53" s="296"/>
      <c r="J53" s="106"/>
      <c r="K53" s="297">
        <f>I51+L51</f>
        <v>119904.67</v>
      </c>
      <c r="L53" s="298"/>
      <c r="M53" s="286">
        <f>N40+M40</f>
        <v>2171131</v>
      </c>
      <c r="N53" s="287"/>
      <c r="P53" s="83"/>
      <c r="Q53" s="9"/>
    </row>
    <row r="54" spans="1:17" ht="15.75" x14ac:dyDescent="0.25">
      <c r="D54" s="299" t="s">
        <v>9</v>
      </c>
      <c r="E54" s="299"/>
      <c r="F54" s="107">
        <f>F51-K53-C51</f>
        <v>2188916.33</v>
      </c>
      <c r="I54" s="108"/>
      <c r="J54" s="109"/>
      <c r="P54" s="83"/>
      <c r="Q54" s="9"/>
    </row>
    <row r="55" spans="1:17" ht="18.75" x14ac:dyDescent="0.3">
      <c r="D55" s="300" t="s">
        <v>10</v>
      </c>
      <c r="E55" s="300"/>
      <c r="F55" s="102">
        <v>-2173697.9</v>
      </c>
      <c r="I55" s="301" t="s">
        <v>11</v>
      </c>
      <c r="J55" s="302"/>
      <c r="K55" s="303">
        <f>F57+F58+F59</f>
        <v>245684.13000000018</v>
      </c>
      <c r="L55" s="304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15218.430000000168</v>
      </c>
      <c r="H57" s="20"/>
      <c r="I57" s="116" t="s">
        <v>13</v>
      </c>
      <c r="J57" s="117"/>
      <c r="K57" s="288">
        <f>-C4</f>
        <v>-189692.56</v>
      </c>
      <c r="L57" s="289"/>
    </row>
    <row r="58" spans="1:17" ht="16.5" thickBot="1" x14ac:dyDescent="0.3">
      <c r="D58" s="118" t="s">
        <v>14</v>
      </c>
      <c r="E58" s="104" t="s">
        <v>15</v>
      </c>
      <c r="F58" s="119">
        <v>9406</v>
      </c>
    </row>
    <row r="59" spans="1:17" ht="20.25" thickTop="1" thickBot="1" x14ac:dyDescent="0.35">
      <c r="C59" s="120">
        <v>44563</v>
      </c>
      <c r="D59" s="290" t="s">
        <v>16</v>
      </c>
      <c r="E59" s="291"/>
      <c r="F59" s="121">
        <v>221059.7</v>
      </c>
      <c r="I59" s="292" t="s">
        <v>17</v>
      </c>
      <c r="J59" s="293"/>
      <c r="K59" s="294">
        <f>K55+K57</f>
        <v>55991.570000000182</v>
      </c>
      <c r="L59" s="294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35433070866141736" bottom="0.27559055118110237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D I C I E M B R E  2 0 2 1     </vt:lpstr>
      <vt:lpstr>REMISIONES  DICIEMBRE  2 0 2 1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2022-01-06T21:45:37Z</cp:lastPrinted>
  <dcterms:created xsi:type="dcterms:W3CDTF">2021-08-25T18:04:32Z</dcterms:created>
  <dcterms:modified xsi:type="dcterms:W3CDTF">2022-01-25T19:17:19Z</dcterms:modified>
</cp:coreProperties>
</file>